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675" windowWidth="11145" windowHeight="3720" tabRatio="608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6" sheetId="7" r:id="rId7"/>
    <sheet name="6.a" sheetId="8" r:id="rId8"/>
    <sheet name="7" sheetId="9" r:id="rId9"/>
    <sheet name="8" sheetId="10" r:id="rId10"/>
    <sheet name="táj.1" sheetId="11" r:id="rId11"/>
    <sheet name="táj.2" sheetId="12" r:id="rId12"/>
    <sheet name="táj.3" sheetId="13" r:id="rId13"/>
    <sheet name="táj.4" sheetId="14" r:id="rId14"/>
  </sheets>
  <definedNames>
    <definedName name="_GoBack" localSheetId="1">'2'!$E$226</definedName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Titles" localSheetId="10">'táj.1'!$1:$2</definedName>
    <definedName name="_xlnm.Print_Titles" localSheetId="11">'táj.2'!$1:$2</definedName>
    <definedName name="_xlnm.Print_Area" localSheetId="2">'3'!$A$1:$L$78</definedName>
    <definedName name="_xlnm.Print_Area" localSheetId="5">'5.a'!$A$1:$O$170</definedName>
    <definedName name="_xlnm.Print_Area" localSheetId="7">'6.a'!$A$1:$Q$812</definedName>
    <definedName name="_xlnm.Print_Area" localSheetId="10">'táj.1'!$A$1:$O$170</definedName>
    <definedName name="_xlnm.Print_Area" localSheetId="11">'táj.2'!$A$1:$R$812</definedName>
  </definedNames>
  <calcPr fullCalcOnLoad="1"/>
</workbook>
</file>

<file path=xl/sharedStrings.xml><?xml version="1.0" encoding="utf-8"?>
<sst xmlns="http://schemas.openxmlformats.org/spreadsheetml/2006/main" count="3548" uniqueCount="1509">
  <si>
    <t xml:space="preserve"> - parkolási közszolgáltatási tevékenység ellátásával kapcsolatos költségek</t>
  </si>
  <si>
    <t>Személyi juttatások</t>
  </si>
  <si>
    <t xml:space="preserve"> - intézmények támogatása, rendezvényeik finanszírozása</t>
  </si>
  <si>
    <t xml:space="preserve"> - Zalaegerszegi Atlétikai Klub támogatása</t>
  </si>
  <si>
    <t xml:space="preserve"> - ZTE Teniszklub támogatása</t>
  </si>
  <si>
    <t xml:space="preserve"> - Zeg-i Súlyemelő Klub támogatása</t>
  </si>
  <si>
    <t xml:space="preserve"> - ZG 3 termálkút üzemeltetése</t>
  </si>
  <si>
    <t xml:space="preserve">     Költségvetési műk. bevételei összesen:</t>
  </si>
  <si>
    <t xml:space="preserve">     Költségvetési felhalm. bevételei összesen:</t>
  </si>
  <si>
    <t xml:space="preserve">      Költségvetési felh.célú kiadásai összesen:</t>
  </si>
  <si>
    <t xml:space="preserve">   Költségvetési műk. kiadásai összesen:</t>
  </si>
  <si>
    <t>152126</t>
  </si>
  <si>
    <t>151506</t>
  </si>
  <si>
    <t>Városépítészeti feladatok</t>
  </si>
  <si>
    <t xml:space="preserve"> - alapfokú versenyek rendezése és  támogatása</t>
  </si>
  <si>
    <t>2. Helyi közössségi közlekedés támogatása</t>
  </si>
  <si>
    <t>3. Kéményseprő-ipari közszolgáltatás támogatása</t>
  </si>
  <si>
    <t>2015. évi állami hozzájárulások elszámolásából származó bevétel</t>
  </si>
  <si>
    <t>B116</t>
  </si>
  <si>
    <t>Elszámolásból származó bevételek</t>
  </si>
  <si>
    <t>151611</t>
  </si>
  <si>
    <t xml:space="preserve"> - szabadidősport klubok támogatása</t>
  </si>
  <si>
    <t xml:space="preserve"> - energia támogatás</t>
  </si>
  <si>
    <t xml:space="preserve"> - Zalegerszeg Kultúrájáért Közalapítvány támogatása</t>
  </si>
  <si>
    <t xml:space="preserve"> - Idősek Otthona férőhely megváltás visszafizetése</t>
  </si>
  <si>
    <t xml:space="preserve"> - "Lakhatásért" Közalapítvány támogatása</t>
  </si>
  <si>
    <t>Óvodák felújítása</t>
  </si>
  <si>
    <t xml:space="preserve"> - belterületbe vonással kapcsolatos műk.kiadások</t>
  </si>
  <si>
    <t>5.a/10</t>
  </si>
  <si>
    <t>5.a/11</t>
  </si>
  <si>
    <t xml:space="preserve">  - Andráshidai LSC sportlétesítmény üzemeltetés tám.</t>
  </si>
  <si>
    <t>Városrehabilitáció II. ütem folytatása Lakásalapból</t>
  </si>
  <si>
    <t>Állami támogatások  évközi visszafizetésére</t>
  </si>
  <si>
    <t xml:space="preserve">Év közben jelentkező feladatokra </t>
  </si>
  <si>
    <t xml:space="preserve"> - 2015. évi normatív hozzájárulás elszámolása </t>
  </si>
  <si>
    <t>Önkormányzat kiadásai összesen</t>
  </si>
  <si>
    <t xml:space="preserve"> - Építéshatósági feladatok</t>
  </si>
  <si>
    <t xml:space="preserve"> - Ökováros  egyéb kiadások</t>
  </si>
  <si>
    <t xml:space="preserve"> - Városfejlesztő Zrt. jutalék</t>
  </si>
  <si>
    <t xml:space="preserve"> - önk. ingatlanok állagmegóvása,vagyonvédelme</t>
  </si>
  <si>
    <t xml:space="preserve"> - volt vasúti ingatlanok működési kiadásai</t>
  </si>
  <si>
    <t xml:space="preserve"> - egyéb állami ingatlanok igénylésével kapcsolatos kiadások</t>
  </si>
  <si>
    <t>1.a/5</t>
  </si>
  <si>
    <t xml:space="preserve"> - Vorhotai LSC sportlétesítmény üzemeltetés támogatása</t>
  </si>
  <si>
    <t xml:space="preserve"> - ZTE Röplabda Klub támogatása</t>
  </si>
  <si>
    <t>Mindszenty Múzeum és Zarándokközpont fejlesztése, zalaegerszegi "Mindszenty Út" megvalósítása</t>
  </si>
  <si>
    <t xml:space="preserve"> - volt laktanyával kapcsolatos kiadások</t>
  </si>
  <si>
    <t xml:space="preserve"> - térinformatika rendszer működtetése</t>
  </si>
  <si>
    <t>Magánerős útépítések támogatása</t>
  </si>
  <si>
    <t>4.a/4</t>
  </si>
  <si>
    <t>4.a/5</t>
  </si>
  <si>
    <t>4.a/6</t>
  </si>
  <si>
    <t>4.a/7</t>
  </si>
  <si>
    <t>105010 Munkanélküli aktív korúak ellátásai</t>
  </si>
  <si>
    <t>106020 Lakásfenntartással, lakhatással összefüggő ellátások</t>
  </si>
  <si>
    <t>061030 Lakáshoz jutást segítő támogatások</t>
  </si>
  <si>
    <t>107054 Családsegítés</t>
  </si>
  <si>
    <t>011130 Önkorm. és önkorm. hivatal. jogalk. és ált.ig.tev.</t>
  </si>
  <si>
    <t>152463</t>
  </si>
  <si>
    <t>074054 Komplex egészségfejl., prevenciós programok</t>
  </si>
  <si>
    <t>101211 Fogyatékosággal élők tartós bentlakásos ellátása</t>
  </si>
  <si>
    <t>072112 Háziorvosi ügyeleti ellátás</t>
  </si>
  <si>
    <t>072311 Fogorvosi alapellátás</t>
  </si>
  <si>
    <t>081041 Versenysport- és utánpótlás-nevelési tevékenység</t>
  </si>
  <si>
    <t>081043 Iskolai, diáksport-tevékenység és támogatása</t>
  </si>
  <si>
    <t>081045 Szabadidősport-tevékenység és támogatása</t>
  </si>
  <si>
    <t>081030 Sportlétes., edzőtáborok működtetése és fejlesztése</t>
  </si>
  <si>
    <t>013350 Önk-i vagyonnal való gazdálkodáshoz kapcs. fa.</t>
  </si>
  <si>
    <t>B16</t>
  </si>
  <si>
    <t>Egyéb működési célú támogatások bevételei államháztartáson belülről</t>
  </si>
  <si>
    <t xml:space="preserve">6.) Hitel- és kölcsön törlesztések,lízing </t>
  </si>
  <si>
    <t>6.) Hitel felvétel</t>
  </si>
  <si>
    <t xml:space="preserve">Ovifoci pályázattal megvalósuló műfüves pályák előkészítési munkái  és építési munkái OVI-FOCI Alapítvány közreműködésével Kosztolányi téri és Csillagközi óvodákban </t>
  </si>
  <si>
    <t xml:space="preserve"> - Turisztikai feladatok</t>
  </si>
  <si>
    <t>7.) Előző év költségvetési maradványának igénybevétele</t>
  </si>
  <si>
    <t>Elmaradt bevételek pótlására</t>
  </si>
  <si>
    <t>047410 Ár- és belvízvédelemmel összefüggő tevékenység</t>
  </si>
  <si>
    <t>063020 Víztermelés, -kezelés, -ellátás</t>
  </si>
  <si>
    <t>051030 Nem veszélyes hulladék vegyes begyűjtése, szállítása, átrakása</t>
  </si>
  <si>
    <t>066020 Város-, községgazdálkodási egyéb szolgáltatás</t>
  </si>
  <si>
    <t>066010 Zöldterület-kezelés</t>
  </si>
  <si>
    <t>081061 Szabadidős park, fürdő és strandszolgáltatás</t>
  </si>
  <si>
    <t>Domb alja u. szennyvízelvezetés és úthelyreállítás I.ütem</t>
  </si>
  <si>
    <t>013320 Köztemető-fenntartás és működtetés</t>
  </si>
  <si>
    <t>064010 Közvilágítás</t>
  </si>
  <si>
    <t>042180 Állat-egészségügy</t>
  </si>
  <si>
    <t>052020 Szennyvíz gyűjtése, tisztítása, elhelyezése</t>
  </si>
  <si>
    <t>084031 Civil szervezetek működési támogatása</t>
  </si>
  <si>
    <t>031030 Közterület rendjének fenntartása</t>
  </si>
  <si>
    <t>018020 Központi költségvetési befizetések</t>
  </si>
  <si>
    <t>083030 Egyéb kiadói tevékenység</t>
  </si>
  <si>
    <t>011140 Országos és helyi nemzetiségi önkorm.igazg. tev.</t>
  </si>
  <si>
    <t>107013 Hajléktalanok átmeneti ellátása</t>
  </si>
  <si>
    <t>083050 Televízió-műsor szolgáltatása és támogatása</t>
  </si>
  <si>
    <t xml:space="preserve"> - oktatási intézményekkel kepcsolatos elszámolások, befizetések</t>
  </si>
  <si>
    <t>Könyvtári érdekeltségnövelő támogatás</t>
  </si>
  <si>
    <t xml:space="preserve"> Szociális kiegészítő pótlék</t>
  </si>
  <si>
    <t>045140 Városi és elővárosi közúti személyszállítás</t>
  </si>
  <si>
    <t>900060 Forgatási és befektetési célú finanszírozási műveletek</t>
  </si>
  <si>
    <t>900070 Fejezeti és általános tartalékok elszámolása</t>
  </si>
  <si>
    <t>Zalaegerszegi Gazdasági Ellátó Szervezet</t>
  </si>
  <si>
    <t>6.b/2</t>
  </si>
  <si>
    <t>Rendezési tervek</t>
  </si>
  <si>
    <t>6.b/3</t>
  </si>
  <si>
    <t>6.b/4</t>
  </si>
  <si>
    <t>6.b/5</t>
  </si>
  <si>
    <t>1.a./2</t>
  </si>
  <si>
    <t>1.a./3</t>
  </si>
  <si>
    <t>041233 Hosszabb időtartamú közfoglalkoztatás</t>
  </si>
  <si>
    <t>094260 Hallgatói és oktatói ösztöndíjak, egyéb juttatások</t>
  </si>
  <si>
    <t>098010 Oktatás igazgatása</t>
  </si>
  <si>
    <t>074052 Kábítószer megelőzés programja</t>
  </si>
  <si>
    <t>082091 Közművelődés - közösségi és társ. részvétel fejleszt.</t>
  </si>
  <si>
    <t>082030 Művészeti tevékenység</t>
  </si>
  <si>
    <t>109010 Szociális szolgáltatás igazgatása</t>
  </si>
  <si>
    <t>045120 Út, autópálya építése</t>
  </si>
  <si>
    <t>045170 Parkoló, garázs üzemeltetése, fenntartása</t>
  </si>
  <si>
    <t>013350 Önk-i vagyonnal való gazdálkodáshoz kapcs.fa.</t>
  </si>
  <si>
    <t>031060 Bűnmegelőzés</t>
  </si>
  <si>
    <t xml:space="preserve"> - Kertváros LSC sportlétesítmény üzemeltetés tám.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</si>
  <si>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</si>
  <si>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</si>
  <si>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</si>
  <si>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</si>
  <si>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-Áfa visszaigénylés</t>
  </si>
  <si>
    <t xml:space="preserve"> - Egerszeg kártya értékesítés</t>
  </si>
  <si>
    <t xml:space="preserve">MŰKÖDÉSI CÉLÚ BEVÉTELEK ÖSSZ:                      </t>
  </si>
  <si>
    <t xml:space="preserve"> - Gébárti fürdő lét. üzemelt. (Termál és Tóstrand)</t>
  </si>
  <si>
    <t xml:space="preserve"> - Egészséges Városok Mozgalom</t>
  </si>
  <si>
    <t xml:space="preserve"> - saját fenntartású, illetve működtetésű intézmények karbantartása</t>
  </si>
  <si>
    <t xml:space="preserve"> - Zalaegerszegi Városi Diákönkormányzat </t>
  </si>
  <si>
    <t xml:space="preserve"> - Zalaegerszegi Főiskolások Egyesülete</t>
  </si>
  <si>
    <t xml:space="preserve"> - Gébárti Művésztelep</t>
  </si>
  <si>
    <t xml:space="preserve"> - Kontakt Kft. szegélyezési munkák</t>
  </si>
  <si>
    <t xml:space="preserve"> - Kontakt Kft. tuskómarási munkálatok</t>
  </si>
  <si>
    <t xml:space="preserve"> - Kontakt Kft. köztéri szobrok tisztítása</t>
  </si>
  <si>
    <t xml:space="preserve"> - Kontakt Kft. rágógumi eltávolítás, speciális szennyeződésmentesítés</t>
  </si>
  <si>
    <t xml:space="preserve"> - Kontakt Kft. graffiti eltávolítás</t>
  </si>
  <si>
    <t>Pázmány P.u. 17. alatti lakóépület tetőfödém felújítása (színész lakások ) Lakásalapból</t>
  </si>
  <si>
    <t xml:space="preserve"> - VG Kft. köztisztaság szerződéses munkák</t>
  </si>
  <si>
    <t xml:space="preserve"> - közfoglalkoztatás anyag- és eszközigény biztosítása</t>
  </si>
  <si>
    <t xml:space="preserve"> - vízbázis védőidomok, kártalanítások</t>
  </si>
  <si>
    <t>5./2</t>
  </si>
  <si>
    <t>5./4</t>
  </si>
  <si>
    <t>7.a./1</t>
  </si>
  <si>
    <t>1.a./1</t>
  </si>
  <si>
    <t xml:space="preserve"> - Aquapark üzemeltetés</t>
  </si>
  <si>
    <t xml:space="preserve"> - közterület használati díj </t>
  </si>
  <si>
    <t>Jogi igazgatási feladat összesen:</t>
  </si>
  <si>
    <t xml:space="preserve"> - folyószámla kamata</t>
  </si>
  <si>
    <t>Parkok, terek, játszóterek</t>
  </si>
  <si>
    <t>Megnevezés</t>
  </si>
  <si>
    <t>Csatornarendszer (szennyvíz-csapadékvíz)</t>
  </si>
  <si>
    <t>Összesen</t>
  </si>
  <si>
    <t>Polgármesteri Hivatal</t>
  </si>
  <si>
    <t>Városüzemelési feladatok</t>
  </si>
  <si>
    <t>Vagyonkezelési feladatok</t>
  </si>
  <si>
    <t xml:space="preserve"> - Bursa Hungarica ösztöndíj</t>
  </si>
  <si>
    <t xml:space="preserve"> - rendszeres gyermekvédelmi segély</t>
  </si>
  <si>
    <t>Közvilágítás fejlesztése Botfán és a páterdombi városrészben</t>
  </si>
  <si>
    <t xml:space="preserve"> - lakásgazdálkodási feladatokra</t>
  </si>
  <si>
    <t xml:space="preserve"> - Családsegítő Szolgálathoz krízissegélyezés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</si>
  <si>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</si>
  <si>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</si>
  <si>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</si>
  <si>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</si>
  <si>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</si>
  <si>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</si>
  <si>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>Egyéb finanszírozási bevétel</t>
  </si>
  <si>
    <t xml:space="preserve"> - Sportcsarnok és környéke igénybevétel miatti kiadás</t>
  </si>
  <si>
    <t xml:space="preserve"> - reptér működési kiadásai </t>
  </si>
  <si>
    <t xml:space="preserve"> - Polgármesteri rendelkezésű keret</t>
  </si>
  <si>
    <t>Egyéb finanszírozási kiadás</t>
  </si>
  <si>
    <t>számított hozzájárulás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</si>
  <si>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</si>
  <si>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</si>
  <si>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</si>
  <si>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</si>
  <si>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</si>
  <si>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 xml:space="preserve">  - óvodapedagógusok átlagbérének és közterheinek elismert összege 8 hó</t>
  </si>
  <si>
    <t xml:space="preserve">  - óvodapedagógusok átlagbérének és közterheinek elismert összege 4 hó</t>
  </si>
  <si>
    <t xml:space="preserve">  - pótlólagos tám. 2014. őszi béremeléshez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</si>
  <si>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</si>
  <si>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</si>
  <si>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>III.5.Gyermekétkeztetés támogatása</t>
  </si>
  <si>
    <t xml:space="preserve"> - ZALA-DEPO Kft.által fizetett haszn. díj </t>
  </si>
  <si>
    <t xml:space="preserve"> - köztemetés</t>
  </si>
  <si>
    <t>081041 Versenysport- és utánpótlás - nevelés tevékenység</t>
  </si>
  <si>
    <t>101211 Fogyatékossággal élők tartós bentlakásos ellátása</t>
  </si>
  <si>
    <t>084010 Társ.tev., esélyegyenlőséggel, érdekképv., nemzetiségekkel, egyházakkal kapcs. felad.igazg.</t>
  </si>
  <si>
    <t>106010 Lakóingatl. szoc.célú bérbeadása, üzemeltetése</t>
  </si>
  <si>
    <t xml:space="preserve">018030 Támogatás célú finanszírozási műveletek </t>
  </si>
  <si>
    <t>900020 Önkormányzatok funkcióra nem sorolható bevételei áht-n kívűlről</t>
  </si>
  <si>
    <t>082042 Könyvtári állomány gyarapítása, nyilvánt.</t>
  </si>
  <si>
    <t>Rovat száma</t>
  </si>
  <si>
    <t>K1</t>
  </si>
  <si>
    <t>K2</t>
  </si>
  <si>
    <t>K3</t>
  </si>
  <si>
    <t>K4</t>
  </si>
  <si>
    <t>K5</t>
  </si>
  <si>
    <t>K6</t>
  </si>
  <si>
    <t>1./3./4</t>
  </si>
  <si>
    <t>Kölcsey F.Gimnázium gumiburkolatú sportpálya felújítása</t>
  </si>
  <si>
    <t>K7</t>
  </si>
  <si>
    <t>K8</t>
  </si>
  <si>
    <t>5.a/1</t>
  </si>
  <si>
    <t>Helyi építészeti értékek védelme</t>
  </si>
  <si>
    <t>5.a/2</t>
  </si>
  <si>
    <t>5.a/3</t>
  </si>
  <si>
    <t xml:space="preserve"> a) a finanszírozás szempontjából elismert szakmai dolgozók bértámogatása</t>
  </si>
  <si>
    <t>Mártírok útja-Arany J.u.átkötő út víziközmű fejlesztés</t>
  </si>
  <si>
    <t>2./4.</t>
  </si>
  <si>
    <t>Olajmunkás u.-Czobor u.ivóvízátkötővezeték fejlesztés</t>
  </si>
  <si>
    <t>9./16.</t>
  </si>
  <si>
    <t>Európai Mobilitási Hét</t>
  </si>
  <si>
    <t>10./5.</t>
  </si>
  <si>
    <t>POFOSZ emlékhely megújítása Mártírok u. 5-7.sz.alatt</t>
  </si>
  <si>
    <t>Önk-i tulajdonú lakások iparosított technológiájú felújításához pe. átadás LÉSZ Kft.részére (Lakásalapból)</t>
  </si>
  <si>
    <t>013350 Önkormányzati vagyonnal való gazdálkodással kapcsolatos feladatok</t>
  </si>
  <si>
    <t xml:space="preserve"> - intézményi pályázatokhoz megelőlegezett pénzeszköz</t>
  </si>
  <si>
    <t>Felhalmozási célú pénzeszköz átadás a Z.M.Katasztrófavéd. Igazgatóság részére</t>
  </si>
  <si>
    <t>1./8.</t>
  </si>
  <si>
    <t>Nyugat-Pannon Zrt. tőkekivonás</t>
  </si>
  <si>
    <t>Jótékonysági nap bevételéből a Gondozóházban lift felújítása</t>
  </si>
  <si>
    <t>b) Gyermekétkeztetés-üzemeltetési támogatás</t>
  </si>
  <si>
    <t xml:space="preserve">Landorhegyi u. 25-29. sz. társasházak mögötti járdaszakasz, rézsű aszfaltozása, felújítása I. ütem </t>
  </si>
  <si>
    <t>Bodza u. burkolat felújítás</t>
  </si>
  <si>
    <t>Karácsony S. u.vízvezeték utáni felújítás</t>
  </si>
  <si>
    <t>Közösségi tér fejlesztés Vorhotán</t>
  </si>
  <si>
    <t xml:space="preserve">Közösségi térfejlesztése Újhegyen </t>
  </si>
  <si>
    <t>9./4</t>
  </si>
  <si>
    <t>Beruházási és felújítási kiadások:</t>
  </si>
  <si>
    <t>Műszaki  Bizottság átruházott hatáskörében felosztható keret</t>
  </si>
  <si>
    <t>Oktatási, Kulturális,Ifjúsági és Sport Bizottság átruházott hatáskörében felosztható keret</t>
  </si>
  <si>
    <t>Szociális, Lakás és Egészségügyi  Bizottság átruházott hatáskörében felosztható keret</t>
  </si>
  <si>
    <t>Gébárti tó andráshidai ág rendbetétele</t>
  </si>
  <si>
    <t>Hatházán közösségi tér kialakításának folytatása</t>
  </si>
  <si>
    <t>Pózvai játszótérre játékok beszerzés</t>
  </si>
  <si>
    <t>Berzsenyi-Stadion belső lakótömbbe műanyag fűvédő a felnőtt játszótér köré</t>
  </si>
  <si>
    <t>Lakótelepek faállományának megújítása</t>
  </si>
  <si>
    <t>Önkormányzati erdő ápolási és megújítási feladatok</t>
  </si>
  <si>
    <t>9./15.</t>
  </si>
  <si>
    <t>ZTE KK Kft. részére fejlesztési célú pénzeszköz átadás TAO-s pályázathoz szükséges terv készítéséhez</t>
  </si>
  <si>
    <t xml:space="preserve"> - Olasz Nagykövetség támogatása temetői fejlesztéshez</t>
  </si>
  <si>
    <t>Cserével vegyes ingatlanszerződések</t>
  </si>
  <si>
    <t>Csány László szobor környezetének rendezése</t>
  </si>
  <si>
    <t>Ságodi játszótér felújítása</t>
  </si>
  <si>
    <t>Belvárosi zöldfelület felújítás</t>
  </si>
  <si>
    <t xml:space="preserve"> - Foglalkoztatás támogatása, munkaerőkölcsönzés</t>
  </si>
  <si>
    <t xml:space="preserve"> - Vállalkozás fejlesztés és befektetés támogató program</t>
  </si>
  <si>
    <t xml:space="preserve"> - közterület felügyelet működési kiadásai</t>
  </si>
  <si>
    <t xml:space="preserve"> - önkormányzati utak szakági nyilvántartása</t>
  </si>
  <si>
    <t>Jogi és igazgatási feladatok összesen:</t>
  </si>
  <si>
    <t>Pénzügyi lebonyolítás:</t>
  </si>
  <si>
    <t xml:space="preserve"> - forgalmi jutalék, számlavezetési díj</t>
  </si>
  <si>
    <t xml:space="preserve"> - ÁFA befizetés</t>
  </si>
  <si>
    <t xml:space="preserve"> - vagyon- és gépjármű biztosítás</t>
  </si>
  <si>
    <t xml:space="preserve"> - könyvvizsgálat díja</t>
  </si>
  <si>
    <t xml:space="preserve">  - városi kiadvány</t>
  </si>
  <si>
    <t xml:space="preserve"> - Nemzetközi kapcsolatokra</t>
  </si>
  <si>
    <t xml:space="preserve"> - Hajléktalanok szállása (Vöröskereszt) műk. támog.</t>
  </si>
  <si>
    <t xml:space="preserve"> - Városi TV működési támogatása</t>
  </si>
  <si>
    <t xml:space="preserve"> - kéményseprő-ipari közszolgálatás ellátása</t>
  </si>
  <si>
    <t xml:space="preserve"> - Fejlesztési célú hitel igénybevételi díj, törlesztés és   kamatfizetési kötelezettség</t>
  </si>
  <si>
    <t xml:space="preserve"> - Zeg.Felsőfokú Oktatásáért Közalapítvány támogatása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</si>
  <si>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</si>
  <si>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</si>
  <si>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</si>
  <si>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</si>
  <si>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</si>
  <si>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</si>
  <si>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</si>
  <si>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</si>
  <si>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Turisztikai Hivatal és Információs Iroda</t>
  </si>
  <si>
    <t>Hevesi Sándor Színház</t>
  </si>
  <si>
    <t>Griff Bábszínház</t>
  </si>
  <si>
    <t>Pénzügyi lebonyolítás és kp-i  összesen:</t>
  </si>
  <si>
    <t>22.</t>
  </si>
  <si>
    <t>Gazdasági   Bizottság átruházott hatáskörében felosztható keret</t>
  </si>
  <si>
    <t xml:space="preserve">        egyéb szervezetek támogatása</t>
  </si>
  <si>
    <t xml:space="preserve">        lakossági, civil kezdeményezések támogatása</t>
  </si>
  <si>
    <t>TOP-6.1.4 -15-ZL1-2016-00003 Zöld Zala-part Turisztikai célú kerékpárút fejlesztés a Zala Mentén és Gébárton</t>
  </si>
  <si>
    <t>TOP-6.2.1-15- ZL1-2016-00001 Andráshidai Óvoda éptése</t>
  </si>
  <si>
    <t xml:space="preserve"> - liberalizált energiapiacra való kilépés műszaki előkész.</t>
  </si>
  <si>
    <t>Önkormányzat összesen költségetési szervek nélkül</t>
  </si>
  <si>
    <t>2.) Önkormányzat szakosztályainak  kiadásai</t>
  </si>
  <si>
    <t xml:space="preserve"> - közvilágítási hálózat karbantartása</t>
  </si>
  <si>
    <t xml:space="preserve"> - közvilágítási feladatok előkészítő munkái</t>
  </si>
  <si>
    <t>Városüzemelési kiadások összesen:</t>
  </si>
  <si>
    <t>Városépítészeti feladatok:</t>
  </si>
  <si>
    <t>Városépítészet összesen:</t>
  </si>
  <si>
    <t xml:space="preserve">Vagyonkezelési feladatok </t>
  </si>
  <si>
    <t xml:space="preserve"> - helyiséggazdálkodás kiadásai</t>
  </si>
  <si>
    <t>Kosztolányi óvoda felújítás, támogatás</t>
  </si>
  <si>
    <t>Petőfi óvoda felújítás, támogatás</t>
  </si>
  <si>
    <t>Kis u óvoda régi szárnyában nyílászáró csere</t>
  </si>
  <si>
    <t>Szent László utcai Óvoda felújítás</t>
  </si>
  <si>
    <t>Ady Isk. felújítás, támogatás, bejárat hőbefújó</t>
  </si>
  <si>
    <t>Petőfi iskola felújítás, támogatás</t>
  </si>
  <si>
    <t>Mindszenty iskola felújítás, támogatás</t>
  </si>
  <si>
    <t>Izsák Imre általános iskola felújítás, támogatás</t>
  </si>
  <si>
    <t>Petőfi utcai bölcsőde felújítás, támogatás</t>
  </si>
  <si>
    <t>Tipegő Bölcsőde felújítás, támogatás</t>
  </si>
  <si>
    <t>ZMJV ITP projektjeinek előkészítésével kapcsolatos kiadások (2016-2018. évi projektekhez)</t>
  </si>
  <si>
    <t xml:space="preserve"> - tűzifa támogatás</t>
  </si>
  <si>
    <t>Családok otthonteremtési kedvezménye</t>
  </si>
  <si>
    <t>1./2./8.</t>
  </si>
  <si>
    <t xml:space="preserve">Ady Endre Általános Iskola balesetveszélyes támfal elbontása </t>
  </si>
  <si>
    <t>2./2.</t>
  </si>
  <si>
    <t>"Sakkozók" c. szobor megvilágítása</t>
  </si>
  <si>
    <t xml:space="preserve">4./3. </t>
  </si>
  <si>
    <t>Városi  Sportcentrumban dobókör védőketrec telepítése</t>
  </si>
  <si>
    <t>4.a/12.</t>
  </si>
  <si>
    <t xml:space="preserve">Tesco körforgalom gyalogátkelő és járdakapcsolat kialakítás </t>
  </si>
  <si>
    <t>Ivókút létesítése köztéri parkokba, játszóterekre</t>
  </si>
  <si>
    <t>8./2.</t>
  </si>
  <si>
    <t xml:space="preserve"> - Arany J.u.-Mártírok útja közötti területrendezés elszámolása</t>
  </si>
  <si>
    <t>1./5.</t>
  </si>
  <si>
    <t>Arany J.u.-Mártírok útja közötti területrendezés elszámolása</t>
  </si>
  <si>
    <t>10./4.</t>
  </si>
  <si>
    <t>ELENA projekt előkészítési feladatok</t>
  </si>
  <si>
    <t>Göcseji temető hátsó bejárat parkoló építés</t>
  </si>
  <si>
    <t>2./3.</t>
  </si>
  <si>
    <t>Deák téri ivókút vízellátása</t>
  </si>
  <si>
    <t>5./1.</t>
  </si>
  <si>
    <t>Deák téri ivókút telepítéssel összefüggő kiadások</t>
  </si>
  <si>
    <t>6.b/6.</t>
  </si>
  <si>
    <t>Idősek Otthona(Kolping) befejező munkák</t>
  </si>
  <si>
    <t>9./11.</t>
  </si>
  <si>
    <t>Református lelkészi hivatal nyílászárók cseréjéhez pe. átadás</t>
  </si>
  <si>
    <t>9./12.</t>
  </si>
  <si>
    <t>10./1.18.</t>
  </si>
  <si>
    <t>TOP orvosi rendelők külső hőszigetelése ( nem támogatott munkarész)</t>
  </si>
  <si>
    <t xml:space="preserve"> - önkorm.tulajdonban lévő intézmények energetikai auditjának elkészítése</t>
  </si>
  <si>
    <t xml:space="preserve"> - Lakásalappal kapcsolatos kiadások</t>
  </si>
  <si>
    <t xml:space="preserve"> - Közterületfelügyeleti bírság továbbutalása</t>
  </si>
  <si>
    <t>Evangélikus gyülekezeti ház felújítása</t>
  </si>
  <si>
    <t xml:space="preserve">Út-járda parkoló </t>
  </si>
  <si>
    <t>5.a/12</t>
  </si>
  <si>
    <t>5.a/13</t>
  </si>
  <si>
    <t>5.a/14</t>
  </si>
  <si>
    <t>2.a/1</t>
  </si>
  <si>
    <t>2.a/2</t>
  </si>
  <si>
    <t>2.a/3</t>
  </si>
  <si>
    <t>2.a/4</t>
  </si>
  <si>
    <t>2.a/5</t>
  </si>
  <si>
    <t>2.a/6</t>
  </si>
  <si>
    <t xml:space="preserve">Kosztolányi u. kétirányúsítása,Tüttőssy u. Ny-i oldal közterület átépítése                                    </t>
  </si>
  <si>
    <t>Belvárosrehabiltációhoz kapcsolódó fejlesztések (Lakásalapból)</t>
  </si>
  <si>
    <t xml:space="preserve"> - közterület reklám célú bérbeadása</t>
  </si>
  <si>
    <t>2015. évről áthúzódó feladat</t>
  </si>
  <si>
    <t>10./3.</t>
  </si>
  <si>
    <t>10./3.1</t>
  </si>
  <si>
    <t>10./3.2</t>
  </si>
  <si>
    <t>10./3.3</t>
  </si>
  <si>
    <t>10./3.4</t>
  </si>
  <si>
    <t>10./3.5</t>
  </si>
  <si>
    <t>10.a/1.</t>
  </si>
  <si>
    <t>Modern Városok Program projektjeinek előkészítés</t>
  </si>
  <si>
    <t>Aquaparkban felújítások</t>
  </si>
  <si>
    <t>Zalabesenyői templom felújítása</t>
  </si>
  <si>
    <t>Hadkieg. épület felújítása</t>
  </si>
  <si>
    <t>Sas utca - Jánkahegyi út csp átépítése, vízvezeték építés</t>
  </si>
  <si>
    <t>Kutasi u. járda építése</t>
  </si>
  <si>
    <t>Göcseji úti köztemető ravatalozó épület átépítése</t>
  </si>
  <si>
    <t>Apátfai temető kerítés építése</t>
  </si>
  <si>
    <t>17194*</t>
  </si>
  <si>
    <t>1./1/4</t>
  </si>
  <si>
    <t xml:space="preserve"> - '47-es Honvéd Zászlóalj Hagyományőrző Egyesület támogatása</t>
  </si>
  <si>
    <t>4.a/11</t>
  </si>
  <si>
    <t>I.6.2015. évről áthúzúdó bérkompenzáció</t>
  </si>
  <si>
    <t xml:space="preserve">       Kiegészítő támogatás a bölcsődében foglalkoztatott felsőfokú végzettségű kisgyermeknevelők béréhez</t>
  </si>
  <si>
    <t>8./1.</t>
  </si>
  <si>
    <t>Kerékpártárolók létesítése intézményekbe</t>
  </si>
  <si>
    <t>Vizslaparki u. 48. (BGF kollégium) üzletek felújítása</t>
  </si>
  <si>
    <t>Zóna étterem állagmegóvás, szigetelés</t>
  </si>
  <si>
    <t xml:space="preserve"> - szociális krízis alap</t>
  </si>
  <si>
    <t xml:space="preserve"> - adósságkezelési támogatás</t>
  </si>
  <si>
    <t xml:space="preserve"> - adósságkezeléshez kapcsolódó lakásfenntartási támogatás</t>
  </si>
  <si>
    <t xml:space="preserve"> - Pannon Egyetem költségtérítéses hallgatók támogatása</t>
  </si>
  <si>
    <t xml:space="preserve"> - Waldorf óvoda támogatása</t>
  </si>
  <si>
    <t xml:space="preserve"> - Játékmackó Pedagógiai Alapítvány támogatása</t>
  </si>
  <si>
    <t xml:space="preserve"> - Kölcsey F.Gimn.természettudományos labor eszközpótlás,javítás</t>
  </si>
  <si>
    <t>Fizető parkolók kialakítása (Október 6.tér, Budai Nagy A.u.)</t>
  </si>
  <si>
    <t xml:space="preserve"> - Tanévnyító rendezvény (Vizslapark)</t>
  </si>
  <si>
    <t xml:space="preserve"> - Zalaegerszegi Honvéd Klub támogatása</t>
  </si>
  <si>
    <t xml:space="preserve"> - Fánky Fesztivál</t>
  </si>
  <si>
    <t xml:space="preserve"> - Kamaratánc Fesztivál</t>
  </si>
  <si>
    <t xml:space="preserve"> -  táncház mozgalom</t>
  </si>
  <si>
    <t xml:space="preserve"> - Dús László album</t>
  </si>
  <si>
    <t xml:space="preserve"> - ösztöndíjak kommunikációja</t>
  </si>
  <si>
    <t xml:space="preserve">  - komolyzenei hétvége</t>
  </si>
  <si>
    <t xml:space="preserve"> - 1956-os forradalom 60. évfordulója</t>
  </si>
  <si>
    <t xml:space="preserve"> - Idősek otthona működési támogatás ( Kolping) </t>
  </si>
  <si>
    <t xml:space="preserve"> - Zalaegerszegi Judo SE támogatása</t>
  </si>
  <si>
    <t xml:space="preserve"> - ZTC (Tájfutó Club) támogatása</t>
  </si>
  <si>
    <t xml:space="preserve"> - Profi Boksz Gála </t>
  </si>
  <si>
    <t xml:space="preserve"> - ZKSE verseny rendezése</t>
  </si>
  <si>
    <t xml:space="preserve"> - Göcsej Kupa</t>
  </si>
  <si>
    <t xml:space="preserve"> - Horgászegyesületek Z.M. Szövetsége támogatása</t>
  </si>
  <si>
    <t xml:space="preserve"> - gördeszkapálya ledes világítás, burkolatjavítás</t>
  </si>
  <si>
    <t xml:space="preserve"> - nyilvános illemhely üzemeltetése</t>
  </si>
  <si>
    <t xml:space="preserve"> - mezőgazdasági utak karbantartása</t>
  </si>
  <si>
    <t xml:space="preserve"> - játszótéri eszközök felülvizsgálata, tiltó táblák</t>
  </si>
  <si>
    <t xml:space="preserve"> - kutyafuttatók üzemeltetése, karbantartása</t>
  </si>
  <si>
    <t xml:space="preserve"> - forgalmasabb közl-i útvonalak hőségben történő locsolása</t>
  </si>
  <si>
    <t xml:space="preserve"> - köztéri szobrok, emlékművek helyreállítása, javítása</t>
  </si>
  <si>
    <t xml:space="preserve"> - gyepmesteri tev.ellátásához eszköz és munkaruha biztosítása</t>
  </si>
  <si>
    <t xml:space="preserve"> - kiemelt projektek működési kiadásai</t>
  </si>
  <si>
    <t xml:space="preserve"> - Ingatlan értékesítések közvetítői díja</t>
  </si>
  <si>
    <t xml:space="preserve"> - Múzeum kieső régészeti bevételének kompenzálása visszatérítendő támogatással </t>
  </si>
  <si>
    <t xml:space="preserve"> - helyi buszközlekedés veszteségének finanszírozása</t>
  </si>
  <si>
    <t xml:space="preserve"> - tagsági díjak ( MJVSZ stb.)</t>
  </si>
  <si>
    <t xml:space="preserve"> - városi évfordulók, ünnepélyek</t>
  </si>
  <si>
    <t xml:space="preserve"> - Egerszegi Sport és Turizmus Kft. működési támogatása</t>
  </si>
  <si>
    <t xml:space="preserve"> - ZalaSport Online (ANDÉ Bt.) támogatása</t>
  </si>
  <si>
    <t>Intézmények egyéb feladatainak évközi finanszírozása</t>
  </si>
  <si>
    <t>Önkormányzat stratégiai és egyéb feladataira</t>
  </si>
  <si>
    <t xml:space="preserve">         2016. évi közösségi, művészeti pályázatok</t>
  </si>
  <si>
    <t>Önkormányzat tulajdonában lévő mintegy 30 db bérlakás   teljes vagy részleges  felújítása, korszerűsítése  (Lakásalap)</t>
  </si>
  <si>
    <t xml:space="preserve"> - Család- és gyermekjóléti központok egyszeri támogatása</t>
  </si>
  <si>
    <t>2015. évről áthúzódó feladatok</t>
  </si>
  <si>
    <t>Andráshidai új óvoda építéséhez villamos energia vételezése</t>
  </si>
  <si>
    <t>Art mozi fűtéskorszerűsítés, külső ajtók felújítása</t>
  </si>
  <si>
    <t>"Fiatalok" című köztéri alkotás megvalósítása</t>
  </si>
  <si>
    <t>1./3./3</t>
  </si>
  <si>
    <t>Adventi megújulás felhalmozási célú pe.átadás a Kvártélyház Kft. részére</t>
  </si>
  <si>
    <t>3./1./3</t>
  </si>
  <si>
    <t xml:space="preserve"> - közterületen hagyott gépjárművek értékesítése</t>
  </si>
  <si>
    <t>Önkormányzati területek rendezése, bontások</t>
  </si>
  <si>
    <t xml:space="preserve"> - közterületek, önk-i ingatlanok zöldfelület gazdálkodása</t>
  </si>
  <si>
    <t xml:space="preserve">  -  környezetvéd.alap feltöltése</t>
  </si>
  <si>
    <t xml:space="preserve"> - Botfai LSC sportlétesítmény üzemeltetés tám.</t>
  </si>
  <si>
    <t>Ivóvíz beruházások</t>
  </si>
  <si>
    <t>Vagyonkezelési feladatok műk. kiadásai</t>
  </si>
  <si>
    <t>Jogi és igazgatási feladatok:</t>
  </si>
  <si>
    <t xml:space="preserve"> - helyi védelmi igazgatás</t>
  </si>
  <si>
    <t xml:space="preserve"> - közbeszerzési eljárásokkal és jogi feladatokkal  kapcsolatos díjak</t>
  </si>
  <si>
    <t xml:space="preserve"> - kamatmentes hitelek és kölcsön  törlesztéséből </t>
  </si>
  <si>
    <t>Egészségügyi és humánigazgatási feladatok</t>
  </si>
  <si>
    <t>Önkormányzat összesen:</t>
  </si>
  <si>
    <t>I. Működési célú bevételek</t>
  </si>
  <si>
    <t>I. Működési célú kiadások</t>
  </si>
  <si>
    <t xml:space="preserve"> - csapadékvízelvezető és árvízvédelmi létesítménnyek tisztítása-diagnosztika</t>
  </si>
  <si>
    <t>Közvilágítás és egyéb közmű beruházások</t>
  </si>
  <si>
    <t>4.) Céltartalékból működésre</t>
  </si>
  <si>
    <t>MŰKÖDÉSI CÉLÚ KIADÁSOK ÖSSZ.:</t>
  </si>
  <si>
    <t>Városüzemelési felad.</t>
  </si>
  <si>
    <t>Vagyonkez. feladatok</t>
  </si>
  <si>
    <t>Jogi és közig. feladatok</t>
  </si>
  <si>
    <t>Kiadások összesen</t>
  </si>
  <si>
    <t xml:space="preserve"> - felsőoktatási ösztöndíj</t>
  </si>
  <si>
    <t>Önkormányzat</t>
  </si>
  <si>
    <t xml:space="preserve">Önkormányzat </t>
  </si>
  <si>
    <t>Költségvetési szervek</t>
  </si>
  <si>
    <t xml:space="preserve"> - Ispita Alapítvány támogatása</t>
  </si>
  <si>
    <t xml:space="preserve"> - faállományok felmérése</t>
  </si>
  <si>
    <t xml:space="preserve"> - vízbázisok védőövezeteinek ingatlannyilvántartásba történő bejegyzése</t>
  </si>
  <si>
    <t xml:space="preserve"> - Tervtanács  működtetése</t>
  </si>
  <si>
    <t>Főépítészi feladatok</t>
  </si>
  <si>
    <t>Főépítészi feladatok összesen:</t>
  </si>
  <si>
    <t xml:space="preserve"> - főépítészi feladatok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</si>
  <si>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</si>
  <si>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</si>
  <si>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</si>
  <si>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</si>
  <si>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 xml:space="preserve">     ba) zöldterület gazdálkodással kapcsolatos feladatok ellátásának támogatása (hektár)</t>
  </si>
  <si>
    <t xml:space="preserve"> -" Landorhegyi esték" rendezvény</t>
  </si>
  <si>
    <t xml:space="preserve">     bb) közvilágítás fenntartásának támogatása  (km)</t>
  </si>
  <si>
    <t>Gébárt Boldogasszony kápolna engedélyezési terve</t>
  </si>
  <si>
    <t>Intézményi Gazdasági Ellátó Szervezet</t>
  </si>
  <si>
    <t>Zalaegerszegi Egészségügyi Alapellátási Intézmény</t>
  </si>
  <si>
    <t>Zalaegerszegi Család- és Gyermekjóléti Központ</t>
  </si>
  <si>
    <t>Közgyűjteményi és Közművelődési GESZ</t>
  </si>
  <si>
    <t>19.</t>
  </si>
  <si>
    <t>Városi Sportlétesítmény Gondnokság Intézménye</t>
  </si>
  <si>
    <t>20.</t>
  </si>
  <si>
    <t xml:space="preserve">     bc) köztemető fenntartással kapcsolatos feladatok támogatása  (m²)</t>
  </si>
  <si>
    <t>1.d) Lakott külterülettel kapcsolatos feladatok támogatása</t>
  </si>
  <si>
    <t xml:space="preserve"> - beruházási feladatokhoz kapcsolódó működési kiadások</t>
  </si>
  <si>
    <t xml:space="preserve"> - stratégiai fejlesztési feladatokhoz kapcsolódó működési kiadások</t>
  </si>
  <si>
    <t xml:space="preserve"> - monográfia</t>
  </si>
  <si>
    <t xml:space="preserve"> - Ágazati felad. postai szolg. és utalvány díja, illeték</t>
  </si>
  <si>
    <t xml:space="preserve"> - Református Egyház által fizetendő bérleti díj</t>
  </si>
  <si>
    <t xml:space="preserve"> - önkormányzat kezelésében lévő ingatlanok hasznosításához kapcsolódó kiadások</t>
  </si>
  <si>
    <t xml:space="preserve"> - önkormányzat kezelésében lévő ingatlanok hasznosításából származó bevétel</t>
  </si>
  <si>
    <t xml:space="preserve"> - körzeti orvosi ügyelet fenntartásához községek hozzájárulása</t>
  </si>
  <si>
    <t xml:space="preserve"> - VERSO projekt pályázati támogatás</t>
  </si>
  <si>
    <t>Munkaadókat terhelő járulékok és szociális hj. adó</t>
  </si>
  <si>
    <t xml:space="preserve">Dologi kiadások </t>
  </si>
  <si>
    <t xml:space="preserve"> - ZTE KK. Kft. támogatás </t>
  </si>
  <si>
    <r>
      <t xml:space="preserve">            </t>
    </r>
    <r>
      <rPr>
        <b/>
        <i/>
        <sz val="10"/>
        <rFont val="Times New Roman"/>
        <family val="1"/>
      </rPr>
      <t>Középiskolák</t>
    </r>
  </si>
  <si>
    <t>Kiemelt projektek</t>
  </si>
  <si>
    <t>Beruházási és felújítási kiadások</t>
  </si>
  <si>
    <t>Stratégiai feladatok</t>
  </si>
  <si>
    <t>10./1.</t>
  </si>
  <si>
    <t xml:space="preserve"> Beruházási és felújítási  kiadások </t>
  </si>
  <si>
    <t>LÉSZ Kft.részére önk-i tulajdonú ingatlanok utáni felújítási hozzájárulás</t>
  </si>
  <si>
    <t xml:space="preserve">Beruházási és felújítási kiadások </t>
  </si>
  <si>
    <t>1.a/7</t>
  </si>
  <si>
    <t xml:space="preserve">              Óvodák </t>
  </si>
  <si>
    <t xml:space="preserve">                 Egészségügyi és humánigazgatási feladatok</t>
  </si>
  <si>
    <t xml:space="preserve">              Sportfeladatok</t>
  </si>
  <si>
    <t>6.a/8</t>
  </si>
  <si>
    <t>6.a/9</t>
  </si>
  <si>
    <t>1./8</t>
  </si>
  <si>
    <t>1./9</t>
  </si>
  <si>
    <t>1./10</t>
  </si>
  <si>
    <t>1./11</t>
  </si>
  <si>
    <t>4./38</t>
  </si>
  <si>
    <t>4./39</t>
  </si>
  <si>
    <t>4./40</t>
  </si>
  <si>
    <t>4./41</t>
  </si>
  <si>
    <t>5./12</t>
  </si>
  <si>
    <t>5./13</t>
  </si>
  <si>
    <t>5./14</t>
  </si>
  <si>
    <t>5./15</t>
  </si>
  <si>
    <t>5.a/7</t>
  </si>
  <si>
    <t>5.a/8</t>
  </si>
  <si>
    <t>5.a/9</t>
  </si>
  <si>
    <t xml:space="preserve">Ivóvíz </t>
  </si>
  <si>
    <t xml:space="preserve">Közvilágítás és egyéb közmű </t>
  </si>
  <si>
    <t>9./5</t>
  </si>
  <si>
    <t>9./6</t>
  </si>
  <si>
    <t>9./7</t>
  </si>
  <si>
    <t>9./8</t>
  </si>
  <si>
    <t>9./9</t>
  </si>
  <si>
    <t>feladat jellege</t>
  </si>
  <si>
    <t>Vásárcsarnok</t>
  </si>
  <si>
    <t>Dologi kiadások</t>
  </si>
  <si>
    <t>Felhalmozási célú céltartalék</t>
  </si>
  <si>
    <t>1. Óvodapedagógusok és az óvodapedagógusok nevelő munkáját közvetlenül segítők bértámogatása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</si>
  <si>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</si>
  <si>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</si>
  <si>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</si>
  <si>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</si>
  <si>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</si>
  <si>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</si>
  <si>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</si>
  <si>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</si>
  <si>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</si>
  <si>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</si>
  <si>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 xml:space="preserve">   g) Fogyatékos és demens személyek nappali intézményi ellátása</t>
  </si>
  <si>
    <t xml:space="preserve">   h)  Pszichiátriai és szenvedélybetegek nappali intézményi ellátása</t>
  </si>
  <si>
    <t xml:space="preserve">  j) Gyermekek napközbeni ellátása</t>
  </si>
  <si>
    <t xml:space="preserve">  ja) Bölcsődei ellátás</t>
  </si>
  <si>
    <t>Bevételek összesen</t>
  </si>
  <si>
    <t xml:space="preserve"> - rendezvényhez kapcsolódó forgalomkorlátozások</t>
  </si>
  <si>
    <t xml:space="preserve"> - utastájékoztatási rendszer üzemeltetése</t>
  </si>
  <si>
    <t xml:space="preserve"> - köztemetőben lévő hadisírok rendbetétele</t>
  </si>
  <si>
    <t xml:space="preserve"> - városmarketing</t>
  </si>
  <si>
    <t xml:space="preserve">  - Nyugat-Pannon Járműipari és Mechanikai Szolgáltató Kp. működési hozzájárulás</t>
  </si>
  <si>
    <t xml:space="preserve"> - Zalaegerszegi Ifjúsági Kerekasztal</t>
  </si>
  <si>
    <t xml:space="preserve"> - Zalaegerszegi Kábítószerügyi Egyeztető Fórum</t>
  </si>
  <si>
    <t xml:space="preserve"> - hatósági ügyintézés</t>
  </si>
  <si>
    <t xml:space="preserve"> - Keresztury Emlékbizottság</t>
  </si>
  <si>
    <t xml:space="preserve"> - idősügyi feladatok</t>
  </si>
  <si>
    <t>1. Pénzbeli szociális ellátások kiegészítése</t>
  </si>
  <si>
    <t>Polgármesteri Kabinet működési kiadásai összesen:</t>
  </si>
  <si>
    <t>Polgármesteri Kabinet összesen:</t>
  </si>
  <si>
    <t xml:space="preserve"> - Egerszeg Sport és Turizmus Kft. által szervezett rendezvények</t>
  </si>
  <si>
    <t>Működési költségvetés összesen:</t>
  </si>
  <si>
    <t>Felhalmozási költségvetés összesen:</t>
  </si>
  <si>
    <t>ÖNKORMÁNYZAT ÖSSZESEN:</t>
  </si>
  <si>
    <t>1.) Költségvetési szervek kiadásai</t>
  </si>
  <si>
    <t xml:space="preserve"> - erdészeti szakirányítás</t>
  </si>
  <si>
    <t>1.d) Lakott külterülettel kapcsolatos feladatok támogatása - beszámítás után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</si>
  <si>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</si>
  <si>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</si>
  <si>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</si>
  <si>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</si>
  <si>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2. Óvodaműködtetési támogatás 8 hóra</t>
  </si>
  <si>
    <t xml:space="preserve"> - Csuti SK támogatása</t>
  </si>
  <si>
    <t>Tervezési alapegység</t>
  </si>
  <si>
    <t xml:space="preserve"> - Idősek Otthona bérleti díj (Kolping OSZISZ)</t>
  </si>
  <si>
    <t xml:space="preserve"> - kishaszonbérlet</t>
  </si>
  <si>
    <t xml:space="preserve"> - Városi strand pancsoló medence bérleti díj</t>
  </si>
  <si>
    <t>x</t>
  </si>
  <si>
    <t xml:space="preserve"> - belterületbe vonással kapcsolatos bevétel</t>
  </si>
  <si>
    <t xml:space="preserve"> - Zalai Közszolgáltató Nonprofit Kft. bérleti díj eszközpark használata után</t>
  </si>
  <si>
    <t xml:space="preserve"> - építmény adó</t>
  </si>
  <si>
    <t xml:space="preserve"> - kommunális adó</t>
  </si>
  <si>
    <t xml:space="preserve"> - jövedéki adó</t>
  </si>
  <si>
    <t xml:space="preserve"> - Városi Fedett uszoda működési  támogatása</t>
  </si>
  <si>
    <t xml:space="preserve"> - Városi  Fedett uszoda működési  támogatása</t>
  </si>
  <si>
    <t xml:space="preserve"> - felnőtt játszótér üzemeltetése, karbantartása</t>
  </si>
  <si>
    <t xml:space="preserve"> - 2015. évi maradvány igénybevétele áthúzódó felhalmozási feladatokhoz </t>
  </si>
  <si>
    <t xml:space="preserve"> - Göcseji Múzeum részére megelőlegezett támogatás visszafizetése</t>
  </si>
  <si>
    <t xml:space="preserve"> - 2015. évi maradvány igénybevétele új feladatokhoz</t>
  </si>
  <si>
    <t xml:space="preserve"> - lakásfenntartási támogatási segély</t>
  </si>
  <si>
    <t xml:space="preserve"> - egyszeri nevelési támogatás</t>
  </si>
  <si>
    <t xml:space="preserve"> - méltányossági segély</t>
  </si>
  <si>
    <t xml:space="preserve"> - temetési segély</t>
  </si>
  <si>
    <t xml:space="preserve"> - átmeneti segély</t>
  </si>
  <si>
    <t>Árvízvédelmi raktár feltöltése</t>
  </si>
  <si>
    <t>Vízjogi engedélyezési eljárások díja</t>
  </si>
  <si>
    <t>Szentmártoni út - Jegenyés u. sarok csap-csatorna építés</t>
  </si>
  <si>
    <t>Kikelet u. Bartók lakópark csapadékvízelvezetése</t>
  </si>
  <si>
    <t>Lokális csapadékvízelvezetési munkák elvégzése</t>
  </si>
  <si>
    <t>Világítás a Berzsenyi belső felnőtt játszóteréhez</t>
  </si>
  <si>
    <t>Jókai 47-49 játszótér melletti járda világítás</t>
  </si>
  <si>
    <t>Juhász Gy vasúti aluljáró világítás felújítás</t>
  </si>
  <si>
    <t xml:space="preserve">            Egyéb feladatok</t>
  </si>
  <si>
    <t>Vizslaparki Petőfi torkolat 1 db kzv oszlop létesítés</t>
  </si>
  <si>
    <t>Piactér környéki kzv.problémák megoldésa</t>
  </si>
  <si>
    <t>Madách-Gasparich járda kzv létesítés</t>
  </si>
  <si>
    <t>Köztéri szobrok, műtárgyak megvilágításának felújítása</t>
  </si>
  <si>
    <t>Árvízvédelmi létesítmények felújítása</t>
  </si>
  <si>
    <t>Apátfa vízelvezető árok felújítása</t>
  </si>
  <si>
    <t>Avas árok burkolatának felújítása</t>
  </si>
  <si>
    <t>1./12</t>
  </si>
  <si>
    <t>Parkolóórák telepítés</t>
  </si>
  <si>
    <t>Platán sor burkolat felújítás</t>
  </si>
  <si>
    <t>Aranyoslapi átkötő korszerűsítése</t>
  </si>
  <si>
    <t>Kossuth utca térkőburkolat felújítás</t>
  </si>
  <si>
    <t>Cimpóhegyi út aszfaltozása II. ütem</t>
  </si>
  <si>
    <t>Hársas u. meredek szakasz felújítása</t>
  </si>
  <si>
    <t>Csácsi hegyi út rézsű felett útfelújítás</t>
  </si>
  <si>
    <t>Mise út burkolatfelújítás</t>
  </si>
  <si>
    <t xml:space="preserve"> - fejlesztési célú hitelfelvétel Zalaegerszegi járműipari tesztpálya megvalósításához területvásárlás céljára</t>
  </si>
  <si>
    <t>Zalaegerszegi járműipari tesztpálya megvalósításához területvásárlás</t>
  </si>
  <si>
    <t>Ft-ban</t>
  </si>
  <si>
    <t>Balesetveszélyes rézsűk, partfalak stabilizálása (Csács, Rövidjánka, Gógánhegy)</t>
  </si>
  <si>
    <t>Mezőgazdasági utak felújítása, telekrendezés</t>
  </si>
  <si>
    <t>Móra F. u. gázvezeték rekonstrulciót követő fél pályás burkolat felújítás</t>
  </si>
  <si>
    <t>Gyimesi utcai parkoló felújításának II. üteme</t>
  </si>
  <si>
    <t>Tehermentesítő út melletti járdaburkolat aszfaltozása</t>
  </si>
  <si>
    <t>Kosztolányi tér 29. járda felújítása</t>
  </si>
  <si>
    <t xml:space="preserve"> Városfejlesztő Zrt.részvényeinek megvásárlása </t>
  </si>
  <si>
    <t>Zalaegerszegi Evangélikus Egyházközösség lakásfelújítás támogatása</t>
  </si>
  <si>
    <t>Duális képzőközpont támogatása</t>
  </si>
  <si>
    <t>Díszterem felújítása</t>
  </si>
  <si>
    <t>Lőtér fejlesztése</t>
  </si>
  <si>
    <t>Art mozi fűtési rendszer felújítása</t>
  </si>
  <si>
    <t>Turisztikai táblák</t>
  </si>
  <si>
    <t>Térfigyelő kamerák megújítása</t>
  </si>
  <si>
    <t>CAD/CAM labor kialakításához pénzeszköz átadás a Zalaegerszegi Szakképzési Centrum részére</t>
  </si>
  <si>
    <t>Arany János-Mártírok összekötő  úthoz területvásárlás I. ütem</t>
  </si>
  <si>
    <t>Andráshida utca Templom parkoló felújítás</t>
  </si>
  <si>
    <t>Cserfa u - Gébárti út összekötő (Kisbolt melletti) járda felújítása</t>
  </si>
  <si>
    <t>Közösségi hely kialakítása Andráshidán</t>
  </si>
  <si>
    <t xml:space="preserve"> - Andráshida településrész rendezvényei</t>
  </si>
  <si>
    <t>Szenterzsébethegyi közösségi tér felújítása</t>
  </si>
  <si>
    <t>Gógánvölgyi infrastruktúra fejlesztése és javítása</t>
  </si>
  <si>
    <t>Akácfa utca felújítás II. ütem</t>
  </si>
  <si>
    <t>Virágzómező u. útfelújítás</t>
  </si>
  <si>
    <t>Ságodi u. járda felújítása</t>
  </si>
  <si>
    <t>Telekalja u. útfelújítás</t>
  </si>
  <si>
    <t>Hatháza közösségi terén fedett létesítmény felállítása és közművel ellátása</t>
  </si>
  <si>
    <t>Belvárosi járda-parkoló felújítás</t>
  </si>
  <si>
    <t>Kovács Károly tér 4. előtt járdafelújítás - Magas tömbház</t>
  </si>
  <si>
    <t>Ola utca a járdafelújítás (Nefelejcs és a Szilágyi utca között + Kölcsey I előtt)</t>
  </si>
  <si>
    <t>Kertész utca végének aszfaltozása</t>
  </si>
  <si>
    <t>Járdák-lépcsők lokális javítása Páterdombon</t>
  </si>
  <si>
    <t>Kinizsi-Baross játszótér fejlesztése</t>
  </si>
  <si>
    <t>Baross G. u. játszótér kialakítása</t>
  </si>
  <si>
    <t xml:space="preserve">Játszótér kialakítása Rózsás u. buszforduló </t>
  </si>
  <si>
    <t>Öreghegyi u. aszfaltozása II. ütem</t>
  </si>
  <si>
    <t>Posta u. - Hegyi u. buszváró kihelyezése</t>
  </si>
  <si>
    <t>3./8</t>
  </si>
  <si>
    <t>Csány SZKI labor fejlesztési támogatás</t>
  </si>
  <si>
    <t>Dózsa Iskola balesetveszélyes kerítésének felújítása</t>
  </si>
  <si>
    <t>1./2/7</t>
  </si>
  <si>
    <t>1./6.</t>
  </si>
  <si>
    <t xml:space="preserve">ZTE KK Kft. törzstőke emelés </t>
  </si>
  <si>
    <t>9./10.</t>
  </si>
  <si>
    <t>2.a/3.</t>
  </si>
  <si>
    <t>Új köztemető ivóvízrendszerének hibaelhárítása</t>
  </si>
  <si>
    <t>Platán 1-3. parkoló II. ütem: térbukolat kihelyezése</t>
  </si>
  <si>
    <t>Mikes utca - Jókai utca által lehatárolt terület: parkoló aszfaltozása</t>
  </si>
  <si>
    <t>Arany J. u. 69-71. parkolórész rendbetétele</t>
  </si>
  <si>
    <t xml:space="preserve">Platán 1. előtti járda és útburkolat építése </t>
  </si>
  <si>
    <t xml:space="preserve">Batsányi utca burkolatfelújítás IV. üteme </t>
  </si>
  <si>
    <t>Flórián utca végének rendbetételének folytatása</t>
  </si>
  <si>
    <t>1./13</t>
  </si>
  <si>
    <t>Pintér Máté u. csapadékcsatorna II. ü.</t>
  </si>
  <si>
    <t>Platán sor 25. előtti park rendbetétele (új padok, mászóka, virágágyás)</t>
  </si>
  <si>
    <t xml:space="preserve"> - Vizslaparki rendezvények</t>
  </si>
  <si>
    <t>5./18</t>
  </si>
  <si>
    <t>5./19</t>
  </si>
  <si>
    <t>5./20</t>
  </si>
  <si>
    <t>Kodály kispark fejlesztése</t>
  </si>
  <si>
    <t>Bazita buszmegállók (3)</t>
  </si>
  <si>
    <t>Toposházi járda felújítása</t>
  </si>
  <si>
    <t>4./42</t>
  </si>
  <si>
    <t>4./43</t>
  </si>
  <si>
    <t>4./44</t>
  </si>
  <si>
    <t>4./45</t>
  </si>
  <si>
    <t>4./46</t>
  </si>
  <si>
    <t>Király horhos szegélyek felújítása</t>
  </si>
  <si>
    <t>3./9</t>
  </si>
  <si>
    <t>3./10</t>
  </si>
  <si>
    <t>Szívhegyi villanyellátás bővítés</t>
  </si>
  <si>
    <t>Izzó utca villanyellátás bővítés</t>
  </si>
  <si>
    <t>Platán sor 40. sz. ház mögött 3-4 db zúzalékos parkolóhely kialakítása</t>
  </si>
  <si>
    <t xml:space="preserve"> - Fedett fürdő földhasználati díj</t>
  </si>
  <si>
    <t>Landorhegyi u. 25-29. sz. társasházak mögötti járdaszakasz felújítása, rézsűstabilizálása II. ütem</t>
  </si>
  <si>
    <t>Landorhegyi út 1-5. sz. társasházak előtti 50 m-es járdaszakasz felújítása</t>
  </si>
  <si>
    <t>Platán sor 26-28. sz. házak mögötti területen játszóeszközök létesítése</t>
  </si>
  <si>
    <t>Kodály úti emeletes garázssor mögötti út zúzalékozása</t>
  </si>
  <si>
    <t>Nyár utcai garázssor zúzalékolása</t>
  </si>
  <si>
    <t>Szarkaláb utca aszfaltozása II. ütem</t>
  </si>
  <si>
    <t>Landorhegyi kültéri padok felújítása</t>
  </si>
  <si>
    <t>152442</t>
  </si>
  <si>
    <t>Pais Dezső utcában a parkolóból levezető lépcsők és a járda felújítása</t>
  </si>
  <si>
    <t>4./47</t>
  </si>
  <si>
    <t>4./48</t>
  </si>
  <si>
    <t>22190*</t>
  </si>
  <si>
    <t>Bartók Béla utcában kétüléses lengőhinta 1 db- bébi 1 db laphintával</t>
  </si>
  <si>
    <t>Járda felújítások Kertvárosban (Erkel utca környéke)</t>
  </si>
  <si>
    <t>Módosítás összege</t>
  </si>
  <si>
    <t>2016. évi  módosított előirányzat</t>
  </si>
  <si>
    <t>2016. évi módosított előirányzat</t>
  </si>
  <si>
    <t>2016. évi bevétel eredeti előirányzata</t>
  </si>
  <si>
    <t>2016. évi bevétel módosított előirányzata</t>
  </si>
  <si>
    <t>2. melléklet szerinti jogcímek</t>
  </si>
  <si>
    <t>IX. fejezet terhére</t>
  </si>
  <si>
    <t>Kiadások összesen (2016. évi módosított előirányzat)</t>
  </si>
  <si>
    <t>Bevételek összesen (2016. évi módosított előirányzat)</t>
  </si>
  <si>
    <t>Bartók Béla utcában járda építés a játszótér mellett I. ütem</t>
  </si>
  <si>
    <t xml:space="preserve"> - Alsójánkahegyi Fesztivál</t>
  </si>
  <si>
    <t>Hegyalja - Sas utca kereszteződésénél található játszótér felúj.</t>
  </si>
  <si>
    <t>Katona József utca - Orsolya tér közti szakasz útfelújítása</t>
  </si>
  <si>
    <t>Sas utca 30 előtti parkoló rendbetétele</t>
  </si>
  <si>
    <t>4./49</t>
  </si>
  <si>
    <t>4./50</t>
  </si>
  <si>
    <t>4./51</t>
  </si>
  <si>
    <t>4./52</t>
  </si>
  <si>
    <t>Jánkahegyi felújítások támogatása (vízelvezetés, gépkocsi elkerülő szakaszok kialakítása)</t>
  </si>
  <si>
    <t xml:space="preserve">Járda és parkoló felújítások Átalszegett utcában </t>
  </si>
  <si>
    <t>Köztársaság u. 69. előtti átkötő járda felújítása</t>
  </si>
  <si>
    <t>Fejér György utca rekonstrukciója - Köztársaság út és Lehel utca közti szakasz (Kertvárosi posta)</t>
  </si>
  <si>
    <t>Átalszegett u. 15. mögötti parkoló rekonstrukciója</t>
  </si>
  <si>
    <t>4./53</t>
  </si>
  <si>
    <t>4./54</t>
  </si>
  <si>
    <t>4./55</t>
  </si>
  <si>
    <t>4./56</t>
  </si>
  <si>
    <t>Csillagközi Óvoda a kerékpár úttal összekötő járda építése</t>
  </si>
  <si>
    <t xml:space="preserve">Bodza utca burkolatának javítása </t>
  </si>
  <si>
    <t>Köztársaság u. 82-92. sz. ház nyugati oldalán lévő út aszfaltozása</t>
  </si>
  <si>
    <t>4./57</t>
  </si>
  <si>
    <t>4./58</t>
  </si>
  <si>
    <t>4./59</t>
  </si>
  <si>
    <t>Hegyalja u. - Pálóczi út kereszteződésénél lévő parkoló csapadékvíz elvezetése</t>
  </si>
  <si>
    <t>Hegyalja u. 54-60. sz. ház déli oldalán út és csapadékvíz elvezetés felújítása</t>
  </si>
  <si>
    <t>1./14</t>
  </si>
  <si>
    <t>1./15</t>
  </si>
  <si>
    <t>Kertvárosi kutyafuttató kialakítása</t>
  </si>
  <si>
    <t>Csilla utca járdaépítés I. ütem</t>
  </si>
  <si>
    <t>Csácsi úti járdaépítés</t>
  </si>
  <si>
    <t>Közösségi épület a Csácsi-hegyi kápolnakertbe</t>
  </si>
  <si>
    <t>Berzsenyi utca 24. előtt parkolóépítés I. ütem</t>
  </si>
  <si>
    <t>Csácsi hegy útfelújítások</t>
  </si>
  <si>
    <t>4./60</t>
  </si>
  <si>
    <t>4./61</t>
  </si>
  <si>
    <t>4./62</t>
  </si>
  <si>
    <t>4./63</t>
  </si>
  <si>
    <t>Csapadékvíz elvezetés Csácsban</t>
  </si>
  <si>
    <t>Szünidei étkeztetés</t>
  </si>
  <si>
    <t xml:space="preserve"> - lakásalap  maradványának bevonása</t>
  </si>
  <si>
    <t xml:space="preserve"> - "Fiatalok" című köztéri alkotás megvalósításához pályázati támogatás</t>
  </si>
  <si>
    <t xml:space="preserve"> - Judo terem kialakításához EMMI támogatás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</si>
  <si>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</si>
  <si>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</si>
  <si>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</si>
  <si>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</si>
  <si>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</si>
  <si>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</si>
  <si>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</si>
  <si>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</si>
  <si>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4./35</t>
  </si>
  <si>
    <t>4./36</t>
  </si>
  <si>
    <t>4./37</t>
  </si>
  <si>
    <t>*</t>
  </si>
  <si>
    <t>Termálmedence csempeburkolat javítása</t>
  </si>
  <si>
    <t>032020 Tűz- és katasztrófavéd. tevékenység</t>
  </si>
  <si>
    <t>013350 Az önkorm. vagyonnal való gazd. kapcs. feladatok</t>
  </si>
  <si>
    <t>084070 A fiatalok társ. integrációját segítő struktúra, szakmai szolgált. fejlesztése, működtetése</t>
  </si>
  <si>
    <t xml:space="preserve"> - Zalaegerszegi Teke Klub támogatása</t>
  </si>
  <si>
    <t>Labdarúgó stadion fejlesztési munkái</t>
  </si>
  <si>
    <t xml:space="preserve"> - Zöldterületi Stratégia feladatai</t>
  </si>
  <si>
    <t xml:space="preserve"> - Vízügyi hatóságokkal kapcs. feladatok</t>
  </si>
  <si>
    <t xml:space="preserve"> - villamosenergia vásárlás</t>
  </si>
  <si>
    <t>Kinizsi u. fák cserjék</t>
  </si>
  <si>
    <t>Szennyvíztársulástól átvett víziközművagyon fejlesztése és eseményvezérelt felújítások használati díj terhére, társulási elszámolás</t>
  </si>
  <si>
    <t>105020 Foglalkoztatást elősegítő képz. és egyéb támog.</t>
  </si>
  <si>
    <t xml:space="preserve"> - képviselők, bizottsági tagok és tisztségviselők tiszteletdíja</t>
  </si>
  <si>
    <t>9./3</t>
  </si>
  <si>
    <t>Jogi és igazgatási feladatok működési kiadásai összesen:</t>
  </si>
  <si>
    <t>Ady utca járda - strand előtti szakasz felújítása</t>
  </si>
  <si>
    <t xml:space="preserve"> - kulturális városi rendezvények</t>
  </si>
  <si>
    <t xml:space="preserve"> - lépcsők,sétányok, támfalak, korlátok javítása</t>
  </si>
  <si>
    <t xml:space="preserve"> - fogászati alapellátás 2016. évi önkormányzati támogatása</t>
  </si>
  <si>
    <t xml:space="preserve"> - csapadékvízelvezető és árvízvédelmi létesítmények fenntartása</t>
  </si>
  <si>
    <t xml:space="preserve"> - csapadékvíz elvezető rendszer fennmaradási/üzemeltetési engedélyek</t>
  </si>
  <si>
    <t xml:space="preserve"> - védett síremlékek rendbetétele</t>
  </si>
  <si>
    <t xml:space="preserve"> - Zeg. Úszóklub támogatása</t>
  </si>
  <si>
    <t xml:space="preserve"> - Zeg. Triatlon Klub támogatása</t>
  </si>
  <si>
    <t xml:space="preserve"> - Csuti SK sportlétesítmény üzemeltetés támogatása</t>
  </si>
  <si>
    <t xml:space="preserve"> - Police Ola LSK sportlétesítmény bérleti díja</t>
  </si>
  <si>
    <t xml:space="preserve"> - Páterdombi LSC sportlétesítmény bérleti díj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</si>
  <si>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</si>
  <si>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</si>
  <si>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települési vízellátás</t>
  </si>
  <si>
    <t xml:space="preserve"> -köztemető fenntartás és temetői létesítmények  használati díja</t>
  </si>
  <si>
    <t xml:space="preserve"> -  folyékony hulladék szállítás</t>
  </si>
  <si>
    <t>4./2</t>
  </si>
  <si>
    <t>8.a/1</t>
  </si>
  <si>
    <t xml:space="preserve"> - ifjúsági rendezvények</t>
  </si>
  <si>
    <t xml:space="preserve"> - önálló kulturális egyesületek, együttesek</t>
  </si>
  <si>
    <t xml:space="preserve"> - peremkerületek támogatása</t>
  </si>
  <si>
    <t xml:space="preserve"> - művészeti ösztöndíjak</t>
  </si>
  <si>
    <t>Szakosztályok</t>
  </si>
  <si>
    <t>Építéshatósági feladatok</t>
  </si>
  <si>
    <t>Céltartalék</t>
  </si>
  <si>
    <t>5.) Általános tartalék</t>
  </si>
  <si>
    <t>Tartalékok</t>
  </si>
  <si>
    <t>Városüzemelési  feladatok:</t>
  </si>
  <si>
    <t xml:space="preserve"> - közrendvédelmi rendelettel kapcsolatos kiadások</t>
  </si>
  <si>
    <t xml:space="preserve"> - parkfenntartás</t>
  </si>
  <si>
    <t>082091 Közművelődés-közösségi és társadalmi részvétel fejlesztése</t>
  </si>
  <si>
    <t xml:space="preserve"> - kéményseprő-ipari közszolgáltatás ellátása</t>
  </si>
  <si>
    <t>151622</t>
  </si>
  <si>
    <t xml:space="preserve"> - parkolóhely megváltás bevétele</t>
  </si>
  <si>
    <t xml:space="preserve"> - Európai Mobilitási Hét </t>
  </si>
  <si>
    <t xml:space="preserve"> - POFOSZ emlékhely megújítása Mártírok u. 5-7.sz.alatt pályázati támogatás</t>
  </si>
  <si>
    <t xml:space="preserve"> - Lakásalappal kapcsolatos bevételek</t>
  </si>
  <si>
    <t xml:space="preserve"> - Vis maior támogatás</t>
  </si>
  <si>
    <t>066020 Város- és községgazdálkodás egyéb szolgáltatások</t>
  </si>
  <si>
    <t xml:space="preserve"> - MOL Nyrt. adomány</t>
  </si>
  <si>
    <t xml:space="preserve"> - Nyugat-Pannon Zrt. tőkekivonás</t>
  </si>
  <si>
    <t>1./1./6.</t>
  </si>
  <si>
    <t>Ságodi óvodában kazáncsere</t>
  </si>
  <si>
    <t>4./5.</t>
  </si>
  <si>
    <t>ZTE Tenisz klub épületének tetőfelújítása</t>
  </si>
  <si>
    <t>4./64.</t>
  </si>
  <si>
    <t>4./65.</t>
  </si>
  <si>
    <t>Szekeresvölgyi út aszfaltozása II. ütem</t>
  </si>
  <si>
    <t>4./66.</t>
  </si>
  <si>
    <t>Neszele- Bükkfa utca magánerős útépítés</t>
  </si>
  <si>
    <t>5./23.</t>
  </si>
  <si>
    <t>Ola u. 12.sz. játszótérhez kerítés építés</t>
  </si>
  <si>
    <t>9./4.</t>
  </si>
  <si>
    <t>Kutyastrand kialakítása</t>
  </si>
  <si>
    <t xml:space="preserve"> - VG.Kft. parkfenntartás szerződéses munkák</t>
  </si>
  <si>
    <t xml:space="preserve"> - vegyszeres és termikus gyomirtás</t>
  </si>
  <si>
    <t xml:space="preserve"> - köztéri  padok</t>
  </si>
  <si>
    <t xml:space="preserve"> - városrészek környezetrendezési feladataira</t>
  </si>
  <si>
    <t xml:space="preserve"> - védett természeti értékek kezelése</t>
  </si>
  <si>
    <t xml:space="preserve"> - helyi utak, hidak fenntartása</t>
  </si>
  <si>
    <t xml:space="preserve"> - forgalomtechnikai  és közlekedési feladatok</t>
  </si>
  <si>
    <t xml:space="preserve"> - vízkészlethasználati járulék</t>
  </si>
  <si>
    <t>Művészlakások felújítása I.ütem lakásalapból</t>
  </si>
  <si>
    <t xml:space="preserve"> - 2015. évi maradvány igénybevétele áthúzódó működési feladatokhoz</t>
  </si>
  <si>
    <t>2016. évi eredeti előirányzat</t>
  </si>
  <si>
    <t>B352</t>
  </si>
  <si>
    <t>Értékesítési és forgalmi adók (iparűzési adó)</t>
  </si>
  <si>
    <t>Egyéb áruhasználati és szolgáltatási adók (talajterhelési díj, id.forgalmi adó))</t>
  </si>
  <si>
    <t>Kvártélyház Kft. törzstőke emelés</t>
  </si>
  <si>
    <t>Közvilágítás korszerűsítés  KEOP projekttel nem támogatott területen</t>
  </si>
  <si>
    <t>Kazinczy u.parkoló sáv, járda felújítása</t>
  </si>
  <si>
    <t>ZTE FC sportfejlesztési TAO-os pályázat önrésze (2015. évről áthúzódó)</t>
  </si>
  <si>
    <t>10./1.1</t>
  </si>
  <si>
    <t>10./1.2</t>
  </si>
  <si>
    <t>10./1.3</t>
  </si>
  <si>
    <t>10./1.4</t>
  </si>
  <si>
    <t>10./1.5</t>
  </si>
  <si>
    <t>10./1.6</t>
  </si>
  <si>
    <t>10./1.7</t>
  </si>
  <si>
    <t>10./1.8</t>
  </si>
  <si>
    <t>10./1.9</t>
  </si>
  <si>
    <t>10./1.10</t>
  </si>
  <si>
    <t>10./1.11</t>
  </si>
  <si>
    <t>10./1.12</t>
  </si>
  <si>
    <t>10./1.13</t>
  </si>
  <si>
    <t>10./1.14</t>
  </si>
  <si>
    <t>10./1.15</t>
  </si>
  <si>
    <t xml:space="preserve"> Uszoda fejlesztés</t>
  </si>
  <si>
    <t xml:space="preserve"> Csarnoképítés a Tudományos Technológai parkban</t>
  </si>
  <si>
    <t xml:space="preserve"> Alsóerdőn tervezett sport -és rekreációs kp. kialakítása</t>
  </si>
  <si>
    <t xml:space="preserve"> Intermodális Közösségi Közlekedési csomópont Zalaegerszegen</t>
  </si>
  <si>
    <t xml:space="preserve"> Mindszenty József  Zarándokközpont</t>
  </si>
  <si>
    <t>Szennyvíztársulástól átvett víziközmű vagyon fejlesztésére pénzeszköz átadás Szennyvíztársulás részére</t>
  </si>
  <si>
    <t>Berzsenyi út járda felújítás a Kovács K. tér - Stadion u. között I. ütem</t>
  </si>
  <si>
    <t>Gulág emlékmű kőfaragási munkálatainak elvégzése, környezetének rendezése</t>
  </si>
  <si>
    <t>Landorhegyi 20/a zöldterület fejlesztése</t>
  </si>
  <si>
    <t>Ivókút létesítése az IFI centrumban</t>
  </si>
  <si>
    <t>Előtervezések víziközmű fejlesztésekhez</t>
  </si>
  <si>
    <t xml:space="preserve"> - Labdarúgó Stadion fejlesztéséhez költségvetési támogatás, áfa visszaigénylés</t>
  </si>
  <si>
    <t xml:space="preserve"> - "Komplex belváros rehabilitációs program Zalaegerszegen" projekt pályázati támogatással NYDOP-3.1.1/B1-13-k-2013-0005 </t>
  </si>
  <si>
    <t xml:space="preserve"> - TOP projektek támogatása</t>
  </si>
  <si>
    <t xml:space="preserve"> - "Pannon -Tudás-Park" TÁMOP 4.2.1.C-14/1/Konv-2015-0006 projekt támogatás</t>
  </si>
  <si>
    <t xml:space="preserve"> - egyéb ingatlanhasznosítás (nem lakáscélú helyiségek bérl.díja)</t>
  </si>
  <si>
    <t>Liszt iskola  felújítás támogatása</t>
  </si>
  <si>
    <t xml:space="preserve"> Általános iskolákban felújítás</t>
  </si>
  <si>
    <t>TOP-6.5.1 Egyéb, az MJV intézményfejlesztési stratégiája alapján kiválasztott intézmények energetikai fejlesztése</t>
  </si>
  <si>
    <t xml:space="preserve"> - épületek energiatanúsítványának elkészítése</t>
  </si>
  <si>
    <t xml:space="preserve"> - szünidei étkeztetés</t>
  </si>
  <si>
    <t xml:space="preserve">1.h) megyei hatókörű könyvtár kistelepülési könyvtári és közművelődési célú kieg. támogatása </t>
  </si>
  <si>
    <t>5.) Fejlesztéshez működési jellegű bevétel (HD, áfa visszaigénylés)</t>
  </si>
  <si>
    <t xml:space="preserve"> - szociális és egészségügyi rendezvények szervezése</t>
  </si>
  <si>
    <t xml:space="preserve"> Polgármesteri Kabinet</t>
  </si>
  <si>
    <t>Polgármesteri Kabinet</t>
  </si>
  <si>
    <t>Polgármesteri Kabinet kiadásai</t>
  </si>
  <si>
    <t xml:space="preserve"> - ZTE FC Zrt.  és  Sportszolg. Kft.támogatása </t>
  </si>
  <si>
    <t xml:space="preserve"> - közbiztonsági feladatok</t>
  </si>
  <si>
    <t xml:space="preserve"> - dolgozói lakásépítés és -vaásárlás támogatása</t>
  </si>
  <si>
    <t>Támogatott lakások elkülönített lakbérbevételéből</t>
  </si>
  <si>
    <t>Domb  utca szennyvíz-elvezetés I. ütem</t>
  </si>
  <si>
    <t xml:space="preserve"> - ár és belvízvédelmi feladatok</t>
  </si>
  <si>
    <t xml:space="preserve"> - köztisztaság  szerződéses munkák</t>
  </si>
  <si>
    <t xml:space="preserve">         ebből: költségvetési szervek</t>
  </si>
  <si>
    <t xml:space="preserve"> - Aquaparkba kisértékű eszközök beszerzése</t>
  </si>
  <si>
    <t xml:space="preserve"> - hóeltakarítás, sikosságmentesítés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</si>
  <si>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</si>
  <si>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</si>
  <si>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</si>
  <si>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>Vállalkozásfejlesztési Alapítvány kamattámogatás</t>
  </si>
  <si>
    <t>Közlekedési területek (út,járda) rendezése, területszerzés</t>
  </si>
  <si>
    <t>Buszvárok telepítése</t>
  </si>
  <si>
    <t>Landorhegyi u. 18. parkoló felújítás</t>
  </si>
  <si>
    <t>Sportcsarnok kazánházi épületrész ablakcsere munkái</t>
  </si>
  <si>
    <t>Judo terem kialakítási munkái</t>
  </si>
  <si>
    <t xml:space="preserve"> - lakossági, civil kezdeményezések támogatása</t>
  </si>
  <si>
    <t>Szentmártoni u. csapadékcsatorna építése</t>
  </si>
  <si>
    <t>Hock J.u. járdaburkolat KEOP vízvezetéképítés miatti helyreállítás</t>
  </si>
  <si>
    <t>Hóvirág.u. KEOP vízvezetéképítés miatti helyreállítás</t>
  </si>
  <si>
    <t xml:space="preserve"> - nyújtott támogatások elszámolási különbözetének visszafizetése</t>
  </si>
  <si>
    <t xml:space="preserve"> - egyszeri gyermekvédelmi támogatás (Erzsébet utalvány)</t>
  </si>
  <si>
    <t xml:space="preserve"> - egyszeri gyermekvédelmi támogatás(Erzsébet utalvány)</t>
  </si>
  <si>
    <t>Köztársaság u.(Erkel F.-Fejér Gy.) szennyvízcsatorna rekonstrukciót követő fél pályáa útburkolat helyeállítás</t>
  </si>
  <si>
    <t>5./16</t>
  </si>
  <si>
    <t>5./17</t>
  </si>
  <si>
    <t>Kazinczy tér 11. ivóvízhálózat szétválasztása</t>
  </si>
  <si>
    <t>Magasbük településrész ivóvízellátás</t>
  </si>
  <si>
    <t>Szőlőhegyi u. ivóvízhálózat problémák megoldása</t>
  </si>
  <si>
    <t>Belsőszegi u.vízellátása, burkolathelyreállítás</t>
  </si>
  <si>
    <t>Borostyán sor vízellátás,burkolathelyreállítás</t>
  </si>
  <si>
    <t>Volt MMIK tervezési feladatok</t>
  </si>
  <si>
    <t>10./2.</t>
  </si>
  <si>
    <t xml:space="preserve"> - egyéb szervezetek támogatása</t>
  </si>
  <si>
    <t xml:space="preserve"> - kárpátaljai magyarok támogatása Megyei Jogú Város Szövetsége  közreműködésével</t>
  </si>
  <si>
    <t xml:space="preserve"> - Made in Zalaegerszeg kiadvány</t>
  </si>
  <si>
    <t xml:space="preserve"> - önk. által kezelt ing.közös ktg.közüz.díj</t>
  </si>
  <si>
    <t xml:space="preserve"> - helyi önkormányzatok kiegészítő állami támogatásai</t>
  </si>
  <si>
    <t xml:space="preserve"> - 2016. évi közösségi, művészeti pályázatok</t>
  </si>
  <si>
    <t xml:space="preserve"> - egyéb szociális szolgáltatás</t>
  </si>
  <si>
    <t xml:space="preserve"> - egészségügyi és szociális ágazat pályázati kerete</t>
  </si>
  <si>
    <t xml:space="preserve"> - rendezvények támogatása</t>
  </si>
  <si>
    <t xml:space="preserve"> - Ivóvíz Társulástól térítésmentesen átvett eszközök utáni áfa befizetés</t>
  </si>
  <si>
    <t>10./1.16.</t>
  </si>
  <si>
    <t>10./1.17.</t>
  </si>
  <si>
    <t>10./3.6</t>
  </si>
  <si>
    <t xml:space="preserve">Csarnoképítéshez kapcsolódó  0792/15 hrsz-ú ingatlanon művelési ág változás költsége </t>
  </si>
  <si>
    <t xml:space="preserve"> - Göcsej Sportklub Futsal szakosztálya támogatása</t>
  </si>
  <si>
    <t>Módosítás
döntési
hatáskör
szerint *</t>
  </si>
  <si>
    <t>III. 6. Szociális ágazati pótlék</t>
  </si>
  <si>
    <t>1. Költségvetési szerveknél foglalkoztatottak 2016. évi bérkompenzációja</t>
  </si>
  <si>
    <t xml:space="preserve"> - Zala Open Táncbajnokság megrendezéséhez támogatás</t>
  </si>
  <si>
    <t xml:space="preserve">        címpótlék a szociális intézményekben</t>
  </si>
  <si>
    <t xml:space="preserve">       eü. és szociális ágazat pályázati kerete</t>
  </si>
  <si>
    <t>Önkormányzat összesen költségvetési szervek nélkül</t>
  </si>
  <si>
    <t xml:space="preserve"> - parkolási közszolgáltatási tevékenység ellátásával kapcsolatos bevétel</t>
  </si>
  <si>
    <t>Hozzájárulás jogcíme</t>
  </si>
  <si>
    <t>létszám</t>
  </si>
  <si>
    <t>mutató</t>
  </si>
  <si>
    <t>Normatíva     Ft/fő</t>
  </si>
  <si>
    <t>Hozzájárulás       ezer Ft-ban</t>
  </si>
  <si>
    <t>I. Helyi önkormányzatok működésének általános támogatása</t>
  </si>
  <si>
    <t>II. Települési önkormányzatok egyes köznevelési feladatainak támogatása</t>
  </si>
  <si>
    <t>084031 Civil szervezetek műk. támogatása</t>
  </si>
  <si>
    <t xml:space="preserve"> -  Ocean's Seven sorozat támogatása (ZKSE)</t>
  </si>
  <si>
    <t xml:space="preserve"> - ZTE ZÁÉV Női Teke Klub támogatása</t>
  </si>
  <si>
    <t xml:space="preserve"> - ZTE Női Kosárlabda Klub támogatása</t>
  </si>
  <si>
    <t xml:space="preserve"> - Zalaegerszegi Vívó Egylet támogatása</t>
  </si>
  <si>
    <t xml:space="preserve"> - Zalaegerszegi Kerékpáros SE támogatása</t>
  </si>
  <si>
    <t>Beruházási kiadások:</t>
  </si>
  <si>
    <t>Sportcentrumban felépülő 111 x 72 m méretű műfüves labdarúgó pálya építés pályázati önerő és egyéb feladatok</t>
  </si>
  <si>
    <t>Főépítészi feladatok működési kiadásai</t>
  </si>
  <si>
    <t>2.a/1.</t>
  </si>
  <si>
    <t>Liget utca 0651/65 hrsz.magánerős útépítés</t>
  </si>
  <si>
    <t>5.a/6</t>
  </si>
  <si>
    <t>4.a/8</t>
  </si>
  <si>
    <t>4.a/9</t>
  </si>
  <si>
    <t>4.a/10</t>
  </si>
  <si>
    <t>Városépítészet működési kiadások:</t>
  </si>
  <si>
    <t xml:space="preserve"> Beruházási kiadások </t>
  </si>
  <si>
    <t>6.a/1</t>
  </si>
  <si>
    <t>6.a/2</t>
  </si>
  <si>
    <t>6.a/3</t>
  </si>
  <si>
    <t>B7.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</si>
  <si>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</si>
  <si>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</si>
  <si>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t xml:space="preserve">  (2) Mesterpedagódus kategóriába sorolt óvodapedagógusok kiegészítő támogatása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</si>
  <si>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</si>
  <si>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 xml:space="preserve"> - megélhetési támogatás</t>
  </si>
  <si>
    <t xml:space="preserve"> - gyermekétkeztetési támogatás</t>
  </si>
  <si>
    <t xml:space="preserve"> - gyógyszertámogatás</t>
  </si>
  <si>
    <t xml:space="preserve"> - úszásoktatás támogatása</t>
  </si>
  <si>
    <t xml:space="preserve">               </t>
  </si>
  <si>
    <t xml:space="preserve"> - Egervári várkastéllyal való együttműködés</t>
  </si>
  <si>
    <t xml:space="preserve"> - ünnepi díszkivilágítás szerelés és bővítés</t>
  </si>
  <si>
    <t>Vis maior támogatás</t>
  </si>
  <si>
    <t>ZTE FC és ZTE KK  részére TAO-s pályázatok önrésze</t>
  </si>
  <si>
    <t>Közösségi tér fejlesztése Zalabesenyőben</t>
  </si>
  <si>
    <t xml:space="preserve">Tehermentesítő út II. ütem építéséhez kapcsolódó közműépítések                                                             </t>
  </si>
  <si>
    <t xml:space="preserve"> - rendezvények, kommunikáció, reprezentáció</t>
  </si>
  <si>
    <t xml:space="preserve"> - városi hírportál szerkesztése</t>
  </si>
  <si>
    <t xml:space="preserve"> - médiával kapcsolatos szerződések, támogatások</t>
  </si>
  <si>
    <t xml:space="preserve"> - díszokleveles pedagógusok ünnepsége és jutalmazása</t>
  </si>
  <si>
    <t xml:space="preserve"> - Ezer Lámpás Éjszakája rendezvény támogatása</t>
  </si>
  <si>
    <t xml:space="preserve"> - várostörténeti konferencia</t>
  </si>
  <si>
    <t>Tartalék összesen:</t>
  </si>
  <si>
    <t xml:space="preserve"> - ZALAVÍZ Zrt. befizetése</t>
  </si>
  <si>
    <t xml:space="preserve"> - volt laktanyával kapcsolatos bevétel</t>
  </si>
  <si>
    <t xml:space="preserve"> - Kvártélyház támogatása</t>
  </si>
  <si>
    <t>Összesen:</t>
  </si>
  <si>
    <t>Működési célú támogatások áht-n belülről</t>
  </si>
  <si>
    <t>Felhalmozási célú támogatások áht-n belülről</t>
  </si>
  <si>
    <t>Közhatalmi bevételek</t>
  </si>
  <si>
    <t>Ellátottak pénzbeli juttatásai</t>
  </si>
  <si>
    <t>Egyéb felhalmo-zási célú kiadások</t>
  </si>
  <si>
    <t>Finanszíro-zási kiadások</t>
  </si>
  <si>
    <t xml:space="preserve"> - belterületi fás szárú növények fenntartási munkái</t>
  </si>
  <si>
    <t xml:space="preserve"> - játszóterek fenntartása, karbantartása</t>
  </si>
  <si>
    <t>Sorszám</t>
  </si>
  <si>
    <t>III. Települési önkormányzatok szociális és gyermekjóléti feladatainak támogatása</t>
  </si>
  <si>
    <t xml:space="preserve">      Bölcsödei ellátás fogyatékos gyermek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</si>
  <si>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</si>
  <si>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</si>
  <si>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</si>
  <si>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</si>
  <si>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1.a) megyei hatókörű városi múzeumok feldataiank támogatása ( Göcseji Múzeum)</t>
  </si>
  <si>
    <t>1.c) megyei jogú városok közművelődési támogatása</t>
  </si>
  <si>
    <t xml:space="preserve"> - lakhatási krízis alap Lakásalapból</t>
  </si>
  <si>
    <t xml:space="preserve"> - erdei iskola működésének támogatása</t>
  </si>
  <si>
    <t xml:space="preserve"> - sport- és humánigazgatási feladatok</t>
  </si>
  <si>
    <t>A "Sakkozók" c. szobor</t>
  </si>
  <si>
    <t>Ságodi Óvoda kosárlabdapályájának felújítása</t>
  </si>
  <si>
    <t>9.a/2</t>
  </si>
  <si>
    <t>6./2</t>
  </si>
  <si>
    <t>6./3</t>
  </si>
  <si>
    <t>Zalaegerszeg történelmi városközpont rehabilitációs és revitalizációs programhoz kapcsolódó kiadás</t>
  </si>
  <si>
    <t xml:space="preserve">  ZMJV ITP projektjeinek előkészítésével kapcsolatos kiadások (2016-2018. évi projektekhez)</t>
  </si>
  <si>
    <t xml:space="preserve"> - közterület reklám célú bérbeadásához kapcsolódó kiadás</t>
  </si>
  <si>
    <t xml:space="preserve"> - 2016. évi állami hozzájárulás előleg visszafizetése </t>
  </si>
  <si>
    <t>082061 Múzeumi gyűjteményi tevékenység</t>
  </si>
  <si>
    <t>Információs táblák pótlása, kihelyezése</t>
  </si>
  <si>
    <t>Önkormányzat által nyújtott lakástámogatás első lakáshoz jutók részére  (Lakásalapból)</t>
  </si>
  <si>
    <t>5.a/4</t>
  </si>
  <si>
    <t>5.a/5</t>
  </si>
  <si>
    <t>Buslakpuszta hulladékdepó bővítéséhez területszerzés, kisajátítás</t>
  </si>
  <si>
    <t>Vagyonkezelési feladatok összesen:</t>
  </si>
  <si>
    <t>2./1</t>
  </si>
  <si>
    <t>Városüzemelési feladatok összesen:</t>
  </si>
  <si>
    <t>Előtervezések</t>
  </si>
  <si>
    <t>4.a/1</t>
  </si>
  <si>
    <t>4.a/2</t>
  </si>
  <si>
    <t>4.a/3</t>
  </si>
  <si>
    <t>9.a/1</t>
  </si>
  <si>
    <t>1.a/1</t>
  </si>
  <si>
    <t>1.a/2</t>
  </si>
  <si>
    <t>1.a/3</t>
  </si>
  <si>
    <t>1.a/4</t>
  </si>
  <si>
    <t xml:space="preserve"> - Betlehem működtetése</t>
  </si>
  <si>
    <t>Sport feladatok</t>
  </si>
  <si>
    <t xml:space="preserve"> - Zeg. Jégsportjáért Alapítvány támogatása</t>
  </si>
  <si>
    <t xml:space="preserve"> - DO rendezvények lebonyolítása</t>
  </si>
  <si>
    <t>Általános tartalék</t>
  </si>
  <si>
    <t>Teljesítmény ösztönző keret</t>
  </si>
  <si>
    <t>Jogi és közig.feladatok</t>
  </si>
  <si>
    <t xml:space="preserve"> - közfoglalkoztatás</t>
  </si>
  <si>
    <t>066010 Zöldterület kezelés</t>
  </si>
  <si>
    <t>066020 Város-, községgazdálkodási egyéb szolgáltatások</t>
  </si>
  <si>
    <t>052020  Szennyvíz gyűjtése, tisztítása, elhelyezése</t>
  </si>
  <si>
    <t>TOP-6.1.4-15-ZL1-2016-00001 "Zalaegerszeg turisztikai vonzerejének növelése a " SMART City" eszközrendszerével"</t>
  </si>
  <si>
    <t>TOP 6.5.1-15-ZL1-2016-00002 Zalaegerszegi Gondozási Központ Idősek Gondozóháza energetikai korszerűsítése</t>
  </si>
  <si>
    <t>TOP 6.5.1-15-ZL1-2016-0004 Landorhegyi Sportiskolai Általános Iskola energetikai korszerűsítése</t>
  </si>
  <si>
    <t>TOP 6.5.15-ZL1-2016-00003 Zalaegerszegi Ady Endre Általános Iskola, Gimnázium és Alapfokú Művészeti Iskola - többletenergiát az oktatásra</t>
  </si>
  <si>
    <t>TOP-6.6.2-15- ZL1-2016-00001 Szociális Alapszolgáltatások  fejlesztése Zalaegerszegen</t>
  </si>
  <si>
    <t>TOP-6.6.1-15-ZL1-2016-00001 Egészségügyi alapellátás  infrastrukturális fejlesztése Zalaegerszegen</t>
  </si>
  <si>
    <t>TOP-6.1.4-15-ZL1-2016-00002 Zalaegerszegi Göcseji Falumúzeum fejlesztése</t>
  </si>
  <si>
    <t>TOP-6.3.2-15-ZL1-2016-00002 Gébárti-tó  és környékének rekreációs, szabadidős használatát elősegítő infrastruktúra kialakítása</t>
  </si>
  <si>
    <t>TOP-6.3.2-15-ZL1-2016-00001 Zöld Zala Part - Zala holtág revitalizációja és rekreációs célú vízparti sétány</t>
  </si>
  <si>
    <t>TOP-6.3.2-15-ZL1-2016-00003 Városi terek élhetőbbé tétele - Vizslapark rekonstrukció</t>
  </si>
  <si>
    <t>TOP-6.2.1-15-ZL1-2016-00003  Zalaegerszegi Landorhegyi Óvoda Kodály Zoltán utcai tagóvodájának fejlesztése</t>
  </si>
  <si>
    <t>TOP-6.2.1-15-ZL1-2016-00005 Zalaegerszegi Belvárosi I. számú Óvoda Mikes Kelemen utcai tagóvodájának fejlesztése</t>
  </si>
  <si>
    <t>TOP-6.2.1-15-ZL1-2016-00002 Zalaegerszegi Egyesített Bölcsődék Cseperedő Bölcsőde és a Zalaegerszegi Belvárosi II. számú Óvoda Petőfi utcai Tagóvodájának fejlesztése</t>
  </si>
  <si>
    <t>TOP-6.2.1-15-ZL1-2016-000004 Zalaegerszegi Egyesített Bölcsődék Napsugár utcai Bölcsőde fejlesztése</t>
  </si>
  <si>
    <t>TOP-6.4.1-15-ZL1-2016-00001 Gyalogos és kerékpárosbarát belváros közlekedési feltételeinek megteremtése Zalaegerszegen hivatásforgalmi kerékpárutak fejlesztésével és a Kosztolányi Dezső út kétirányúsításával</t>
  </si>
  <si>
    <t>TOP-6.8.2-15-ZL1-2016-00001 A vállalkozások igényeire alapuló foglalkoztatás-fejlesztési program Zalaegerszeg Megyei Jogú Városban (Foglalkoztatási paktum)</t>
  </si>
  <si>
    <t>TOP-6.1.5-15-ZL1-2016-00001 Ipari területeket feltáró utak kialakítása Zalaegerszegen</t>
  </si>
  <si>
    <r>
      <t xml:space="preserve">TOP-6.1.1-15-ZL1-2016-00001 Zalaegerszeg Északi Ipari Park feltárása és közművekkel való ellátása </t>
    </r>
    <r>
      <rPr>
        <sz val="10"/>
        <rFont val="Times New Roman"/>
        <family val="1"/>
      </rPr>
      <t>(részben nettó)</t>
    </r>
  </si>
  <si>
    <r>
      <t>TOP-6.1.3 -15-ZL1-2016-00001 Helyi termelői és kézműves piac kialakítása Zalaegerszegen</t>
    </r>
    <r>
      <rPr>
        <sz val="10"/>
        <rFont val="Times New Roman"/>
        <family val="1"/>
      </rPr>
      <t xml:space="preserve"> ( nettó!)</t>
    </r>
  </si>
  <si>
    <t>051040 Nem veszélyes hulladék kezelése, ártalmatlanítása</t>
  </si>
  <si>
    <t>018010 Önkormányzatok elszámolásai a központi költségvetéssel</t>
  </si>
  <si>
    <t>191 111</t>
  </si>
  <si>
    <t>2216*</t>
  </si>
  <si>
    <t xml:space="preserve"> - Deák F. Megyei és Városi Könyvtár részére  megelőlegezett ált.forgalmi adó visszafizetése</t>
  </si>
  <si>
    <t xml:space="preserve"> - ZG3 kút üzemeltetése</t>
  </si>
  <si>
    <t xml:space="preserve"> - közterületfelügyeleti bírság</t>
  </si>
  <si>
    <t>Ingatlanvásárlások</t>
  </si>
  <si>
    <t>Tervek készítése, műszaki ellenőrzések és egyéb hatósági díjak</t>
  </si>
  <si>
    <t>Felújítások</t>
  </si>
  <si>
    <t>Beruházások</t>
  </si>
  <si>
    <t>10.</t>
  </si>
  <si>
    <t>11.</t>
  </si>
  <si>
    <t>12.</t>
  </si>
  <si>
    <t>13.</t>
  </si>
  <si>
    <t>14.</t>
  </si>
  <si>
    <t>15.</t>
  </si>
  <si>
    <t>17.</t>
  </si>
  <si>
    <t>18.</t>
  </si>
  <si>
    <t xml:space="preserve"> - Fejlesztési célú hitel felvétel  áthúzódó feladatokhoz kapcsolódó hitelkeretekből</t>
  </si>
  <si>
    <t>Oktatási feladatok</t>
  </si>
  <si>
    <t>Kulturális és ifjúsági feladatok</t>
  </si>
  <si>
    <t>Egyéb működési célú kiadások</t>
  </si>
  <si>
    <t xml:space="preserve"> - hibaelhárítás, sürgősségi feladatok</t>
  </si>
  <si>
    <t xml:space="preserve">        egyéb szociális szolgáltatás</t>
  </si>
  <si>
    <t>Ügyrendi, Jogi és Vagyonnyilatkozatot  Ellenőrző Bizottság</t>
  </si>
  <si>
    <t xml:space="preserve">        közbiztonsági feladatokra</t>
  </si>
  <si>
    <t>Játszótér és park kialakítása Hatházán</t>
  </si>
  <si>
    <t>Közvilágítás kiépítése ellátatlan területen</t>
  </si>
  <si>
    <t>3.a/1</t>
  </si>
  <si>
    <t>3.a/2</t>
  </si>
  <si>
    <t>Kamatmentes kölcsön az ideiglenesen nehéz helyzetbe került zeg-i polgárok számára (Lakásalapból)</t>
  </si>
  <si>
    <t xml:space="preserve">Pénzügyi lebonyolítás: </t>
  </si>
  <si>
    <t>Elővásárlási jog gyakorlásával történő lakóingatlan vásárlása (Lakásalap)</t>
  </si>
  <si>
    <t>Tüttő Gy u. 15.. és a szomszédos ingatlanok csapadékvízelvezetése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</si>
  <si>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</si>
  <si>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</si>
  <si>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</si>
  <si>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</si>
  <si>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</si>
  <si>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</si>
  <si>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</si>
  <si>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</si>
  <si>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</si>
  <si>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</si>
  <si>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</si>
  <si>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</si>
  <si>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</si>
  <si>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</si>
  <si>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</si>
  <si>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</si>
  <si>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</si>
  <si>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</si>
  <si>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</si>
  <si>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</si>
  <si>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Települési önkormányzatok egyes köznevelési feladatainak tám.</t>
  </si>
  <si>
    <t>Felhalmozási célú támogatások államháztartáson belülről összesen</t>
  </si>
  <si>
    <t>B3</t>
  </si>
  <si>
    <t>B35</t>
  </si>
  <si>
    <t>B351</t>
  </si>
  <si>
    <t xml:space="preserve">Termékek és szolgáltatások adói </t>
  </si>
  <si>
    <t>B354</t>
  </si>
  <si>
    <t>Gépjárműadók</t>
  </si>
  <si>
    <t>B355</t>
  </si>
  <si>
    <t>B36</t>
  </si>
  <si>
    <t>Közhatalmi bevételek összesen</t>
  </si>
  <si>
    <t>Egyéb közhatalmi bevételek</t>
  </si>
  <si>
    <t>B4</t>
  </si>
  <si>
    <t>B5</t>
  </si>
  <si>
    <t>B52</t>
  </si>
  <si>
    <t xml:space="preserve"> - Liszt F. tagiskola tornaterem öltözőinek és kapcsolódó vizesblokkjainak felújításához támogatás</t>
  </si>
  <si>
    <t xml:space="preserve"> - Városi Sportcentrumban atlétikai pálya felújításához támogatás</t>
  </si>
  <si>
    <t>151909</t>
  </si>
  <si>
    <t xml:space="preserve"> - közművesítési hozzájárulás</t>
  </si>
  <si>
    <t>152801</t>
  </si>
  <si>
    <t xml:space="preserve"> - Zalabesenyői templom felújításához támogatás a Nemzeti Kulturális Alaptól</t>
  </si>
  <si>
    <t xml:space="preserve"> - cserével vegyes ingatlanszerződések</t>
  </si>
  <si>
    <t xml:space="preserve"> - Nyugdíjas Otthonházi adomány</t>
  </si>
  <si>
    <t xml:space="preserve"> - intézményi elvonás maradvány terhére</t>
  </si>
  <si>
    <t xml:space="preserve"> - 2015. évi állami támogatás elszámolásából származó bevétel</t>
  </si>
  <si>
    <t xml:space="preserve"> - nemzetközi kapcsolatok</t>
  </si>
  <si>
    <t xml:space="preserve"> - Jótékonysági Nap bevétele</t>
  </si>
  <si>
    <t xml:space="preserve">  - településrészi önkormányzatok</t>
  </si>
  <si>
    <t xml:space="preserve">   - településrészi önkormányzatok</t>
  </si>
  <si>
    <t>kgy</t>
  </si>
  <si>
    <t>kgy,pm</t>
  </si>
  <si>
    <t>pm</t>
  </si>
  <si>
    <t>1./2./9.</t>
  </si>
  <si>
    <t>Liszt F.tagiskola tornaterem öltözőinek és kapcsolódó vizesblokkjainak felújítása</t>
  </si>
  <si>
    <t>4./4.</t>
  </si>
  <si>
    <t>Városi Sportcentrumban atlétikai pálya felújítása</t>
  </si>
  <si>
    <t>biz.</t>
  </si>
  <si>
    <t xml:space="preserve"> - fedett fürdő jegyár kompenzáció</t>
  </si>
  <si>
    <t xml:space="preserve"> - Buslakpusztai bezárt hulladéklerakó szennyezés lokalizációja létesítmény üzemeltetés és kapcsolódó elszámolások, járulékok</t>
  </si>
  <si>
    <t>1./16.</t>
  </si>
  <si>
    <t>Zrínyi Miklós Gimnázium udvarának csapadékvíz elvezetése</t>
  </si>
  <si>
    <t>1./17.</t>
  </si>
  <si>
    <t>Móra F.u. szennyvízcsatorna szűkítők és fedlapok cseréje</t>
  </si>
  <si>
    <t>1./18.</t>
  </si>
  <si>
    <t>Juhász Gy.  vasúti aluljáró világítás felújítás</t>
  </si>
  <si>
    <t>5./21</t>
  </si>
  <si>
    <t>Zrínyi Gimn. kosárlabdapálya burkolat felújítása</t>
  </si>
  <si>
    <t>5./22.</t>
  </si>
  <si>
    <t>Vizslaparki játszótér</t>
  </si>
  <si>
    <t>8./3.</t>
  </si>
  <si>
    <t>Temetői fejlesztések</t>
  </si>
  <si>
    <t xml:space="preserve">Mozgássérültek Zala Megyei Egyesülete pihenőháza raktár és szerszámtároló létesítése </t>
  </si>
  <si>
    <t xml:space="preserve"> - "M9" Térségi Fejlesztési Tanács és egyéb stratégiai együttműködésekkel kapcsolatos műk.kiadás</t>
  </si>
  <si>
    <t xml:space="preserve">Rákóczi u. Arany J.u. és Mártírok útja között lévő szakaszán üzemelő szennyvíz, csapadékcsatorna és ivóvízvezeték </t>
  </si>
  <si>
    <t>Városi strand női wc bővítés, kazáncsere ésvízgépészeti kiegészítő munkák</t>
  </si>
  <si>
    <t>Sportpark pályázattal megvalósuló pályák előkészítő munkái</t>
  </si>
  <si>
    <t>9./13.</t>
  </si>
  <si>
    <t>9./14.</t>
  </si>
  <si>
    <t>Roxi teke klub felújítási munkái</t>
  </si>
  <si>
    <t>1./4.</t>
  </si>
  <si>
    <t>1./7.</t>
  </si>
  <si>
    <t>Jótékonysági nap bevételéből a Gondozóházban lift felújításának támogatása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</si>
  <si>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</si>
  <si>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</si>
  <si>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</si>
  <si>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</si>
  <si>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</si>
  <si>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</si>
  <si>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</si>
  <si>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</si>
  <si>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</si>
  <si>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</si>
  <si>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</si>
  <si>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</si>
  <si>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</si>
  <si>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</si>
  <si>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</si>
  <si>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</si>
  <si>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</si>
  <si>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</si>
  <si>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</si>
  <si>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 xml:space="preserve"> -  folk hétvége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</si>
  <si>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</si>
  <si>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</si>
  <si>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</si>
  <si>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</si>
  <si>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</si>
  <si>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</si>
  <si>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Szennyvíztársulástól átvett víziközmű vagyon fejlesztésére pénzeszköz átadás Szennyvíztársulás részére a 32/2016. (III.03.) kgy.határozat alapján</t>
  </si>
  <si>
    <t>Ivóvíz felújítások használati díj terhére a 32/2016. (III.03.)kgy.határozat alapján</t>
  </si>
  <si>
    <t>4.) Működési célú átvett pénzeszközök</t>
  </si>
  <si>
    <t>5.) Előző év költségvetési maradványának igénybevétele</t>
  </si>
  <si>
    <t>6.) Előző év vállalkozási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</si>
  <si>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</si>
  <si>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</si>
  <si>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</si>
  <si>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</si>
  <si>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</si>
  <si>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</si>
  <si>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</si>
  <si>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5./1</t>
  </si>
  <si>
    <t>6.</t>
  </si>
  <si>
    <t>6./1</t>
  </si>
  <si>
    <t>5.</t>
  </si>
  <si>
    <t>7.</t>
  </si>
  <si>
    <t>Hulladékgazdálkodás</t>
  </si>
  <si>
    <t>8.</t>
  </si>
  <si>
    <t>Köztemető</t>
  </si>
  <si>
    <t>9.</t>
  </si>
  <si>
    <t>9./1</t>
  </si>
  <si>
    <t>Egyéb feladatok</t>
  </si>
  <si>
    <t xml:space="preserve"> - fa értékesítés bevétele</t>
  </si>
  <si>
    <t>Térfigyelő kamera felszerelése Botfán</t>
  </si>
  <si>
    <t xml:space="preserve">Uszoda tervezés MVP támogatásból </t>
  </si>
  <si>
    <t>107060 Egyéb szociális pénzbeli ellátások, támogatások</t>
  </si>
  <si>
    <t>Berzsenyi utcai tízemeletesek közötti parkfejlesztés illetve egyéb beruházás</t>
  </si>
  <si>
    <t>Önkormányzati erdő telepítése</t>
  </si>
  <si>
    <t>5./5</t>
  </si>
  <si>
    <t>5./6</t>
  </si>
  <si>
    <t>Olasz hősi temető sírhelyek felújítása</t>
  </si>
  <si>
    <t>16.</t>
  </si>
  <si>
    <t xml:space="preserve"> - ingatlaneladás </t>
  </si>
  <si>
    <t xml:space="preserve"> - helypénz és helybiztosítás</t>
  </si>
  <si>
    <t xml:space="preserve"> - LÉSZ bérlemény üzemeltetés bevétele</t>
  </si>
  <si>
    <t>Lakásalappal kapcsolatos bevételek</t>
  </si>
  <si>
    <t>Vagyonkezelési felad. összesen:</t>
  </si>
  <si>
    <t>Jogi igazgatási feladatok</t>
  </si>
  <si>
    <t xml:space="preserve"> - Augusztus 20-i falumúzeumi rendezvény</t>
  </si>
  <si>
    <t xml:space="preserve"> - Egerszeg Búcsú</t>
  </si>
  <si>
    <t xml:space="preserve"> - Zalai Civil Életért Közhasznú Egy.támogatása (Civil ház működtetése)</t>
  </si>
  <si>
    <t xml:space="preserve"> - Pannon Tükör kulturális folyóirat támogatása</t>
  </si>
  <si>
    <t xml:space="preserve"> - szakképzési  ösztöndíj</t>
  </si>
  <si>
    <t xml:space="preserve"> - víziközművek területigénybevételével  kapcsolatos költségek</t>
  </si>
  <si>
    <t>Pénzügyi lebonyolítás</t>
  </si>
  <si>
    <t xml:space="preserve"> </t>
  </si>
  <si>
    <t>Pénzügyi lebonyolítás összesen:</t>
  </si>
  <si>
    <t>Cím szám</t>
  </si>
  <si>
    <t>Alcím szám</t>
  </si>
  <si>
    <t>2.</t>
  </si>
  <si>
    <t>1.</t>
  </si>
  <si>
    <t>3.</t>
  </si>
  <si>
    <t>4.</t>
  </si>
  <si>
    <t>Út-járda parkoló beruházások</t>
  </si>
  <si>
    <t>4./1</t>
  </si>
  <si>
    <t xml:space="preserve"> - országos DO. zalaegerszegi rendezvényei</t>
  </si>
  <si>
    <t xml:space="preserve">        rendezvények támogatása</t>
  </si>
  <si>
    <t xml:space="preserve"> - Inkubátorház bérleti díja</t>
  </si>
  <si>
    <t xml:space="preserve"> -  vagyongazdálkodási feladatok és szakértői díjak</t>
  </si>
  <si>
    <t>Városi Középiskolai Kollégium bútorok beszerzése</t>
  </si>
  <si>
    <t>Ivóvíz felújítások használati díj terhére</t>
  </si>
  <si>
    <t xml:space="preserve"> - közterületen hagyott gépjárművek elszállítása</t>
  </si>
  <si>
    <t>Központi, irányító szervi támogatás</t>
  </si>
  <si>
    <t xml:space="preserve"> - városi újság támogatása</t>
  </si>
  <si>
    <t xml:space="preserve"> - Egerszegkártya</t>
  </si>
  <si>
    <t xml:space="preserve"> - Nemzedékek kézfogása</t>
  </si>
  <si>
    <t xml:space="preserve"> - Zalai Táncegyüttes Egyesület támogatás</t>
  </si>
  <si>
    <t>221 902</t>
  </si>
  <si>
    <t>151 907</t>
  </si>
  <si>
    <t>151 915</t>
  </si>
  <si>
    <t>152 908</t>
  </si>
  <si>
    <t>152 117</t>
  </si>
  <si>
    <t>151 910</t>
  </si>
  <si>
    <t xml:space="preserve"> - Településrészi Önkormányzatok</t>
  </si>
  <si>
    <t>1.a/6</t>
  </si>
  <si>
    <t>Önkormányzati tulajdonú ingatlanok szennyvízbekötései</t>
  </si>
  <si>
    <t>Csapadékvízelvezetéssel, vízrendezésekkel kapcsolatos tervezési díjak</t>
  </si>
  <si>
    <t>2./2</t>
  </si>
  <si>
    <t>Magánerős ivóvíz bekötések</t>
  </si>
  <si>
    <t xml:space="preserve">Kápolnahegyi u. vízellátása </t>
  </si>
  <si>
    <t>Magánerős szennyvízcsatorna bekötések</t>
  </si>
  <si>
    <t>9./2</t>
  </si>
  <si>
    <t>3./1</t>
  </si>
  <si>
    <t>Gálafej közvilágítás fejlesztés</t>
  </si>
  <si>
    <t>3./2</t>
  </si>
  <si>
    <t>3./3</t>
  </si>
  <si>
    <t>3./4</t>
  </si>
  <si>
    <t>3./5</t>
  </si>
  <si>
    <t>3./6</t>
  </si>
  <si>
    <t>3./7</t>
  </si>
  <si>
    <t>1./1</t>
  </si>
  <si>
    <t>Önkormányzati kezelésben lévő intézmények közműveinek felújítása</t>
  </si>
  <si>
    <t>Zárda u. - Alsójánkahegyi u. víztározó töltővezeték építés utáni helyreállítási munkálatok</t>
  </si>
  <si>
    <t>1./2</t>
  </si>
  <si>
    <t>1./3</t>
  </si>
  <si>
    <t>1./4</t>
  </si>
  <si>
    <t>1./5</t>
  </si>
  <si>
    <t>Hevesi Sándor Színházban közönségforgalmi terek burkolatainak felújítása, cseréje</t>
  </si>
  <si>
    <t xml:space="preserve"> - Szennyvíztársulástól átvett víziközmű vagyon felújításához pénzeszköz átvétel a Szennyvíztársulástól</t>
  </si>
  <si>
    <t xml:space="preserve"> - Szennyvíztársulástól átvett viziközmű vagyon használati díja</t>
  </si>
  <si>
    <t>1./1.</t>
  </si>
  <si>
    <t>1./1/1</t>
  </si>
  <si>
    <t xml:space="preserve">             Általános iskolák</t>
  </si>
  <si>
    <t>1./2.</t>
  </si>
  <si>
    <t>1./1/2</t>
  </si>
  <si>
    <t>1./1/3</t>
  </si>
  <si>
    <t>1./1/5</t>
  </si>
  <si>
    <t>1./2/1</t>
  </si>
  <si>
    <t>1./2/2</t>
  </si>
  <si>
    <t>1./2/3</t>
  </si>
  <si>
    <t>1./2/4</t>
  </si>
  <si>
    <t>1./2/5</t>
  </si>
  <si>
    <t>1./2/6</t>
  </si>
  <si>
    <t>1./3.</t>
  </si>
  <si>
    <t>1./3./1</t>
  </si>
  <si>
    <t>1./3./2</t>
  </si>
  <si>
    <t>3./1./1</t>
  </si>
  <si>
    <t>3./1./2</t>
  </si>
  <si>
    <t>Bölcsődék felújítása</t>
  </si>
  <si>
    <t>6.a/4</t>
  </si>
  <si>
    <t>6.a/5</t>
  </si>
  <si>
    <t>6.a/6</t>
  </si>
  <si>
    <t>6.a/7</t>
  </si>
  <si>
    <t>Bóbita játszótér WC és kézmosó</t>
  </si>
  <si>
    <t>Zalabesenyő temető kápolna felújítási munkái</t>
  </si>
  <si>
    <t>Költségvetési szervek felújítási kerete (Vis maior)</t>
  </si>
  <si>
    <t>3.) Egyéb működési célú kiadások (költségvetési szervek és tartalék nélkül)</t>
  </si>
  <si>
    <t>Páterdombi sportfejlesztési feladatok</t>
  </si>
  <si>
    <t>Falumúzeum szennyvízbekötése (telekhatáron belül 1 m-re)</t>
  </si>
  <si>
    <t>Kispálhegyi utca szennyvízelvezetés</t>
  </si>
  <si>
    <t>Völgyi utca vízellátása</t>
  </si>
  <si>
    <t>Fenyő utca feltáró út kialakítása, közvilágítás kiépítése</t>
  </si>
  <si>
    <t>Takarék köz burkolatfelújítás II. ütem</t>
  </si>
  <si>
    <t>Belső tehermentesítő út II. ütemhez kapcsolódó építési munkák (nem támogatott munkarészek)</t>
  </si>
  <si>
    <t>4./3</t>
  </si>
  <si>
    <t>4./4</t>
  </si>
  <si>
    <t>4./5</t>
  </si>
  <si>
    <t>4./6</t>
  </si>
  <si>
    <t>4./7</t>
  </si>
  <si>
    <t>4./8</t>
  </si>
  <si>
    <t>4./9</t>
  </si>
  <si>
    <t>4./10</t>
  </si>
  <si>
    <t>1./6</t>
  </si>
  <si>
    <t>Ebergényi sportpálya fejlesztés</t>
  </si>
  <si>
    <t>5./3</t>
  </si>
  <si>
    <t>5./7</t>
  </si>
  <si>
    <t>5./8</t>
  </si>
  <si>
    <t>5./9</t>
  </si>
  <si>
    <t>5./10</t>
  </si>
  <si>
    <t>5./11</t>
  </si>
  <si>
    <t>4./11</t>
  </si>
  <si>
    <t>4./12</t>
  </si>
  <si>
    <t>4./13</t>
  </si>
  <si>
    <t>4./14</t>
  </si>
  <si>
    <t>4./15</t>
  </si>
  <si>
    <t>4./16</t>
  </si>
  <si>
    <t>4./17</t>
  </si>
  <si>
    <t>4./18</t>
  </si>
  <si>
    <t>4./19</t>
  </si>
  <si>
    <t>4./20</t>
  </si>
  <si>
    <t xml:space="preserve"> - Zalaegerszegi Szociális Társulás működési hozzájárulás</t>
  </si>
  <si>
    <t xml:space="preserve"> - Erdődy Hűvös kastély működési támogatása Notre Dame Női Kanonok- és Tanítórend részére</t>
  </si>
  <si>
    <t xml:space="preserve"> - Fazekas-keramikus találkozó</t>
  </si>
  <si>
    <t xml:space="preserve"> - Zalaegerszegi Városi Diáknapok</t>
  </si>
  <si>
    <t xml:space="preserve"> - Csácsbozsok NSE sportlét.bérleti díj</t>
  </si>
  <si>
    <t>TAO-s pályázatok önrésze</t>
  </si>
  <si>
    <t>9.a/3</t>
  </si>
  <si>
    <t xml:space="preserve">  ZMJV ITP projektjeinek előkészítésével kapcsolatos 2015. évről áthúzódó kiadások</t>
  </si>
  <si>
    <t xml:space="preserve"> - Zalaegerszegi Polgárőr Egyesületek Szövetségének támogatása</t>
  </si>
  <si>
    <t>4./21</t>
  </si>
  <si>
    <t>4./22</t>
  </si>
  <si>
    <t>4./23</t>
  </si>
  <si>
    <t>4./24</t>
  </si>
  <si>
    <t>4./25</t>
  </si>
  <si>
    <t>4./26</t>
  </si>
  <si>
    <t>3./11</t>
  </si>
  <si>
    <t>TOP Projektek</t>
  </si>
  <si>
    <t>TOP-6.5.1 Zrínyi energetikai felújítás</t>
  </si>
  <si>
    <t>Villámtöltő telepítése a Dísz téren</t>
  </si>
  <si>
    <t xml:space="preserve"> - Villámtöltő telepítéséhez pályázati támogatás</t>
  </si>
  <si>
    <t>10./6.</t>
  </si>
  <si>
    <t xml:space="preserve"> -területrendezési és egyéb eljárások költségei főépítészi feladatokhoz</t>
  </si>
  <si>
    <t xml:space="preserve"> - Ivóvízminőség javítása KEOP pályázat önrészből visszafizetés</t>
  </si>
  <si>
    <t>Kölcsey Gimnázium belső csapadékvízelvezetése és árnyékolók beszerzése</t>
  </si>
  <si>
    <t xml:space="preserve"> Jákum u. 1/A villamos rendszer felújításához pe. átadás</t>
  </si>
  <si>
    <t xml:space="preserve"> Mártírok u. 19-21.(COLOR) előtti járda felújítása</t>
  </si>
  <si>
    <t>4./67.</t>
  </si>
  <si>
    <t>10./1.19.</t>
  </si>
  <si>
    <t>10./1.20.</t>
  </si>
  <si>
    <t>10./1.21.</t>
  </si>
  <si>
    <t>4./68.</t>
  </si>
  <si>
    <t>4./69.</t>
  </si>
  <si>
    <t>Andráshida posta előtti járda felújítása</t>
  </si>
  <si>
    <t>Lőrinc barát parkoló magánerős burkolat felújítása</t>
  </si>
  <si>
    <t xml:space="preserve"> - Lőrinc barát parkoló burkolat felújításához magánerős befizetés</t>
  </si>
  <si>
    <t xml:space="preserve"> Gébárti kézművesek háza EFOP kreatív ház tervezése</t>
  </si>
  <si>
    <t>9./17.</t>
  </si>
  <si>
    <t>Járműipari tesztpálya megvalósításához területvásárlás támogatsa</t>
  </si>
  <si>
    <t xml:space="preserve"> - közművek térítésmentes átadása</t>
  </si>
  <si>
    <t xml:space="preserve"> - ZALAVÍZ Zrt. befizetése 2015. évről áthúzódó</t>
  </si>
  <si>
    <t xml:space="preserve"> - KEOP ivóvíz vagyon használati díja</t>
  </si>
  <si>
    <t>Új lakások építése, illetve lakóépületek felújítása, korszerűsítése Lakásalap</t>
  </si>
  <si>
    <t>042220 Erdőgazdálkodás</t>
  </si>
  <si>
    <t xml:space="preserve"> - Önkormányzati erdő ápolási és megújítási feladatok</t>
  </si>
  <si>
    <t>163 601-163 624</t>
  </si>
  <si>
    <t xml:space="preserve"> - Előtervezés víziközmű fejlesztésekhez kötbér megfizetése</t>
  </si>
  <si>
    <t xml:space="preserve"> - Uszoda fejlesztés MVP támogatásból</t>
  </si>
  <si>
    <t xml:space="preserve"> - Ságodi mezőgazdasági telep hasznosítása</t>
  </si>
  <si>
    <t>9./18.</t>
  </si>
  <si>
    <t>Ebergényi u.45. Lőtér felújítása, korszerűsítésének tervezés</t>
  </si>
  <si>
    <t>10./1.22.</t>
  </si>
  <si>
    <t>10./1.23.</t>
  </si>
  <si>
    <t>10./1.24.</t>
  </si>
  <si>
    <t>10./7.</t>
  </si>
  <si>
    <t>10./8.</t>
  </si>
  <si>
    <t>Uszoda tervezés MVP támogatásból (Nettó)</t>
  </si>
  <si>
    <t>1./9.</t>
  </si>
  <si>
    <t>Ságodi mezőgazdasági telep felújítása bérbeszámítással</t>
  </si>
  <si>
    <t xml:space="preserve">Városi Strand rehabilitációs feladatai és tanuszoda, külső medence átépítés, területrendezés előkészítése  </t>
  </si>
  <si>
    <t>Mészáros L.u. 6. előtti útszakasz aszfaltozása</t>
  </si>
  <si>
    <t>Eötvös Iskola belső udvar felújításának terveztetése</t>
  </si>
  <si>
    <t>8.) Betétek megszüntetése</t>
  </si>
  <si>
    <t>6.) Egyéb finanszírozási kiadás</t>
  </si>
  <si>
    <t>Működési célú költségvetési támogatások és kiegészítő támogatások</t>
  </si>
  <si>
    <t>B34</t>
  </si>
  <si>
    <t>Vagyoni típusú adók (építményadó, magánszemélyek kommunális adója)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</si>
  <si>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</si>
  <si>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</si>
  <si>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</si>
  <si>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</si>
  <si>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</si>
  <si>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</si>
  <si>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 xml:space="preserve">   B818</t>
  </si>
  <si>
    <t>Betétek megszüntetése</t>
  </si>
  <si>
    <t>1.a) önkormányzati hivatal működésének támogatása</t>
  </si>
  <si>
    <t xml:space="preserve">                                                  4 hóra</t>
  </si>
  <si>
    <t>4. Köznevelési intézmények működéséhez kapcsolódó támogatás</t>
  </si>
  <si>
    <t xml:space="preserve">  3.a) Család és gyermekjóléti szolgálat</t>
  </si>
  <si>
    <t xml:space="preserve"> - járásszékhely település</t>
  </si>
  <si>
    <t xml:space="preserve"> - egyéb önkormányzatok (Nagypáli Közös Önk. Hivatal)</t>
  </si>
  <si>
    <t xml:space="preserve">        -községek száma miatti kiegészítő létszám</t>
  </si>
  <si>
    <t>b.) Család- és gyermekjóléti központ ( járáshoz tartozó összes településre)</t>
  </si>
  <si>
    <t>2. Települési önk.által fenntartott előadó-művészeti szervezetek támogatása</t>
  </si>
  <si>
    <t>2.a) színházművészeti szervezetek támogatása</t>
  </si>
  <si>
    <t>Hevesi Sándor Színház és Griff Bábszínház állami támogatása</t>
  </si>
  <si>
    <t xml:space="preserve">1.b) megyei hatáskörű könyvtárak feladatainak támogatása ( (Deák Ferenc Megyei    Könyvtár és a  városi könyvtár) </t>
  </si>
  <si>
    <t>Állami hozzájárulás összesen:</t>
  </si>
  <si>
    <t>Szociális és igazgatási feladatok</t>
  </si>
  <si>
    <t>Humánigazgatási feladatok</t>
  </si>
  <si>
    <t>Humánigazgatási feladatok működési kiadásai:</t>
  </si>
  <si>
    <t>Humánigazgatási feladatok összesen:</t>
  </si>
  <si>
    <t>Szociális és igazgatási fa. kiadásai összesen:</t>
  </si>
  <si>
    <t>Szociális és igazgatási fa.működési kiadás összesen:</t>
  </si>
  <si>
    <t>Városüzemelési működési kiadásai összesen:</t>
  </si>
  <si>
    <t>Szociális és igazgatási feladatok összesen:</t>
  </si>
  <si>
    <t xml:space="preserve"> - Roma Nemzetiségi Önkormányzat támogatása</t>
  </si>
  <si>
    <t>II. Felhalmozási célú kiadások</t>
  </si>
  <si>
    <t>II. Felhalmozási célú bevételek</t>
  </si>
  <si>
    <t>2.) Beruházás</t>
  </si>
  <si>
    <t>3.) Felújítás</t>
  </si>
  <si>
    <t>4.) Céltartalék</t>
  </si>
  <si>
    <t>6.b/1</t>
  </si>
  <si>
    <t>FELHALMOZÁSI CÉLÚ BEVÉTELEK  ÖSSZESEN:</t>
  </si>
  <si>
    <t>FELHALMOZÁSI CÉLÚ KIADÁSOK ÖSSZESEN:</t>
  </si>
  <si>
    <t>BEVÉTELEK</t>
  </si>
  <si>
    <t xml:space="preserve"> - csapadékvíz elvezető rendszer felmérése, szakági nyilvántartása</t>
  </si>
  <si>
    <t xml:space="preserve"> -Fogyatékos Otthon működtetése</t>
  </si>
  <si>
    <t>Jövedéki adó</t>
  </si>
  <si>
    <t>2016. évi  eredeti előirányzat</t>
  </si>
  <si>
    <t>103010 Elhunyt személyek hátramaradottainak pénzbeli ellátása</t>
  </si>
  <si>
    <t xml:space="preserve"> - Környezetvédelmi Jeles napok rendezvény lebonyolítása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</si>
</sst>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"/>
    <numFmt numFmtId="167" formatCode="mmm\ d/"/>
    <numFmt numFmtId="168" formatCode="_-* #,##0.0\ _F_t_-;\-* #,##0.0\ _F_t_-;_-* &quot;-&quot;??\ _F_t_-;_-@_-"/>
    <numFmt numFmtId="169" formatCode="_-* #,##0\ _F_t_-;\-* #,##0\ _F_t_-;_-* &quot;-&quot;??\ _F_t_-;_-@_-"/>
    <numFmt numFmtId="170" formatCode="#,##0.00000"/>
    <numFmt numFmtId="171" formatCode="#,##0_ ;\-#,##0\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hh:mm"/>
    <numFmt numFmtId="177" formatCode="hh:mm:ss"/>
    <numFmt numFmtId="178" formatCode="yyyy/mm/dd\ hh:mm"/>
    <numFmt numFmtId="179" formatCode="0\1\40\2\3"/>
    <numFmt numFmtId="180" formatCode="0\20\2\1\5"/>
    <numFmt numFmtId="181" formatCode="0\1\40\3\4"/>
    <numFmt numFmtId="182" formatCode="0##,###"/>
    <numFmt numFmtId="183" formatCode="_-* #,##0.000\ &quot;Ft&quot;_-;\-* #,##0.000\ &quot;Ft&quot;_-;_-* &quot;-&quot;??\ &quot;Ft&quot;_-;_-@_-"/>
    <numFmt numFmtId="184" formatCode="00.0"/>
    <numFmt numFmtId="185" formatCode="\4\4.\7"/>
    <numFmt numFmtId="186" formatCode="0.000"/>
    <numFmt numFmtId="187" formatCode="##.###"/>
    <numFmt numFmtId="188" formatCode="#,###.###"/>
    <numFmt numFmtId="189" formatCode="######.#"/>
    <numFmt numFmtId="190" formatCode="0."/>
    <numFmt numFmtId="191" formatCode="0.00,"/>
    <numFmt numFmtId="192" formatCode="\ 0.0"/>
    <numFmt numFmtId="193" formatCode="#,##0.000"/>
    <numFmt numFmtId="194" formatCode="0.0%"/>
    <numFmt numFmtId="195" formatCode="0.00;[Red]0.00"/>
    <numFmt numFmtId="196" formatCode="#,##0.00;[Red]#,##0.00"/>
    <numFmt numFmtId="197" formatCode="&quot;H-&quot;0000"/>
    <numFmt numFmtId="198" formatCode="0.0000"/>
    <numFmt numFmtId="199" formatCode="#,##0;0;"/>
    <numFmt numFmtId="200" formatCode="#,##0;\-#,##0;"/>
    <numFmt numFmtId="201" formatCode="00000000\-0\-00"/>
    <numFmt numFmtId="202" formatCode="&quot;Igen&quot;;&quot;Igen&quot;;&quot;Nem&quot;"/>
    <numFmt numFmtId="203" formatCode="&quot;Igaz&quot;;&quot;Igaz&quot;;&quot;Hamis&quot;"/>
    <numFmt numFmtId="204" formatCode="&quot;Be&quot;;&quot;Be&quot;;&quot;Ki&quot;"/>
    <numFmt numFmtId="205" formatCode="[$-40E]mmmm\ d\.;@"/>
    <numFmt numFmtId="206" formatCode="&quot;SFr.&quot;\ #,##0;&quot;SFr.&quot;\ \-#,##0"/>
    <numFmt numFmtId="207" formatCode="&quot;SFr.&quot;\ #,##0;[Red]&quot;SFr.&quot;\ \-#,##0"/>
    <numFmt numFmtId="208" formatCode="&quot;SFr.&quot;\ #,##0.00;&quot;SFr.&quot;\ \-#,##0.00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* #,##0_ ;_ * \-#,##0_ ;_ * &quot;-&quot;_ ;_ @_ "/>
    <numFmt numFmtId="212" formatCode="_ &quot;SFr.&quot;\ * #,##0.00_ ;_ &quot;SFr.&quot;\ * \-#,##0.00_ ;_ &quot;SFr.&quot;\ * &quot;-&quot;??_ ;_ @_ "/>
    <numFmt numFmtId="213" formatCode="_ * #,##0.00_ ;_ * \-#,##0.00_ ;_ * &quot;-&quot;??_ ;_ @_ "/>
    <numFmt numFmtId="214" formatCode="_-* #,##0.000\ &quot;SFr.&quot;_-;\-* #,##0.000\ &quot;SFr.&quot;_-;_-* &quot;-&quot;??\ &quot;SFr.&quot;_-;_-@_-"/>
    <numFmt numFmtId="215" formatCode="_-* #,##0.000\ _F_t_-;\-* #,##0.000\ _F_t_-;_-* &quot;-&quot;??\ _F_t_-;_-@_-"/>
    <numFmt numFmtId="216" formatCode="#,##0\ &quot;Ft&quot;"/>
    <numFmt numFmtId="217" formatCode="0000000\-0"/>
    <numFmt numFmtId="218" formatCode="&quot;€&quot;#,##0;\-&quot;€&quot;#,##0"/>
    <numFmt numFmtId="219" formatCode="&quot;€&quot;#,##0;[Red]\-&quot;€&quot;#,##0"/>
    <numFmt numFmtId="220" formatCode="&quot;€&quot;#,##0.00;\-&quot;€&quot;#,##0.00"/>
    <numFmt numFmtId="221" formatCode="&quot;€&quot;#,##0.00;[Red]\-&quot;€&quot;#,##0.00"/>
    <numFmt numFmtId="222" formatCode="_-&quot;€&quot;* #,##0_-;\-&quot;€&quot;* #,##0_-;_-&quot;€&quot;* &quot;-&quot;_-;_-@_-"/>
    <numFmt numFmtId="223" formatCode="_-* #,##0_-;\-* #,##0_-;_-* &quot;-&quot;_-;_-@_-"/>
    <numFmt numFmtId="224" formatCode="_-&quot;€&quot;* #,##0.00_-;\-&quot;€&quot;* #,##0.00_-;_-&quot;€&quot;* &quot;-&quot;??_-;_-@_-"/>
    <numFmt numFmtId="225" formatCode="_-* #,##0.00_-;\-* #,##0.00_-;_-* &quot;-&quot;??_-;_-@_-"/>
    <numFmt numFmtId="226" formatCode="[$-40E]yyyy\.\ mmmm\ d\."/>
    <numFmt numFmtId="227" formatCode="[$-40E]mmm/\ d\.;@"/>
  </numFmts>
  <fonts count="69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2"/>
    </font>
    <font>
      <i/>
      <sz val="9"/>
      <name val="Arial CE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8"/>
      <name val="Arial CE"/>
      <family val="2"/>
    </font>
    <font>
      <sz val="9"/>
      <name val="Times New Roman CE"/>
      <family val="0"/>
    </font>
    <font>
      <i/>
      <sz val="10"/>
      <name val="MS Sans Serif"/>
      <family val="2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 CE"/>
      <family val="0"/>
    </font>
    <font>
      <sz val="10"/>
      <color indexed="10"/>
      <name val="Times New Roman"/>
      <family val="1"/>
    </font>
    <font>
      <sz val="8.1"/>
      <name val="Times New Roman"/>
      <family val="1"/>
    </font>
    <font>
      <b/>
      <sz val="9"/>
      <name val="Arial CE"/>
      <family val="0"/>
    </font>
    <font>
      <b/>
      <sz val="10"/>
      <name val="MS Sans Serif"/>
      <family val="0"/>
    </font>
    <font>
      <sz val="10"/>
      <color indexed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1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27" fillId="4" borderId="0" applyNumberFormat="0" applyBorder="0" applyAlignment="0" applyProtection="0"/>
    <xf numFmtId="0" fontId="45" fillId="5" borderId="0" applyNumberFormat="0" applyBorder="0" applyAlignment="0" applyProtection="0"/>
    <xf numFmtId="0" fontId="27" fillId="6" borderId="0" applyNumberFormat="0" applyBorder="0" applyAlignment="0" applyProtection="0"/>
    <xf numFmtId="0" fontId="45" fillId="7" borderId="0" applyNumberFormat="0" applyBorder="0" applyAlignment="0" applyProtection="0"/>
    <xf numFmtId="0" fontId="27" fillId="8" borderId="0" applyNumberFormat="0" applyBorder="0" applyAlignment="0" applyProtection="0"/>
    <xf numFmtId="0" fontId="45" fillId="9" borderId="0" applyNumberFormat="0" applyBorder="0" applyAlignment="0" applyProtection="0"/>
    <xf numFmtId="0" fontId="27" fillId="10" borderId="0" applyNumberFormat="0" applyBorder="0" applyAlignment="0" applyProtection="0"/>
    <xf numFmtId="0" fontId="45" fillId="11" borderId="0" applyNumberFormat="0" applyBorder="0" applyAlignment="0" applyProtection="0"/>
    <xf numFmtId="0" fontId="27" fillId="12" borderId="0" applyNumberFormat="0" applyBorder="0" applyAlignment="0" applyProtection="0"/>
    <xf numFmtId="0" fontId="45" fillId="13" borderId="0" applyNumberFormat="0" applyBorder="0" applyAlignment="0" applyProtection="0"/>
    <xf numFmtId="0" fontId="27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10" borderId="0" applyNumberFormat="0" applyBorder="0" applyAlignment="0" applyProtection="0"/>
    <xf numFmtId="0" fontId="45" fillId="12" borderId="0" applyNumberFormat="0" applyBorder="0" applyAlignment="0" applyProtection="0"/>
    <xf numFmtId="0" fontId="45" fillId="14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27" fillId="18" borderId="0" applyNumberFormat="0" applyBorder="0" applyAlignment="0" applyProtection="0"/>
    <xf numFmtId="0" fontId="45" fillId="19" borderId="0" applyNumberFormat="0" applyBorder="0" applyAlignment="0" applyProtection="0"/>
    <xf numFmtId="0" fontId="27" fillId="20" borderId="0" applyNumberFormat="0" applyBorder="0" applyAlignment="0" applyProtection="0"/>
    <xf numFmtId="0" fontId="45" fillId="21" borderId="0" applyNumberFormat="0" applyBorder="0" applyAlignment="0" applyProtection="0"/>
    <xf numFmtId="0" fontId="27" fillId="22" borderId="0" applyNumberFormat="0" applyBorder="0" applyAlignment="0" applyProtection="0"/>
    <xf numFmtId="0" fontId="45" fillId="23" borderId="0" applyNumberFormat="0" applyBorder="0" applyAlignment="0" applyProtection="0"/>
    <xf numFmtId="0" fontId="27" fillId="10" borderId="0" applyNumberFormat="0" applyBorder="0" applyAlignment="0" applyProtection="0"/>
    <xf numFmtId="0" fontId="45" fillId="11" borderId="0" applyNumberFormat="0" applyBorder="0" applyAlignment="0" applyProtection="0"/>
    <xf numFmtId="0" fontId="27" fillId="18" borderId="0" applyNumberFormat="0" applyBorder="0" applyAlignment="0" applyProtection="0"/>
    <xf numFmtId="0" fontId="45" fillId="19" borderId="0" applyNumberFormat="0" applyBorder="0" applyAlignment="0" applyProtection="0"/>
    <xf numFmtId="0" fontId="27" fillId="17" borderId="0" applyNumberFormat="0" applyBorder="0" applyAlignment="0" applyProtection="0"/>
    <xf numFmtId="0" fontId="45" fillId="24" borderId="0" applyNumberFormat="0" applyBorder="0" applyAlignment="0" applyProtection="0"/>
    <xf numFmtId="0" fontId="45" fillId="18" borderId="0" applyNumberFormat="0" applyBorder="0" applyAlignment="0" applyProtection="0"/>
    <xf numFmtId="0" fontId="45" fillId="20" borderId="0" applyNumberFormat="0" applyBorder="0" applyAlignment="0" applyProtection="0"/>
    <xf numFmtId="0" fontId="45" fillId="22" borderId="0" applyNumberFormat="0" applyBorder="0" applyAlignment="0" applyProtection="0"/>
    <xf numFmtId="0" fontId="45" fillId="10" borderId="0" applyNumberFormat="0" applyBorder="0" applyAlignment="0" applyProtection="0"/>
    <xf numFmtId="0" fontId="45" fillId="18" borderId="0" applyNumberFormat="0" applyBorder="0" applyAlignment="0" applyProtection="0"/>
    <xf numFmtId="0" fontId="45" fillId="17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28" fillId="27" borderId="0" applyNumberFormat="0" applyBorder="0" applyAlignment="0" applyProtection="0"/>
    <xf numFmtId="0" fontId="46" fillId="28" borderId="0" applyNumberFormat="0" applyBorder="0" applyAlignment="0" applyProtection="0"/>
    <xf numFmtId="0" fontId="28" fillId="20" borderId="0" applyNumberFormat="0" applyBorder="0" applyAlignment="0" applyProtection="0"/>
    <xf numFmtId="0" fontId="46" fillId="21" borderId="0" applyNumberFormat="0" applyBorder="0" applyAlignment="0" applyProtection="0"/>
    <xf numFmtId="0" fontId="28" fillId="22" borderId="0" applyNumberFormat="0" applyBorder="0" applyAlignment="0" applyProtection="0"/>
    <xf numFmtId="0" fontId="46" fillId="23" borderId="0" applyNumberFormat="0" applyBorder="0" applyAlignment="0" applyProtection="0"/>
    <xf numFmtId="0" fontId="28" fillId="29" borderId="0" applyNumberFormat="0" applyBorder="0" applyAlignment="0" applyProtection="0"/>
    <xf numFmtId="0" fontId="46" fillId="30" borderId="0" applyNumberFormat="0" applyBorder="0" applyAlignment="0" applyProtection="0"/>
    <xf numFmtId="0" fontId="28" fillId="2" borderId="0" applyNumberFormat="0" applyBorder="0" applyAlignment="0" applyProtection="0"/>
    <xf numFmtId="0" fontId="46" fillId="31" borderId="0" applyNumberFormat="0" applyBorder="0" applyAlignment="0" applyProtection="0"/>
    <xf numFmtId="0" fontId="28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27" borderId="0" applyNumberFormat="0" applyBorder="0" applyAlignment="0" applyProtection="0"/>
    <xf numFmtId="0" fontId="46" fillId="20" borderId="0" applyNumberFormat="0" applyBorder="0" applyAlignment="0" applyProtection="0"/>
    <xf numFmtId="0" fontId="46" fillId="22" borderId="0" applyNumberFormat="0" applyBorder="0" applyAlignment="0" applyProtection="0"/>
    <xf numFmtId="0" fontId="46" fillId="29" borderId="0" applyNumberFormat="0" applyBorder="0" applyAlignment="0" applyProtection="0"/>
    <xf numFmtId="0" fontId="46" fillId="2" borderId="0" applyNumberFormat="0" applyBorder="0" applyAlignment="0" applyProtection="0"/>
    <xf numFmtId="0" fontId="46" fillId="32" borderId="0" applyNumberFormat="0" applyBorder="0" applyAlignment="0" applyProtection="0"/>
    <xf numFmtId="0" fontId="46" fillId="25" borderId="0" applyNumberFormat="0" applyBorder="0" applyAlignment="0" applyProtection="0"/>
    <xf numFmtId="0" fontId="46" fillId="34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6" borderId="0" applyNumberFormat="0" applyBorder="0" applyAlignment="0" applyProtection="0"/>
    <xf numFmtId="0" fontId="29" fillId="14" borderId="1" applyNumberFormat="0" applyAlignment="0" applyProtection="0"/>
    <xf numFmtId="0" fontId="55" fillId="15" borderId="1" applyNumberFormat="0" applyAlignment="0" applyProtection="0"/>
    <xf numFmtId="0" fontId="48" fillId="35" borderId="1" applyNumberFormat="0" applyAlignment="0" applyProtection="0"/>
    <xf numFmtId="0" fontId="49" fillId="16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52" fillId="0" borderId="4" applyNumberFormat="0" applyFill="0" applyAlignment="0" applyProtection="0"/>
    <xf numFmtId="0" fontId="32" fillId="0" borderId="5" applyNumberFormat="0" applyFill="0" applyAlignment="0" applyProtection="0"/>
    <xf numFmtId="0" fontId="53" fillId="0" borderId="6" applyNumberFormat="0" applyFill="0" applyAlignment="0" applyProtection="0"/>
    <xf numFmtId="0" fontId="33" fillId="0" borderId="7" applyNumberFormat="0" applyFill="0" applyAlignment="0" applyProtection="0"/>
    <xf numFmtId="0" fontId="5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4" fillId="16" borderId="2" applyNumberFormat="0" applyAlignment="0" applyProtection="0"/>
    <xf numFmtId="0" fontId="49" fillId="36" borderId="2" applyNumberFormat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1" fillId="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5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56" fillId="0" borderId="9" applyNumberFormat="0" applyFill="0" applyAlignment="0" applyProtection="0"/>
    <xf numFmtId="0" fontId="55" fillId="14" borderId="1" applyNumberFormat="0" applyAlignment="0" applyProtection="0"/>
    <xf numFmtId="0" fontId="19" fillId="37" borderId="10" applyNumberFormat="0" applyFont="0" applyAlignment="0" applyProtection="0"/>
    <xf numFmtId="0" fontId="4" fillId="38" borderId="10" applyNumberFormat="0" applyAlignment="0" applyProtection="0"/>
    <xf numFmtId="0" fontId="28" fillId="25" borderId="0" applyNumberFormat="0" applyBorder="0" applyAlignment="0" applyProtection="0"/>
    <xf numFmtId="0" fontId="46" fillId="39" borderId="0" applyNumberFormat="0" applyBorder="0" applyAlignment="0" applyProtection="0"/>
    <xf numFmtId="0" fontId="28" fillId="34" borderId="0" applyNumberFormat="0" applyBorder="0" applyAlignment="0" applyProtection="0"/>
    <xf numFmtId="0" fontId="46" fillId="40" borderId="0" applyNumberFormat="0" applyBorder="0" applyAlignment="0" applyProtection="0"/>
    <xf numFmtId="0" fontId="28" fillId="26" borderId="0" applyNumberFormat="0" applyBorder="0" applyAlignment="0" applyProtection="0"/>
    <xf numFmtId="0" fontId="46" fillId="41" borderId="0" applyNumberFormat="0" applyBorder="0" applyAlignment="0" applyProtection="0"/>
    <xf numFmtId="0" fontId="28" fillId="29" borderId="0" applyNumberFormat="0" applyBorder="0" applyAlignment="0" applyProtection="0"/>
    <xf numFmtId="0" fontId="46" fillId="30" borderId="0" applyNumberFormat="0" applyBorder="0" applyAlignment="0" applyProtection="0"/>
    <xf numFmtId="0" fontId="28" fillId="2" borderId="0" applyNumberFormat="0" applyBorder="0" applyAlignment="0" applyProtection="0"/>
    <xf numFmtId="0" fontId="46" fillId="31" borderId="0" applyNumberFormat="0" applyBorder="0" applyAlignment="0" applyProtection="0"/>
    <xf numFmtId="0" fontId="28" fillId="3" borderId="0" applyNumberFormat="0" applyBorder="0" applyAlignment="0" applyProtection="0"/>
    <xf numFmtId="0" fontId="46" fillId="42" borderId="0" applyNumberFormat="0" applyBorder="0" applyAlignment="0" applyProtection="0"/>
    <xf numFmtId="0" fontId="37" fillId="8" borderId="0" applyNumberFormat="0" applyBorder="0" applyAlignment="0" applyProtection="0"/>
    <xf numFmtId="0" fontId="51" fillId="9" borderId="0" applyNumberFormat="0" applyBorder="0" applyAlignment="0" applyProtection="0"/>
    <xf numFmtId="0" fontId="38" fillId="35" borderId="11" applyNumberFormat="0" applyAlignment="0" applyProtection="0"/>
    <xf numFmtId="0" fontId="58" fillId="43" borderId="11" applyNumberFormat="0" applyAlignment="0" applyProtection="0"/>
    <xf numFmtId="0" fontId="56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19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5" fillId="37" borderId="10" applyNumberFormat="0" applyFont="0" applyAlignment="0" applyProtection="0"/>
    <xf numFmtId="0" fontId="58" fillId="35" borderId="11" applyNumberFormat="0" applyAlignment="0" applyProtection="0"/>
    <xf numFmtId="0" fontId="40" fillId="0" borderId="12" applyNumberFormat="0" applyFill="0" applyAlignment="0" applyProtection="0"/>
    <xf numFmtId="0" fontId="59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7" fillId="7" borderId="0" applyNumberFormat="0" applyBorder="0" applyAlignment="0" applyProtection="0"/>
    <xf numFmtId="0" fontId="42" fillId="44" borderId="0" applyNumberFormat="0" applyBorder="0" applyAlignment="0" applyProtection="0"/>
    <xf numFmtId="0" fontId="57" fillId="45" borderId="0" applyNumberFormat="0" applyBorder="0" applyAlignment="0" applyProtection="0"/>
    <xf numFmtId="0" fontId="43" fillId="35" borderId="1" applyNumberFormat="0" applyAlignment="0" applyProtection="0"/>
    <xf numFmtId="0" fontId="48" fillId="43" borderId="1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</cellStyleXfs>
  <cellXfs count="789">
    <xf numFmtId="0" fontId="0" fillId="0" borderId="0" xfId="0" applyAlignment="1">
      <alignment/>
    </xf>
    <xf numFmtId="0" fontId="8" fillId="0" borderId="13" xfId="163" applyFont="1" applyBorder="1" applyAlignment="1">
      <alignment horizontal="center" vertical="center"/>
      <protection/>
    </xf>
    <xf numFmtId="0" fontId="8" fillId="8" borderId="13" xfId="163" applyFont="1" applyFill="1" applyBorder="1" applyAlignment="1">
      <alignment horizontal="center" vertical="center"/>
      <protection/>
    </xf>
    <xf numFmtId="0" fontId="8" fillId="0" borderId="13" xfId="163" applyFont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3" fillId="0" borderId="13" xfId="174" applyNumberFormat="1" applyFont="1" applyFill="1" applyBorder="1" applyAlignment="1">
      <alignment horizontal="center" vertical="center" wrapText="1"/>
      <protection/>
    </xf>
    <xf numFmtId="3" fontId="12" fillId="0" borderId="13" xfId="174" applyNumberFormat="1" applyFont="1" applyFill="1" applyBorder="1" applyAlignment="1">
      <alignment horizontal="center" vertical="center" wrapText="1"/>
      <protection/>
    </xf>
    <xf numFmtId="3" fontId="13" fillId="0" borderId="13" xfId="174" applyNumberFormat="1" applyFont="1" applyBorder="1" applyAlignment="1">
      <alignment horizontal="center" vertical="center"/>
      <protection/>
    </xf>
    <xf numFmtId="3" fontId="13" fillId="0" borderId="13" xfId="174" applyNumberFormat="1" applyFont="1" applyBorder="1" applyAlignment="1">
      <alignment horizontal="right" vertical="center"/>
      <protection/>
    </xf>
    <xf numFmtId="3" fontId="13" fillId="0" borderId="13" xfId="174" applyNumberFormat="1" applyFont="1" applyBorder="1" applyAlignment="1">
      <alignment vertical="center"/>
      <protection/>
    </xf>
    <xf numFmtId="3" fontId="13" fillId="0" borderId="13" xfId="174" applyNumberFormat="1" applyFont="1" applyFill="1" applyBorder="1" applyAlignment="1">
      <alignment horizontal="center" vertical="center"/>
      <protection/>
    </xf>
    <xf numFmtId="3" fontId="13" fillId="0" borderId="13" xfId="174" applyNumberFormat="1" applyFont="1" applyFill="1" applyBorder="1" applyAlignment="1">
      <alignment vertical="center"/>
      <protection/>
    </xf>
    <xf numFmtId="3" fontId="12" fillId="8" borderId="13" xfId="174" applyNumberFormat="1" applyFont="1" applyFill="1" applyBorder="1" applyAlignment="1">
      <alignment horizontal="right" vertical="center"/>
      <protection/>
    </xf>
    <xf numFmtId="3" fontId="12" fillId="8" borderId="13" xfId="174" applyNumberFormat="1" applyFont="1" applyFill="1" applyBorder="1" applyAlignment="1">
      <alignment vertical="center"/>
      <protection/>
    </xf>
    <xf numFmtId="3" fontId="13" fillId="0" borderId="14" xfId="174" applyNumberFormat="1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 horizontal="center" vertical="center" wrapText="1"/>
    </xf>
    <xf numFmtId="0" fontId="5" fillId="0" borderId="0" xfId="136" applyAlignment="1">
      <alignment vertical="center"/>
      <protection/>
    </xf>
    <xf numFmtId="0" fontId="5" fillId="0" borderId="0" xfId="136" applyAlignment="1">
      <alignment vertical="top"/>
      <protection/>
    </xf>
    <xf numFmtId="0" fontId="17" fillId="0" borderId="0" xfId="136" applyFont="1" applyAlignment="1">
      <alignment vertical="center"/>
      <protection/>
    </xf>
    <xf numFmtId="3" fontId="5" fillId="0" borderId="0" xfId="136" applyNumberFormat="1" applyAlignment="1">
      <alignment vertical="center"/>
      <protection/>
    </xf>
    <xf numFmtId="3" fontId="18" fillId="0" borderId="0" xfId="174" applyNumberFormat="1" applyFont="1" applyFill="1" applyAlignment="1">
      <alignment vertical="center"/>
      <protection/>
    </xf>
    <xf numFmtId="3" fontId="6" fillId="0" borderId="0" xfId="174" applyNumberFormat="1" applyFont="1" applyAlignment="1">
      <alignment vertical="center"/>
      <protection/>
    </xf>
    <xf numFmtId="3" fontId="6" fillId="0" borderId="0" xfId="174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2" fillId="8" borderId="16" xfId="0" applyNumberFormat="1" applyFont="1" applyFill="1" applyBorder="1" applyAlignment="1">
      <alignment horizontal="center" vertical="center" wrapText="1"/>
    </xf>
    <xf numFmtId="3" fontId="12" fillId="8" borderId="17" xfId="0" applyNumberFormat="1" applyFont="1" applyFill="1" applyBorder="1" applyAlignment="1">
      <alignment horizontal="center" vertical="center" wrapText="1"/>
    </xf>
    <xf numFmtId="3" fontId="12" fillId="8" borderId="18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13" xfId="0" applyNumberFormat="1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 wrapText="1"/>
    </xf>
    <xf numFmtId="3" fontId="12" fillId="8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12" fillId="8" borderId="19" xfId="0" applyNumberFormat="1" applyFont="1" applyFill="1" applyBorder="1" applyAlignment="1">
      <alignment vertical="center" wrapText="1"/>
    </xf>
    <xf numFmtId="3" fontId="12" fillId="8" borderId="20" xfId="0" applyNumberFormat="1" applyFont="1" applyFill="1" applyBorder="1" applyAlignment="1">
      <alignment vertical="center" wrapText="1"/>
    </xf>
    <xf numFmtId="3" fontId="12" fillId="8" borderId="20" xfId="0" applyNumberFormat="1" applyFont="1" applyFill="1" applyBorder="1" applyAlignment="1">
      <alignment vertical="center"/>
    </xf>
    <xf numFmtId="3" fontId="12" fillId="8" borderId="21" xfId="0" applyNumberFormat="1" applyFont="1" applyFill="1" applyBorder="1" applyAlignment="1">
      <alignment vertical="center"/>
    </xf>
    <xf numFmtId="3" fontId="12" fillId="8" borderId="22" xfId="0" applyNumberFormat="1" applyFont="1" applyFill="1" applyBorder="1" applyAlignment="1">
      <alignment horizontal="left" vertical="center" wrapText="1"/>
    </xf>
    <xf numFmtId="3" fontId="18" fillId="0" borderId="0" xfId="174" applyNumberFormat="1" applyFont="1" applyAlignment="1">
      <alignment vertical="center"/>
      <protection/>
    </xf>
    <xf numFmtId="3" fontId="6" fillId="0" borderId="0" xfId="174" applyNumberFormat="1" applyFont="1" applyFill="1" applyAlignment="1">
      <alignment vertical="center"/>
      <protection/>
    </xf>
    <xf numFmtId="3" fontId="9" fillId="8" borderId="13" xfId="0" applyNumberFormat="1" applyFont="1" applyFill="1" applyBorder="1" applyAlignment="1">
      <alignment vertical="center" wrapText="1"/>
    </xf>
    <xf numFmtId="3" fontId="9" fillId="8" borderId="16" xfId="0" applyNumberFormat="1" applyFont="1" applyFill="1" applyBorder="1" applyAlignment="1">
      <alignment horizontal="center" vertical="center" wrapText="1"/>
    </xf>
    <xf numFmtId="3" fontId="9" fillId="8" borderId="2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9" fillId="8" borderId="13" xfId="0" applyNumberFormat="1" applyFont="1" applyFill="1" applyBorder="1" applyAlignment="1">
      <alignment horizontal="center" vertical="center" wrapText="1"/>
    </xf>
    <xf numFmtId="0" fontId="13" fillId="0" borderId="13" xfId="136" applyFont="1" applyBorder="1" applyAlignment="1">
      <alignment vertical="center"/>
      <protection/>
    </xf>
    <xf numFmtId="0" fontId="13" fillId="0" borderId="13" xfId="136" applyFont="1" applyBorder="1" applyAlignment="1">
      <alignment horizontal="center" vertical="center"/>
      <protection/>
    </xf>
    <xf numFmtId="3" fontId="13" fillId="0" borderId="13" xfId="136" applyNumberFormat="1" applyFont="1" applyBorder="1" applyAlignment="1">
      <alignment vertical="center"/>
      <protection/>
    </xf>
    <xf numFmtId="0" fontId="12" fillId="8" borderId="13" xfId="136" applyFont="1" applyFill="1" applyBorder="1" applyAlignment="1">
      <alignment horizontal="center" vertical="center"/>
      <protection/>
    </xf>
    <xf numFmtId="0" fontId="12" fillId="8" borderId="13" xfId="136" applyFont="1" applyFill="1" applyBorder="1" applyAlignment="1">
      <alignment vertical="center"/>
      <protection/>
    </xf>
    <xf numFmtId="0" fontId="8" fillId="0" borderId="13" xfId="136" applyFont="1" applyBorder="1" applyAlignment="1">
      <alignment horizontal="center" vertical="center"/>
      <protection/>
    </xf>
    <xf numFmtId="3" fontId="13" fillId="0" borderId="13" xfId="174" applyNumberFormat="1" applyFont="1" applyBorder="1" applyAlignment="1">
      <alignment horizontal="left" vertical="center" wrapText="1"/>
      <protection/>
    </xf>
    <xf numFmtId="3" fontId="13" fillId="0" borderId="13" xfId="174" applyNumberFormat="1" applyFont="1" applyBorder="1" applyAlignment="1">
      <alignment horizontal="left" vertical="center"/>
      <protection/>
    </xf>
    <xf numFmtId="3" fontId="13" fillId="8" borderId="13" xfId="174" applyNumberFormat="1" applyFont="1" applyFill="1" applyBorder="1" applyAlignment="1">
      <alignment horizontal="center" vertical="center"/>
      <protection/>
    </xf>
    <xf numFmtId="3" fontId="9" fillId="46" borderId="23" xfId="174" applyNumberFormat="1" applyFont="1" applyFill="1" applyBorder="1" applyAlignment="1">
      <alignment horizontal="center" vertical="center" wrapText="1"/>
      <protection/>
    </xf>
    <xf numFmtId="3" fontId="9" fillId="0" borderId="13" xfId="174" applyNumberFormat="1" applyFont="1" applyFill="1" applyBorder="1" applyAlignment="1">
      <alignment horizontal="left" vertical="center" wrapText="1"/>
      <protection/>
    </xf>
    <xf numFmtId="3" fontId="8" fillId="0" borderId="13" xfId="174" applyNumberFormat="1" applyFont="1" applyFill="1" applyBorder="1" applyAlignment="1">
      <alignment horizontal="center" vertical="center" wrapText="1"/>
      <protection/>
    </xf>
    <xf numFmtId="3" fontId="8" fillId="0" borderId="13" xfId="174" applyNumberFormat="1" applyFont="1" applyFill="1" applyBorder="1" applyAlignment="1">
      <alignment horizontal="left" vertical="center" wrapText="1"/>
      <protection/>
    </xf>
    <xf numFmtId="3" fontId="8" fillId="0" borderId="13" xfId="174" applyNumberFormat="1" applyFont="1" applyBorder="1" applyAlignment="1">
      <alignment horizontal="center" vertical="center"/>
      <protection/>
    </xf>
    <xf numFmtId="3" fontId="8" fillId="0" borderId="13" xfId="174" applyNumberFormat="1" applyFont="1" applyBorder="1" applyAlignment="1">
      <alignment horizontal="left" vertical="center" wrapText="1"/>
      <protection/>
    </xf>
    <xf numFmtId="3" fontId="8" fillId="0" borderId="13" xfId="174" applyNumberFormat="1" applyFont="1" applyBorder="1" applyAlignment="1">
      <alignment vertical="center"/>
      <protection/>
    </xf>
    <xf numFmtId="3" fontId="8" fillId="0" borderId="13" xfId="174" applyNumberFormat="1" applyFont="1" applyBorder="1" applyAlignment="1">
      <alignment horizontal="left" vertical="center"/>
      <protection/>
    </xf>
    <xf numFmtId="3" fontId="8" fillId="8" borderId="13" xfId="174" applyNumberFormat="1" applyFont="1" applyFill="1" applyBorder="1" applyAlignment="1">
      <alignment horizontal="center" vertical="center"/>
      <protection/>
    </xf>
    <xf numFmtId="3" fontId="9" fillId="8" borderId="13" xfId="174" applyNumberFormat="1" applyFont="1" applyFill="1" applyBorder="1" applyAlignment="1">
      <alignment horizontal="left" vertical="center" wrapText="1"/>
      <protection/>
    </xf>
    <xf numFmtId="3" fontId="9" fillId="8" borderId="13" xfId="174" applyNumberFormat="1" applyFont="1" applyFill="1" applyBorder="1" applyAlignment="1">
      <alignment vertical="center"/>
      <protection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" fontId="12" fillId="8" borderId="13" xfId="136" applyNumberFormat="1" applyFont="1" applyFill="1" applyBorder="1" applyAlignment="1">
      <alignment vertical="center"/>
      <protection/>
    </xf>
    <xf numFmtId="3" fontId="8" fillId="0" borderId="13" xfId="161" applyNumberFormat="1" applyFont="1" applyFill="1" applyBorder="1" applyAlignment="1">
      <alignment horizontal="right" vertical="center"/>
      <protection/>
    </xf>
    <xf numFmtId="3" fontId="12" fillId="0" borderId="13" xfId="0" applyNumberFormat="1" applyFont="1" applyFill="1" applyBorder="1" applyAlignment="1">
      <alignment vertical="center" wrapText="1"/>
    </xf>
    <xf numFmtId="3" fontId="8" fillId="0" borderId="13" xfId="174" applyNumberFormat="1" applyFont="1" applyFill="1" applyBorder="1" applyAlignment="1">
      <alignment vertical="center" wrapText="1"/>
      <protection/>
    </xf>
    <xf numFmtId="3" fontId="9" fillId="0" borderId="13" xfId="174" applyNumberFormat="1" applyFont="1" applyBorder="1" applyAlignment="1">
      <alignment vertical="center"/>
      <protection/>
    </xf>
    <xf numFmtId="3" fontId="9" fillId="0" borderId="13" xfId="174" applyNumberFormat="1" applyFont="1" applyBorder="1" applyAlignment="1">
      <alignment horizontal="left" vertical="center" wrapText="1"/>
      <protection/>
    </xf>
    <xf numFmtId="3" fontId="8" fillId="8" borderId="13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vertical="center" wrapText="1"/>
    </xf>
    <xf numFmtId="3" fontId="12" fillId="0" borderId="25" xfId="174" applyNumberFormat="1" applyFont="1" applyFill="1" applyBorder="1" applyAlignment="1">
      <alignment vertical="center"/>
      <protection/>
    </xf>
    <xf numFmtId="3" fontId="14" fillId="0" borderId="13" xfId="174" applyNumberFormat="1" applyFont="1" applyFill="1" applyBorder="1" applyAlignment="1">
      <alignment vertical="center"/>
      <protection/>
    </xf>
    <xf numFmtId="3" fontId="13" fillId="0" borderId="13" xfId="174" applyNumberFormat="1" applyFont="1" applyFill="1" applyBorder="1" applyAlignment="1">
      <alignment horizontal="right" vertical="center"/>
      <protection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left" vertical="center"/>
    </xf>
    <xf numFmtId="3" fontId="13" fillId="0" borderId="15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2" fillId="8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vertical="center"/>
    </xf>
    <xf numFmtId="3" fontId="12" fillId="8" borderId="14" xfId="0" applyNumberFormat="1" applyFont="1" applyFill="1" applyBorder="1" applyAlignment="1">
      <alignment vertical="center"/>
    </xf>
    <xf numFmtId="3" fontId="12" fillId="8" borderId="15" xfId="0" applyNumberFormat="1" applyFont="1" applyFill="1" applyBorder="1" applyAlignment="1">
      <alignment vertical="center"/>
    </xf>
    <xf numFmtId="3" fontId="9" fillId="8" borderId="13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vertical="center"/>
    </xf>
    <xf numFmtId="3" fontId="12" fillId="8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horizontal="left" vertical="center"/>
    </xf>
    <xf numFmtId="3" fontId="16" fillId="47" borderId="13" xfId="174" applyNumberFormat="1" applyFont="1" applyFill="1" applyBorder="1" applyAlignment="1">
      <alignment horizontal="center" vertical="top" wrapText="1"/>
      <protection/>
    </xf>
    <xf numFmtId="3" fontId="16" fillId="47" borderId="13" xfId="174" applyNumberFormat="1" applyFont="1" applyFill="1" applyBorder="1" applyAlignment="1">
      <alignment horizontal="center" vertical="center" wrapText="1"/>
      <protection/>
    </xf>
    <xf numFmtId="3" fontId="13" fillId="47" borderId="13" xfId="174" applyNumberFormat="1" applyFont="1" applyFill="1" applyBorder="1" applyAlignment="1">
      <alignment horizontal="right" vertical="top" wrapText="1"/>
      <protection/>
    </xf>
    <xf numFmtId="3" fontId="12" fillId="0" borderId="13" xfId="0" applyNumberFormat="1" applyFont="1" applyBorder="1" applyAlignment="1">
      <alignment horizontal="center" vertical="center"/>
    </xf>
    <xf numFmtId="3" fontId="12" fillId="8" borderId="14" xfId="0" applyNumberFormat="1" applyFont="1" applyFill="1" applyBorder="1" applyAlignment="1">
      <alignment horizontal="left" vertical="center"/>
    </xf>
    <xf numFmtId="3" fontId="12" fillId="47" borderId="13" xfId="0" applyNumberFormat="1" applyFont="1" applyFill="1" applyBorder="1" applyAlignment="1">
      <alignment horizontal="center" vertical="center"/>
    </xf>
    <xf numFmtId="3" fontId="12" fillId="47" borderId="13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vertical="center"/>
    </xf>
    <xf numFmtId="3" fontId="12" fillId="47" borderId="15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horizontal="center" vertical="center"/>
    </xf>
    <xf numFmtId="3" fontId="21" fillId="0" borderId="13" xfId="174" applyNumberFormat="1" applyFont="1" applyFill="1" applyBorder="1" applyAlignment="1">
      <alignment horizontal="center" vertical="top" wrapText="1"/>
      <protection/>
    </xf>
    <xf numFmtId="3" fontId="12" fillId="47" borderId="14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horizontal="left" vertical="center"/>
    </xf>
    <xf numFmtId="3" fontId="12" fillId="47" borderId="13" xfId="0" applyNumberFormat="1" applyFont="1" applyFill="1" applyBorder="1" applyAlignment="1">
      <alignment horizontal="left" vertical="center"/>
    </xf>
    <xf numFmtId="3" fontId="12" fillId="8" borderId="15" xfId="0" applyNumberFormat="1" applyFont="1" applyFill="1" applyBorder="1" applyAlignment="1">
      <alignment horizontal="left" vertical="center"/>
    </xf>
    <xf numFmtId="3" fontId="12" fillId="8" borderId="13" xfId="0" applyNumberFormat="1" applyFont="1" applyFill="1" applyBorder="1" applyAlignment="1">
      <alignment horizontal="right" vertical="center"/>
    </xf>
    <xf numFmtId="3" fontId="6" fillId="47" borderId="0" xfId="0" applyNumberFormat="1" applyFont="1" applyFill="1" applyAlignment="1">
      <alignment vertical="center"/>
    </xf>
    <xf numFmtId="3" fontId="6" fillId="8" borderId="0" xfId="0" applyNumberFormat="1" applyFont="1" applyFill="1" applyAlignment="1">
      <alignment vertical="center"/>
    </xf>
    <xf numFmtId="0" fontId="5" fillId="0" borderId="0" xfId="138" applyAlignment="1">
      <alignment vertical="center"/>
      <protection/>
    </xf>
    <xf numFmtId="3" fontId="8" fillId="0" borderId="13" xfId="163" applyNumberFormat="1" applyFont="1" applyBorder="1" applyAlignment="1">
      <alignment vertical="center"/>
      <protection/>
    </xf>
    <xf numFmtId="0" fontId="9" fillId="8" borderId="13" xfId="163" applyFont="1" applyFill="1" applyBorder="1" applyAlignment="1">
      <alignment horizontal="center" vertical="center"/>
      <protection/>
    </xf>
    <xf numFmtId="3" fontId="9" fillId="8" borderId="13" xfId="163" applyNumberFormat="1" applyFont="1" applyFill="1" applyBorder="1" applyAlignment="1">
      <alignment vertical="center"/>
      <protection/>
    </xf>
    <xf numFmtId="0" fontId="23" fillId="0" borderId="0" xfId="138" applyFont="1" applyAlignment="1">
      <alignment vertical="center"/>
      <protection/>
    </xf>
    <xf numFmtId="3" fontId="8" fillId="0" borderId="13" xfId="163" applyNumberFormat="1" applyFont="1" applyFill="1" applyBorder="1" applyAlignment="1">
      <alignment vertical="center"/>
      <protection/>
    </xf>
    <xf numFmtId="0" fontId="8" fillId="0" borderId="13" xfId="163" applyFont="1" applyFill="1" applyBorder="1" applyAlignment="1">
      <alignment horizontal="center" vertical="center"/>
      <protection/>
    </xf>
    <xf numFmtId="0" fontId="9" fillId="0" borderId="13" xfId="163" applyFont="1" applyFill="1" applyBorder="1" applyAlignment="1">
      <alignment horizontal="center" vertical="center"/>
      <protection/>
    </xf>
    <xf numFmtId="3" fontId="9" fillId="0" borderId="13" xfId="163" applyNumberFormat="1" applyFont="1" applyFill="1" applyBorder="1" applyAlignment="1">
      <alignment vertical="center"/>
      <protection/>
    </xf>
    <xf numFmtId="3" fontId="8" fillId="0" borderId="13" xfId="163" applyNumberFormat="1" applyFont="1" applyBorder="1" applyAlignment="1">
      <alignment vertical="center" wrapText="1"/>
      <protection/>
    </xf>
    <xf numFmtId="0" fontId="8" fillId="0" borderId="24" xfId="163" applyFont="1" applyBorder="1" applyAlignment="1">
      <alignment horizontal="center" vertical="center"/>
      <protection/>
    </xf>
    <xf numFmtId="0" fontId="8" fillId="0" borderId="21" xfId="163" applyFont="1" applyBorder="1" applyAlignment="1">
      <alignment horizontal="center" vertical="center"/>
      <protection/>
    </xf>
    <xf numFmtId="0" fontId="8" fillId="0" borderId="13" xfId="138" applyFont="1" applyBorder="1" applyAlignment="1">
      <alignment vertical="center"/>
      <protection/>
    </xf>
    <xf numFmtId="0" fontId="5" fillId="0" borderId="0" xfId="138">
      <alignment/>
      <protection/>
    </xf>
    <xf numFmtId="3" fontId="9" fillId="8" borderId="13" xfId="163" applyNumberFormat="1" applyFont="1" applyFill="1" applyBorder="1" applyAlignment="1">
      <alignment vertical="center" wrapText="1"/>
      <protection/>
    </xf>
    <xf numFmtId="3" fontId="8" fillId="0" borderId="13" xfId="138" applyNumberFormat="1" applyFont="1" applyBorder="1" applyAlignment="1">
      <alignment vertical="center"/>
      <protection/>
    </xf>
    <xf numFmtId="0" fontId="5" fillId="0" borderId="0" xfId="138" applyFont="1" applyAlignment="1">
      <alignment vertical="center"/>
      <protection/>
    </xf>
    <xf numFmtId="3" fontId="25" fillId="0" borderId="13" xfId="174" applyNumberFormat="1" applyFont="1" applyFill="1" applyBorder="1" applyAlignment="1">
      <alignment horizontal="right" vertical="center"/>
      <protection/>
    </xf>
    <xf numFmtId="3" fontId="25" fillId="0" borderId="13" xfId="174" applyNumberFormat="1" applyFont="1" applyFill="1" applyBorder="1" applyAlignment="1">
      <alignment horizontal="center" vertical="center"/>
      <protection/>
    </xf>
    <xf numFmtId="3" fontId="25" fillId="0" borderId="13" xfId="174" applyNumberFormat="1" applyFont="1" applyFill="1" applyBorder="1" applyAlignment="1">
      <alignment vertical="center"/>
      <protection/>
    </xf>
    <xf numFmtId="3" fontId="25" fillId="0" borderId="13" xfId="0" applyNumberFormat="1" applyFont="1" applyFill="1" applyBorder="1" applyAlignment="1">
      <alignment vertical="center"/>
    </xf>
    <xf numFmtId="3" fontId="26" fillId="47" borderId="13" xfId="0" applyNumberFormat="1" applyFont="1" applyFill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3" fontId="12" fillId="8" borderId="24" xfId="0" applyNumberFormat="1" applyFont="1" applyFill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13" fillId="0" borderId="15" xfId="0" applyFont="1" applyFill="1" applyBorder="1" applyAlignment="1">
      <alignment vertical="center"/>
    </xf>
    <xf numFmtId="3" fontId="8" fillId="0" borderId="14" xfId="0" applyNumberFormat="1" applyFont="1" applyBorder="1" applyAlignment="1">
      <alignment vertical="center" wrapText="1"/>
    </xf>
    <xf numFmtId="3" fontId="12" fillId="8" borderId="27" xfId="0" applyNumberFormat="1" applyFont="1" applyFill="1" applyBorder="1" applyAlignment="1">
      <alignment vertical="center" wrapText="1"/>
    </xf>
    <xf numFmtId="3" fontId="12" fillId="8" borderId="28" xfId="0" applyNumberFormat="1" applyFont="1" applyFill="1" applyBorder="1" applyAlignment="1">
      <alignment vertical="center"/>
    </xf>
    <xf numFmtId="3" fontId="12" fillId="8" borderId="28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/>
    </xf>
    <xf numFmtId="0" fontId="12" fillId="8" borderId="13" xfId="136" applyFont="1" applyFill="1" applyBorder="1" applyAlignment="1">
      <alignment vertical="center" wrapText="1"/>
      <protection/>
    </xf>
    <xf numFmtId="3" fontId="12" fillId="0" borderId="13" xfId="174" applyNumberFormat="1" applyFont="1" applyFill="1" applyBorder="1" applyAlignment="1">
      <alignment horizontal="center" vertical="center"/>
      <protection/>
    </xf>
    <xf numFmtId="0" fontId="13" fillId="0" borderId="13" xfId="136" applyFont="1" applyFill="1" applyBorder="1" applyAlignment="1">
      <alignment vertical="center"/>
      <protection/>
    </xf>
    <xf numFmtId="3" fontId="13" fillId="47" borderId="13" xfId="0" applyNumberFormat="1" applyFont="1" applyFill="1" applyBorder="1" applyAlignment="1">
      <alignment horizontal="right" vertical="center"/>
    </xf>
    <xf numFmtId="0" fontId="20" fillId="0" borderId="13" xfId="163" applyFont="1" applyFill="1" applyBorder="1" applyAlignment="1">
      <alignment vertical="center" wrapText="1"/>
      <protection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4" xfId="163" applyFont="1" applyBorder="1" applyAlignment="1">
      <alignment vertical="center"/>
      <protection/>
    </xf>
    <xf numFmtId="0" fontId="8" fillId="0" borderId="14" xfId="163" applyFont="1" applyBorder="1" applyAlignment="1">
      <alignment vertical="center" wrapText="1"/>
      <protection/>
    </xf>
    <xf numFmtId="3" fontId="8" fillId="0" borderId="13" xfId="163" applyNumberFormat="1" applyFont="1" applyFill="1" applyBorder="1" applyAlignment="1">
      <alignment vertical="center" wrapText="1"/>
      <protection/>
    </xf>
    <xf numFmtId="0" fontId="9" fillId="8" borderId="14" xfId="163" applyFont="1" applyFill="1" applyBorder="1" applyAlignment="1">
      <alignment vertical="center"/>
      <protection/>
    </xf>
    <xf numFmtId="3" fontId="9" fillId="8" borderId="14" xfId="0" applyNumberFormat="1" applyFont="1" applyFill="1" applyBorder="1" applyAlignment="1">
      <alignment vertical="center"/>
    </xf>
    <xf numFmtId="0" fontId="8" fillId="0" borderId="13" xfId="163" applyFont="1" applyFill="1" applyBorder="1" applyAlignment="1">
      <alignment vertical="center"/>
      <protection/>
    </xf>
    <xf numFmtId="0" fontId="8" fillId="0" borderId="13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15" fillId="0" borderId="14" xfId="136" applyFont="1" applyBorder="1" applyAlignment="1">
      <alignment vertical="center"/>
      <protection/>
    </xf>
    <xf numFmtId="3" fontId="15" fillId="0" borderId="14" xfId="0" applyNumberFormat="1" applyFont="1" applyFill="1" applyBorder="1" applyAlignment="1">
      <alignment vertical="center"/>
    </xf>
    <xf numFmtId="3" fontId="12" fillId="8" borderId="29" xfId="174" applyNumberFormat="1" applyFont="1" applyFill="1" applyBorder="1" applyAlignment="1">
      <alignment horizontal="center" vertical="center" wrapText="1"/>
      <protection/>
    </xf>
    <xf numFmtId="3" fontId="9" fillId="0" borderId="13" xfId="174" applyNumberFormat="1" applyFont="1" applyFill="1" applyBorder="1" applyAlignment="1">
      <alignment vertical="center"/>
      <protection/>
    </xf>
    <xf numFmtId="0" fontId="12" fillId="8" borderId="13" xfId="136" applyFont="1" applyFill="1" applyBorder="1" applyAlignment="1">
      <alignment horizontal="center" vertical="center" wrapText="1"/>
      <protection/>
    </xf>
    <xf numFmtId="3" fontId="12" fillId="8" borderId="30" xfId="0" applyNumberFormat="1" applyFont="1" applyFill="1" applyBorder="1" applyAlignment="1">
      <alignment vertical="center"/>
    </xf>
    <xf numFmtId="0" fontId="13" fillId="0" borderId="13" xfId="0" applyFont="1" applyBorder="1" applyAlignment="1">
      <alignment horizontal="right" wrapText="1"/>
    </xf>
    <xf numFmtId="3" fontId="8" fillId="47" borderId="13" xfId="174" applyNumberFormat="1" applyFont="1" applyFill="1" applyBorder="1" applyAlignment="1">
      <alignment horizontal="right" vertical="top" wrapText="1"/>
      <protection/>
    </xf>
    <xf numFmtId="3" fontId="12" fillId="8" borderId="13" xfId="174" applyNumberFormat="1" applyFont="1" applyFill="1" applyBorder="1" applyAlignment="1">
      <alignment horizontal="center" vertical="center" wrapText="1"/>
      <protection/>
    </xf>
    <xf numFmtId="0" fontId="61" fillId="8" borderId="13" xfId="0" applyFont="1" applyFill="1" applyBorder="1" applyAlignment="1">
      <alignment horizontal="center" vertical="center" wrapText="1"/>
    </xf>
    <xf numFmtId="0" fontId="12" fillId="8" borderId="13" xfId="136" applyFont="1" applyFill="1" applyBorder="1" applyAlignment="1">
      <alignment horizontal="center" vertical="top" wrapText="1"/>
      <protection/>
    </xf>
    <xf numFmtId="3" fontId="13" fillId="0" borderId="14" xfId="0" applyNumberFormat="1" applyFont="1" applyFill="1" applyBorder="1" applyAlignment="1">
      <alignment horizontal="left" vertical="center" wrapText="1"/>
    </xf>
    <xf numFmtId="0" fontId="5" fillId="0" borderId="0" xfId="138" applyFont="1" applyAlignment="1">
      <alignment vertical="center"/>
      <protection/>
    </xf>
    <xf numFmtId="3" fontId="9" fillId="0" borderId="22" xfId="174" applyNumberFormat="1" applyFont="1" applyFill="1" applyBorder="1" applyAlignment="1">
      <alignment horizontal="center" vertical="center" wrapText="1"/>
      <protection/>
    </xf>
    <xf numFmtId="3" fontId="9" fillId="0" borderId="22" xfId="174" applyNumberFormat="1" applyFont="1" applyFill="1" applyBorder="1" applyAlignment="1">
      <alignment horizontal="left" vertical="center" wrapText="1"/>
      <protection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24" xfId="0" applyNumberFormat="1" applyFont="1" applyFill="1" applyBorder="1" applyAlignment="1">
      <alignment horizontal="right" vertical="center" wrapText="1"/>
    </xf>
    <xf numFmtId="3" fontId="8" fillId="8" borderId="24" xfId="0" applyNumberFormat="1" applyFont="1" applyFill="1" applyBorder="1" applyAlignment="1">
      <alignment horizontal="center" vertical="center" wrapText="1"/>
    </xf>
    <xf numFmtId="3" fontId="13" fillId="0" borderId="21" xfId="174" applyNumberFormat="1" applyFont="1" applyFill="1" applyBorder="1" applyAlignment="1">
      <alignment horizontal="center" vertical="center" wrapText="1"/>
      <protection/>
    </xf>
    <xf numFmtId="3" fontId="13" fillId="0" borderId="21" xfId="0" applyNumberFormat="1" applyFont="1" applyBorder="1" applyAlignment="1">
      <alignment vertical="center"/>
    </xf>
    <xf numFmtId="3" fontId="16" fillId="8" borderId="31" xfId="174" applyNumberFormat="1" applyFont="1" applyFill="1" applyBorder="1" applyAlignment="1">
      <alignment horizontal="center" vertical="center"/>
      <protection/>
    </xf>
    <xf numFmtId="3" fontId="16" fillId="8" borderId="28" xfId="174" applyNumberFormat="1" applyFont="1" applyFill="1" applyBorder="1" applyAlignment="1">
      <alignment horizontal="center" vertical="center"/>
      <protection/>
    </xf>
    <xf numFmtId="0" fontId="13" fillId="0" borderId="13" xfId="163" applyFont="1" applyFill="1" applyBorder="1" applyAlignment="1">
      <alignment vertical="center" wrapText="1"/>
      <protection/>
    </xf>
    <xf numFmtId="3" fontId="8" fillId="0" borderId="14" xfId="0" applyNumberFormat="1" applyFont="1" applyFill="1" applyBorder="1" applyAlignment="1">
      <alignment vertical="center" wrapText="1"/>
    </xf>
    <xf numFmtId="3" fontId="13" fillId="0" borderId="14" xfId="0" applyNumberFormat="1" applyFont="1" applyBorder="1" applyAlignment="1">
      <alignment horizontal="left" vertical="center" wrapText="1"/>
    </xf>
    <xf numFmtId="0" fontId="9" fillId="0" borderId="32" xfId="168" applyFont="1" applyBorder="1" applyAlignment="1">
      <alignment vertical="center"/>
      <protection/>
    </xf>
    <xf numFmtId="0" fontId="8" fillId="0" borderId="32" xfId="168" applyFont="1" applyFill="1" applyBorder="1" applyAlignment="1">
      <alignment vertical="center" wrapText="1"/>
      <protection/>
    </xf>
    <xf numFmtId="3" fontId="13" fillId="0" borderId="33" xfId="153" applyNumberFormat="1" applyFont="1" applyFill="1" applyBorder="1" applyAlignment="1">
      <alignment vertical="center" wrapText="1"/>
      <protection/>
    </xf>
    <xf numFmtId="0" fontId="8" fillId="0" borderId="32" xfId="162" applyFont="1" applyFill="1" applyBorder="1">
      <alignment/>
      <protection/>
    </xf>
    <xf numFmtId="49" fontId="8" fillId="0" borderId="32" xfId="162" applyNumberFormat="1" applyFont="1" applyFill="1" applyBorder="1" applyAlignment="1">
      <alignment horizontal="left" vertical="top" wrapText="1"/>
      <protection/>
    </xf>
    <xf numFmtId="0" fontId="13" fillId="0" borderId="13" xfId="136" applyFont="1" applyBorder="1" applyAlignment="1">
      <alignment vertical="center" wrapText="1"/>
      <protection/>
    </xf>
    <xf numFmtId="3" fontId="8" fillId="0" borderId="14" xfId="0" applyNumberFormat="1" applyFont="1" applyBorder="1" applyAlignment="1">
      <alignment horizontal="left" vertical="center" wrapText="1"/>
    </xf>
    <xf numFmtId="0" fontId="8" fillId="0" borderId="14" xfId="139" applyFont="1" applyBorder="1" applyAlignment="1">
      <alignment vertical="center" wrapText="1"/>
      <protection/>
    </xf>
    <xf numFmtId="0" fontId="13" fillId="0" borderId="14" xfId="163" applyFont="1" applyBorder="1" applyAlignment="1">
      <alignment vertical="center" wrapText="1"/>
      <protection/>
    </xf>
    <xf numFmtId="0" fontId="8" fillId="0" borderId="14" xfId="163" applyFont="1" applyFill="1" applyBorder="1" applyAlignment="1">
      <alignment vertical="center" wrapText="1"/>
      <protection/>
    </xf>
    <xf numFmtId="0" fontId="61" fillId="8" borderId="14" xfId="0" applyFont="1" applyFill="1" applyBorder="1" applyAlignment="1">
      <alignment horizontal="center" vertical="center" wrapText="1"/>
    </xf>
    <xf numFmtId="0" fontId="13" fillId="0" borderId="21" xfId="136" applyFont="1" applyBorder="1" applyAlignment="1">
      <alignment vertical="center"/>
      <protection/>
    </xf>
    <xf numFmtId="3" fontId="13" fillId="0" borderId="14" xfId="174" applyNumberFormat="1" applyFont="1" applyFill="1" applyBorder="1" applyAlignment="1">
      <alignment horizontal="left" vertical="center"/>
      <protection/>
    </xf>
    <xf numFmtId="49" fontId="13" fillId="0" borderId="14" xfId="0" applyNumberFormat="1" applyFont="1" applyBorder="1" applyAlignment="1">
      <alignment vertical="center"/>
    </xf>
    <xf numFmtId="3" fontId="12" fillId="8" borderId="21" xfId="174" applyNumberFormat="1" applyFont="1" applyFill="1" applyBorder="1" applyAlignment="1">
      <alignment horizontal="center" vertical="center" wrapText="1"/>
      <protection/>
    </xf>
    <xf numFmtId="3" fontId="12" fillId="8" borderId="34" xfId="174" applyNumberFormat="1" applyFont="1" applyFill="1" applyBorder="1" applyAlignment="1">
      <alignment horizontal="center" vertical="center" wrapText="1"/>
      <protection/>
    </xf>
    <xf numFmtId="3" fontId="13" fillId="0" borderId="14" xfId="0" applyNumberFormat="1" applyFont="1" applyFill="1" applyBorder="1" applyAlignment="1">
      <alignment vertical="center" wrapText="1"/>
    </xf>
    <xf numFmtId="3" fontId="8" fillId="0" borderId="14" xfId="139" applyNumberFormat="1" applyFont="1" applyFill="1" applyBorder="1" applyAlignment="1">
      <alignment vertical="center" wrapText="1"/>
      <protection/>
    </xf>
    <xf numFmtId="0" fontId="13" fillId="0" borderId="32" xfId="162" applyFont="1" applyFill="1" applyBorder="1" applyAlignment="1">
      <alignment wrapText="1"/>
      <protection/>
    </xf>
    <xf numFmtId="0" fontId="13" fillId="0" borderId="13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3" fontId="13" fillId="8" borderId="15" xfId="0" applyNumberFormat="1" applyFont="1" applyFill="1" applyBorder="1" applyAlignment="1">
      <alignment vertical="center"/>
    </xf>
    <xf numFmtId="3" fontId="13" fillId="8" borderId="13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horizontal="left" vertical="center"/>
    </xf>
    <xf numFmtId="0" fontId="13" fillId="0" borderId="14" xfId="0" applyFont="1" applyBorder="1" applyAlignment="1">
      <alignment horizontal="left" wrapText="1"/>
    </xf>
    <xf numFmtId="3" fontId="13" fillId="0" borderId="14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vertical="center" wrapText="1"/>
    </xf>
    <xf numFmtId="0" fontId="13" fillId="0" borderId="14" xfId="163" applyFont="1" applyBorder="1" applyAlignment="1">
      <alignment vertical="center"/>
      <protection/>
    </xf>
    <xf numFmtId="0" fontId="13" fillId="0" borderId="14" xfId="163" applyFont="1" applyFill="1" applyBorder="1" applyAlignment="1">
      <alignment vertical="center"/>
      <protection/>
    </xf>
    <xf numFmtId="3" fontId="13" fillId="0" borderId="14" xfId="174" applyNumberFormat="1" applyFont="1" applyFill="1" applyBorder="1" applyAlignment="1">
      <alignment horizontal="left" vertical="center" wrapText="1"/>
      <protection/>
    </xf>
    <xf numFmtId="0" fontId="8" fillId="0" borderId="14" xfId="139" applyFont="1" applyFill="1" applyBorder="1" applyAlignment="1">
      <alignment vertical="center" wrapText="1"/>
      <protection/>
    </xf>
    <xf numFmtId="0" fontId="12" fillId="8" borderId="14" xfId="136" applyFont="1" applyFill="1" applyBorder="1" applyAlignment="1">
      <alignment vertical="center" wrapText="1"/>
      <protection/>
    </xf>
    <xf numFmtId="3" fontId="15" fillId="0" borderId="14" xfId="0" applyNumberFormat="1" applyFont="1" applyFill="1" applyBorder="1" applyAlignment="1">
      <alignment vertical="center" wrapText="1"/>
    </xf>
    <xf numFmtId="3" fontId="13" fillId="0" borderId="14" xfId="174" applyNumberFormat="1" applyFont="1" applyBorder="1" applyAlignment="1">
      <alignment horizontal="left" vertical="center"/>
      <protection/>
    </xf>
    <xf numFmtId="3" fontId="13" fillId="0" borderId="14" xfId="174" applyNumberFormat="1" applyFont="1" applyFill="1" applyBorder="1" applyAlignment="1">
      <alignment horizontal="center" vertical="center"/>
      <protection/>
    </xf>
    <xf numFmtId="3" fontId="15" fillId="0" borderId="25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2" fillId="8" borderId="14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47" borderId="14" xfId="0" applyNumberFormat="1" applyFont="1" applyFill="1" applyBorder="1" applyAlignment="1">
      <alignment horizontal="center" vertical="center"/>
    </xf>
    <xf numFmtId="3" fontId="12" fillId="47" borderId="15" xfId="0" applyNumberFormat="1" applyFont="1" applyFill="1" applyBorder="1" applyAlignment="1">
      <alignment horizontal="center" vertical="center"/>
    </xf>
    <xf numFmtId="3" fontId="12" fillId="47" borderId="25" xfId="0" applyNumberFormat="1" applyFont="1" applyFill="1" applyBorder="1" applyAlignment="1">
      <alignment horizontal="center" vertical="center"/>
    </xf>
    <xf numFmtId="3" fontId="13" fillId="0" borderId="35" xfId="153" applyNumberFormat="1" applyFont="1" applyFill="1" applyBorder="1" applyAlignment="1">
      <alignment vertical="center" wrapText="1"/>
      <protection/>
    </xf>
    <xf numFmtId="3" fontId="14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horizontal="left" vertical="center"/>
    </xf>
    <xf numFmtId="3" fontId="15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8" fillId="0" borderId="36" xfId="150" applyFont="1" applyFill="1" applyBorder="1" applyAlignment="1">
      <alignment horizontal="center" vertical="center"/>
      <protection/>
    </xf>
    <xf numFmtId="0" fontId="8" fillId="0" borderId="32" xfId="171" applyFont="1" applyBorder="1" applyAlignment="1">
      <alignment vertical="center"/>
      <protection/>
    </xf>
    <xf numFmtId="0" fontId="9" fillId="0" borderId="36" xfId="150" applyFont="1" applyBorder="1" applyAlignment="1">
      <alignment horizontal="center" vertical="center"/>
      <protection/>
    </xf>
    <xf numFmtId="0" fontId="8" fillId="0" borderId="36" xfId="150" applyFont="1" applyBorder="1" applyAlignment="1">
      <alignment horizontal="center" vertical="center"/>
      <protection/>
    </xf>
    <xf numFmtId="0" fontId="9" fillId="48" borderId="36" xfId="150" applyFont="1" applyFill="1" applyBorder="1" applyAlignment="1">
      <alignment horizontal="center" vertical="top" wrapText="1"/>
      <protection/>
    </xf>
    <xf numFmtId="0" fontId="8" fillId="48" borderId="36" xfId="150" applyFont="1" applyFill="1" applyBorder="1" applyAlignment="1">
      <alignment horizontal="center" vertical="top" wrapText="1"/>
      <protection/>
    </xf>
    <xf numFmtId="0" fontId="8" fillId="0" borderId="32" xfId="150" applyFont="1" applyFill="1" applyBorder="1" applyAlignment="1">
      <alignment vertical="top"/>
      <protection/>
    </xf>
    <xf numFmtId="0" fontId="8" fillId="0" borderId="32" xfId="142" applyFont="1" applyFill="1" applyBorder="1" applyAlignment="1">
      <alignment horizontal="left" vertical="top"/>
      <protection/>
    </xf>
    <xf numFmtId="3" fontId="13" fillId="8" borderId="13" xfId="0" applyNumberFormat="1" applyFont="1" applyFill="1" applyBorder="1" applyAlignment="1">
      <alignment horizontal="center" vertical="center"/>
    </xf>
    <xf numFmtId="3" fontId="13" fillId="8" borderId="14" xfId="0" applyNumberFormat="1" applyFont="1" applyFill="1" applyBorder="1" applyAlignment="1">
      <alignment horizontal="center" vertical="center"/>
    </xf>
    <xf numFmtId="0" fontId="8" fillId="0" borderId="32" xfId="144" applyFont="1" applyFill="1" applyBorder="1" applyAlignment="1">
      <alignment vertical="top" wrapText="1"/>
      <protection/>
    </xf>
    <xf numFmtId="0" fontId="9" fillId="0" borderId="32" xfId="150" applyFont="1" applyFill="1" applyBorder="1" applyAlignment="1">
      <alignment vertical="top"/>
      <protection/>
    </xf>
    <xf numFmtId="0" fontId="8" fillId="48" borderId="32" xfId="150" applyFont="1" applyFill="1" applyBorder="1" applyAlignment="1">
      <alignment vertical="top" wrapText="1"/>
      <protection/>
    </xf>
    <xf numFmtId="3" fontId="15" fillId="47" borderId="14" xfId="0" applyNumberFormat="1" applyFont="1" applyFill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8" fillId="0" borderId="14" xfId="163" applyFont="1" applyFill="1" applyBorder="1" applyAlignment="1">
      <alignment vertical="center"/>
      <protection/>
    </xf>
    <xf numFmtId="0" fontId="13" fillId="0" borderId="14" xfId="163" applyFont="1" applyFill="1" applyBorder="1" applyAlignment="1">
      <alignment vertical="center" wrapText="1"/>
      <protection/>
    </xf>
    <xf numFmtId="0" fontId="13" fillId="0" borderId="32" xfId="168" applyFont="1" applyBorder="1" applyAlignment="1">
      <alignment vertical="center"/>
      <protection/>
    </xf>
    <xf numFmtId="0" fontId="8" fillId="0" borderId="32" xfId="140" applyFont="1" applyFill="1" applyBorder="1" applyAlignment="1">
      <alignment vertical="top" wrapText="1"/>
      <protection/>
    </xf>
    <xf numFmtId="0" fontId="5" fillId="0" borderId="0" xfId="137" applyAlignment="1">
      <alignment vertical="center"/>
      <protection/>
    </xf>
    <xf numFmtId="0" fontId="5" fillId="0" borderId="0" xfId="137" applyAlignment="1">
      <alignment vertical="top"/>
      <protection/>
    </xf>
    <xf numFmtId="3" fontId="5" fillId="0" borderId="0" xfId="137" applyNumberFormat="1" applyAlignment="1">
      <alignment vertical="center"/>
      <protection/>
    </xf>
    <xf numFmtId="49" fontId="13" fillId="0" borderId="0" xfId="0" applyNumberFormat="1" applyFont="1" applyFill="1" applyBorder="1" applyAlignment="1">
      <alignment horizontal="left" vertical="center" wrapText="1"/>
    </xf>
    <xf numFmtId="0" fontId="9" fillId="0" borderId="37" xfId="150" applyFont="1" applyFill="1" applyBorder="1" applyAlignment="1">
      <alignment horizontal="center" vertical="center"/>
      <protection/>
    </xf>
    <xf numFmtId="3" fontId="13" fillId="0" borderId="38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horizontal="left" vertical="center"/>
    </xf>
    <xf numFmtId="0" fontId="8" fillId="0" borderId="39" xfId="150" applyFont="1" applyFill="1" applyBorder="1" applyAlignment="1">
      <alignment horizontal="center" vertical="center"/>
      <protection/>
    </xf>
    <xf numFmtId="3" fontId="13" fillId="0" borderId="30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horizontal="left" vertical="center"/>
    </xf>
    <xf numFmtId="0" fontId="9" fillId="0" borderId="13" xfId="150" applyFont="1" applyFill="1" applyBorder="1" applyAlignment="1">
      <alignment horizontal="center" vertical="center"/>
      <protection/>
    </xf>
    <xf numFmtId="0" fontId="13" fillId="0" borderId="14" xfId="136" applyFont="1" applyBorder="1" applyAlignment="1">
      <alignment vertical="center"/>
      <protection/>
    </xf>
    <xf numFmtId="0" fontId="13" fillId="0" borderId="14" xfId="0" applyFont="1" applyFill="1" applyBorder="1" applyAlignment="1">
      <alignment horizontal="left" vertical="center"/>
    </xf>
    <xf numFmtId="3" fontId="13" fillId="47" borderId="14" xfId="174" applyNumberFormat="1" applyFont="1" applyFill="1" applyBorder="1" applyAlignment="1">
      <alignment horizontal="left" vertical="top"/>
      <protection/>
    </xf>
    <xf numFmtId="49" fontId="8" fillId="0" borderId="32" xfId="155" applyNumberFormat="1" applyFont="1" applyFill="1" applyBorder="1" applyAlignment="1">
      <alignment horizontal="left" vertical="center" wrapText="1"/>
      <protection/>
    </xf>
    <xf numFmtId="3" fontId="8" fillId="0" borderId="14" xfId="0" applyNumberFormat="1" applyFont="1" applyFill="1" applyBorder="1" applyAlignment="1">
      <alignment horizontal="left" vertical="center" wrapText="1"/>
    </xf>
    <xf numFmtId="3" fontId="12" fillId="0" borderId="15" xfId="0" applyNumberFormat="1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left" vertical="center"/>
    </xf>
    <xf numFmtId="49" fontId="8" fillId="0" borderId="32" xfId="155" applyNumberFormat="1" applyFont="1" applyFill="1" applyBorder="1" applyAlignment="1">
      <alignment horizontal="left" vertical="center"/>
      <protection/>
    </xf>
    <xf numFmtId="3" fontId="13" fillId="0" borderId="40" xfId="174" applyNumberFormat="1" applyFont="1" applyFill="1" applyBorder="1" applyAlignment="1">
      <alignment horizontal="center" vertical="center" wrapText="1"/>
      <protection/>
    </xf>
    <xf numFmtId="3" fontId="12" fillId="0" borderId="13" xfId="174" applyNumberFormat="1" applyFont="1" applyFill="1" applyBorder="1" applyAlignment="1">
      <alignment horizontal="left" vertical="center"/>
      <protection/>
    </xf>
    <xf numFmtId="0" fontId="13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0" fontId="24" fillId="0" borderId="13" xfId="0" applyFont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0" borderId="13" xfId="0" applyFont="1" applyBorder="1" applyAlignment="1">
      <alignment wrapText="1"/>
    </xf>
    <xf numFmtId="49" fontId="13" fillId="0" borderId="32" xfId="0" applyNumberFormat="1" applyFont="1" applyFill="1" applyBorder="1" applyAlignment="1">
      <alignment horizontal="left" vertical="center" wrapText="1"/>
    </xf>
    <xf numFmtId="3" fontId="13" fillId="0" borderId="32" xfId="0" applyNumberFormat="1" applyFont="1" applyFill="1" applyBorder="1" applyAlignment="1">
      <alignment horizontal="left" vertical="center" wrapText="1"/>
    </xf>
    <xf numFmtId="3" fontId="13" fillId="0" borderId="24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3" xfId="0" applyFont="1" applyBorder="1" applyAlignment="1">
      <alignment horizontal="right" vertical="center" wrapText="1"/>
    </xf>
    <xf numFmtId="0" fontId="15" fillId="0" borderId="13" xfId="0" applyFont="1" applyBorder="1" applyAlignment="1">
      <alignment vertical="center" wrapText="1"/>
    </xf>
    <xf numFmtId="3" fontId="13" fillId="0" borderId="13" xfId="174" applyNumberFormat="1" applyFont="1" applyFill="1" applyBorder="1" applyAlignment="1">
      <alignment horizontal="left" vertical="center"/>
      <protection/>
    </xf>
    <xf numFmtId="0" fontId="9" fillId="48" borderId="39" xfId="150" applyFont="1" applyFill="1" applyBorder="1" applyAlignment="1">
      <alignment horizontal="center" vertical="top" wrapText="1"/>
      <protection/>
    </xf>
    <xf numFmtId="3" fontId="9" fillId="0" borderId="13" xfId="0" applyNumberFormat="1" applyFont="1" applyFill="1" applyBorder="1" applyAlignment="1">
      <alignment vertical="center"/>
    </xf>
    <xf numFmtId="0" fontId="13" fillId="0" borderId="14" xfId="165" applyFont="1" applyFill="1" applyBorder="1" applyAlignment="1">
      <alignment vertical="center" wrapText="1"/>
      <protection/>
    </xf>
    <xf numFmtId="3" fontId="13" fillId="0" borderId="32" xfId="0" applyNumberFormat="1" applyFont="1" applyBorder="1" applyAlignment="1">
      <alignment vertical="center" wrapText="1"/>
    </xf>
    <xf numFmtId="3" fontId="13" fillId="0" borderId="36" xfId="0" applyNumberFormat="1" applyFont="1" applyFill="1" applyBorder="1" applyAlignment="1">
      <alignment vertical="center"/>
    </xf>
    <xf numFmtId="3" fontId="13" fillId="0" borderId="32" xfId="0" applyNumberFormat="1" applyFont="1" applyFill="1" applyBorder="1" applyAlignment="1">
      <alignment vertical="center"/>
    </xf>
    <xf numFmtId="3" fontId="13" fillId="0" borderId="32" xfId="0" applyNumberFormat="1" applyFont="1" applyFill="1" applyBorder="1" applyAlignment="1">
      <alignment horizontal="left" vertical="center"/>
    </xf>
    <xf numFmtId="3" fontId="13" fillId="0" borderId="32" xfId="0" applyNumberFormat="1" applyFont="1" applyBorder="1" applyAlignment="1">
      <alignment vertical="center"/>
    </xf>
    <xf numFmtId="3" fontId="13" fillId="0" borderId="32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>
      <alignment horizontal="left" vertical="center" wrapText="1"/>
    </xf>
    <xf numFmtId="0" fontId="8" fillId="0" borderId="0" xfId="168" applyFont="1" applyFill="1" applyBorder="1" applyAlignment="1">
      <alignment vertical="center" wrapText="1"/>
      <protection/>
    </xf>
    <xf numFmtId="3" fontId="13" fillId="0" borderId="13" xfId="0" applyNumberFormat="1" applyFont="1" applyFill="1" applyBorder="1" applyAlignment="1">
      <alignment horizontal="center" vertical="center" wrapText="1"/>
    </xf>
    <xf numFmtId="49" fontId="8" fillId="0" borderId="26" xfId="155" applyNumberFormat="1" applyFont="1" applyFill="1" applyBorder="1" applyAlignment="1">
      <alignment horizontal="left" vertical="center" wrapText="1"/>
      <protection/>
    </xf>
    <xf numFmtId="3" fontId="13" fillId="0" borderId="15" xfId="0" applyNumberFormat="1" applyFont="1" applyFill="1" applyBorder="1" applyAlignment="1">
      <alignment horizontal="center" vertical="center"/>
    </xf>
    <xf numFmtId="49" fontId="8" fillId="0" borderId="14" xfId="156" applyNumberFormat="1" applyFont="1" applyFill="1" applyBorder="1" applyAlignment="1">
      <alignment horizontal="left" vertical="center" wrapText="1"/>
      <protection/>
    </xf>
    <xf numFmtId="0" fontId="8" fillId="0" borderId="13" xfId="169" applyFont="1" applyFill="1" applyBorder="1" applyAlignment="1">
      <alignment horizontal="left" vertical="center" wrapText="1"/>
      <protection/>
    </xf>
    <xf numFmtId="3" fontId="13" fillId="0" borderId="15" xfId="0" applyNumberFormat="1" applyFont="1" applyBorder="1" applyAlignment="1">
      <alignment horizontal="center" vertical="center"/>
    </xf>
    <xf numFmtId="0" fontId="13" fillId="0" borderId="32" xfId="147" applyFont="1" applyFill="1" applyBorder="1" applyAlignment="1">
      <alignment vertical="top" wrapText="1"/>
      <protection/>
    </xf>
    <xf numFmtId="49" fontId="13" fillId="0" borderId="14" xfId="162" applyNumberFormat="1" applyFont="1" applyFill="1" applyBorder="1" applyAlignment="1">
      <alignment horizontal="left" vertical="center" wrapText="1"/>
      <protection/>
    </xf>
    <xf numFmtId="49" fontId="8" fillId="0" borderId="32" xfId="156" applyNumberFormat="1" applyFont="1" applyFill="1" applyBorder="1" applyAlignment="1">
      <alignment horizontal="left" vertical="center" wrapText="1"/>
      <protection/>
    </xf>
    <xf numFmtId="49" fontId="8" fillId="0" borderId="41" xfId="156" applyNumberFormat="1" applyFont="1" applyFill="1" applyBorder="1" applyAlignment="1">
      <alignment horizontal="left" vertical="center" wrapText="1"/>
      <protection/>
    </xf>
    <xf numFmtId="49" fontId="8" fillId="0" borderId="42" xfId="156" applyNumberFormat="1" applyFont="1" applyFill="1" applyBorder="1" applyAlignment="1">
      <alignment horizontal="left" vertical="center" wrapText="1"/>
      <protection/>
    </xf>
    <xf numFmtId="3" fontId="13" fillId="0" borderId="0" xfId="171" applyNumberFormat="1" applyFont="1" applyFill="1" applyBorder="1" applyAlignment="1">
      <alignment horizontal="center" vertical="center" wrapText="1"/>
      <protection/>
    </xf>
    <xf numFmtId="0" fontId="13" fillId="0" borderId="43" xfId="171" applyFont="1" applyFill="1" applyBorder="1" applyAlignment="1">
      <alignment vertical="center" wrapText="1"/>
      <protection/>
    </xf>
    <xf numFmtId="1" fontId="15" fillId="0" borderId="13" xfId="0" applyNumberFormat="1" applyFont="1" applyFill="1" applyBorder="1" applyAlignment="1">
      <alignment horizontal="center" vertical="center"/>
    </xf>
    <xf numFmtId="49" fontId="13" fillId="0" borderId="32" xfId="155" applyNumberFormat="1" applyFont="1" applyFill="1" applyBorder="1" applyAlignment="1">
      <alignment horizontal="left" vertical="center" wrapText="1"/>
      <protection/>
    </xf>
    <xf numFmtId="49" fontId="13" fillId="0" borderId="32" xfId="155" applyNumberFormat="1" applyFont="1" applyBorder="1" applyAlignment="1">
      <alignment horizontal="left" vertical="center" wrapText="1"/>
      <protection/>
    </xf>
    <xf numFmtId="3" fontId="24" fillId="0" borderId="32" xfId="155" applyNumberFormat="1" applyFont="1" applyFill="1" applyBorder="1" applyAlignment="1">
      <alignment vertical="top" wrapText="1"/>
      <protection/>
    </xf>
    <xf numFmtId="3" fontId="13" fillId="0" borderId="32" xfId="155" applyNumberFormat="1" applyFont="1" applyBorder="1" applyAlignment="1">
      <alignment horizontal="left" vertical="top" wrapText="1"/>
      <protection/>
    </xf>
    <xf numFmtId="49" fontId="8" fillId="0" borderId="33" xfId="155" applyNumberFormat="1" applyFont="1" applyFill="1" applyBorder="1" applyAlignment="1">
      <alignment horizontal="left" vertical="center" wrapText="1"/>
      <protection/>
    </xf>
    <xf numFmtId="49" fontId="8" fillId="0" borderId="44" xfId="155" applyNumberFormat="1" applyFont="1" applyBorder="1" applyAlignment="1">
      <alignment horizontal="left" vertical="center" wrapText="1"/>
      <protection/>
    </xf>
    <xf numFmtId="0" fontId="8" fillId="0" borderId="45" xfId="168" applyFont="1" applyFill="1" applyBorder="1" applyAlignment="1">
      <alignment vertical="center" wrapText="1"/>
      <protection/>
    </xf>
    <xf numFmtId="0" fontId="8" fillId="0" borderId="46" xfId="168" applyFont="1" applyFill="1" applyBorder="1" applyAlignment="1">
      <alignment horizontal="left" vertical="top" wrapText="1"/>
      <protection/>
    </xf>
    <xf numFmtId="3" fontId="12" fillId="0" borderId="26" xfId="0" applyNumberFormat="1" applyFont="1" applyFill="1" applyBorder="1" applyAlignment="1">
      <alignment horizontal="center" vertical="center"/>
    </xf>
    <xf numFmtId="0" fontId="8" fillId="0" borderId="47" xfId="162" applyFont="1" applyFill="1" applyBorder="1" applyAlignment="1">
      <alignment horizontal="left" vertical="top" wrapText="1"/>
      <protection/>
    </xf>
    <xf numFmtId="3" fontId="9" fillId="0" borderId="14" xfId="0" applyNumberFormat="1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 wrapText="1"/>
    </xf>
    <xf numFmtId="0" fontId="9" fillId="0" borderId="33" xfId="150" applyFont="1" applyFill="1" applyBorder="1" applyAlignment="1">
      <alignment vertical="top"/>
      <protection/>
    </xf>
    <xf numFmtId="49" fontId="8" fillId="0" borderId="14" xfId="162" applyNumberFormat="1" applyFont="1" applyFill="1" applyBorder="1" applyAlignment="1">
      <alignment horizontal="left" vertical="top" wrapText="1"/>
      <protection/>
    </xf>
    <xf numFmtId="0" fontId="8" fillId="0" borderId="14" xfId="171" applyFont="1" applyFill="1" applyBorder="1" applyAlignment="1">
      <alignment vertical="center"/>
      <protection/>
    </xf>
    <xf numFmtId="3" fontId="13" fillId="0" borderId="21" xfId="0" applyNumberFormat="1" applyFont="1" applyFill="1" applyBorder="1" applyAlignment="1">
      <alignment vertical="center"/>
    </xf>
    <xf numFmtId="49" fontId="8" fillId="0" borderId="14" xfId="155" applyNumberFormat="1" applyFont="1" applyFill="1" applyBorder="1" applyAlignment="1">
      <alignment horizontal="left" vertical="center" wrapText="1"/>
      <protection/>
    </xf>
    <xf numFmtId="0" fontId="9" fillId="0" borderId="32" xfId="150" applyFont="1" applyFill="1" applyBorder="1" applyAlignment="1">
      <alignment vertical="center"/>
      <protection/>
    </xf>
    <xf numFmtId="0" fontId="8" fillId="0" borderId="32" xfId="171" applyFont="1" applyFill="1" applyBorder="1" applyAlignment="1">
      <alignment vertical="center"/>
      <protection/>
    </xf>
    <xf numFmtId="0" fontId="8" fillId="0" borderId="32" xfId="168" applyFont="1" applyFill="1" applyBorder="1" applyAlignment="1">
      <alignment vertical="center"/>
      <protection/>
    </xf>
    <xf numFmtId="49" fontId="13" fillId="0" borderId="35" xfId="162" applyNumberFormat="1" applyFont="1" applyFill="1" applyBorder="1" applyAlignment="1">
      <alignment horizontal="left" vertical="center" wrapText="1"/>
      <protection/>
    </xf>
    <xf numFmtId="0" fontId="13" fillId="0" borderId="32" xfId="162" applyFont="1" applyFill="1" applyBorder="1" applyAlignment="1">
      <alignment horizontal="left" wrapText="1"/>
      <protection/>
    </xf>
    <xf numFmtId="0" fontId="13" fillId="0" borderId="32" xfId="150" applyFont="1" applyFill="1" applyBorder="1" applyAlignment="1">
      <alignment vertical="top"/>
      <protection/>
    </xf>
    <xf numFmtId="0" fontId="13" fillId="0" borderId="32" xfId="147" applyFont="1" applyFill="1" applyBorder="1" applyAlignment="1">
      <alignment vertical="top"/>
      <protection/>
    </xf>
    <xf numFmtId="49" fontId="8" fillId="0" borderId="36" xfId="0" applyNumberFormat="1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vertical="top" wrapText="1"/>
    </xf>
    <xf numFmtId="0" fontId="9" fillId="0" borderId="14" xfId="148" applyFont="1" applyFill="1" applyBorder="1" applyAlignment="1">
      <alignment horizontal="left" vertical="top" wrapText="1"/>
      <protection/>
    </xf>
    <xf numFmtId="3" fontId="8" fillId="0" borderId="36" xfId="0" applyNumberFormat="1" applyFont="1" applyFill="1" applyBorder="1" applyAlignment="1">
      <alignment horizontal="left" vertical="top" wrapText="1"/>
    </xf>
    <xf numFmtId="3" fontId="8" fillId="0" borderId="36" xfId="0" applyNumberFormat="1" applyFont="1" applyFill="1" applyBorder="1" applyAlignment="1">
      <alignment vertical="top" wrapText="1"/>
    </xf>
    <xf numFmtId="3" fontId="9" fillId="0" borderId="14" xfId="0" applyNumberFormat="1" applyFont="1" applyFill="1" applyBorder="1" applyAlignment="1">
      <alignment vertical="center"/>
    </xf>
    <xf numFmtId="0" fontId="8" fillId="0" borderId="13" xfId="147" applyFont="1" applyFill="1" applyBorder="1" applyAlignment="1">
      <alignment vertical="top"/>
      <protection/>
    </xf>
    <xf numFmtId="3" fontId="13" fillId="0" borderId="15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vertical="center" wrapText="1"/>
    </xf>
    <xf numFmtId="169" fontId="8" fillId="0" borderId="13" xfId="98" applyNumberFormat="1" applyFont="1" applyBorder="1" applyAlignment="1">
      <alignment horizontal="center" vertical="center" wrapText="1"/>
    </xf>
    <xf numFmtId="0" fontId="8" fillId="0" borderId="0" xfId="154" applyFont="1" applyFill="1" applyBorder="1" applyAlignment="1">
      <alignment vertical="center" wrapText="1"/>
      <protection/>
    </xf>
    <xf numFmtId="3" fontId="13" fillId="0" borderId="36" xfId="162" applyNumberFormat="1" applyFont="1" applyBorder="1" applyAlignment="1">
      <alignment horizontal="right" vertical="center"/>
      <protection/>
    </xf>
    <xf numFmtId="3" fontId="8" fillId="0" borderId="36" xfId="162" applyNumberFormat="1" applyFont="1" applyFill="1" applyBorder="1" applyAlignment="1">
      <alignment horizontal="right" vertical="center" wrapText="1"/>
      <protection/>
    </xf>
    <xf numFmtId="0" fontId="13" fillId="0" borderId="14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9" borderId="48" xfId="152" applyFont="1" applyFill="1" applyBorder="1" applyAlignment="1">
      <alignment vertical="center"/>
      <protection/>
    </xf>
    <xf numFmtId="0" fontId="6" fillId="0" borderId="0" xfId="152" applyFont="1" applyAlignment="1">
      <alignment vertical="center"/>
      <protection/>
    </xf>
    <xf numFmtId="0" fontId="12" fillId="9" borderId="49" xfId="152" applyFont="1" applyFill="1" applyBorder="1" applyAlignment="1">
      <alignment horizontal="center" vertical="top"/>
      <protection/>
    </xf>
    <xf numFmtId="3" fontId="12" fillId="9" borderId="50" xfId="152" applyNumberFormat="1" applyFont="1" applyFill="1" applyBorder="1" applyAlignment="1">
      <alignment horizontal="center" vertical="center" wrapText="1"/>
      <protection/>
    </xf>
    <xf numFmtId="3" fontId="12" fillId="9" borderId="51" xfId="152" applyNumberFormat="1" applyFont="1" applyFill="1" applyBorder="1" applyAlignment="1">
      <alignment horizontal="center" vertical="center" wrapText="1"/>
      <protection/>
    </xf>
    <xf numFmtId="0" fontId="6" fillId="0" borderId="0" xfId="152" applyFont="1" applyBorder="1" applyAlignment="1">
      <alignment vertical="center"/>
      <protection/>
    </xf>
    <xf numFmtId="0" fontId="15" fillId="0" borderId="36" xfId="152" applyFont="1" applyFill="1" applyBorder="1" applyAlignment="1">
      <alignment vertical="center"/>
      <protection/>
    </xf>
    <xf numFmtId="3" fontId="8" fillId="0" borderId="36" xfId="152" applyNumberFormat="1" applyFont="1" applyFill="1" applyBorder="1" applyAlignment="1">
      <alignment vertical="center"/>
      <protection/>
    </xf>
    <xf numFmtId="0" fontId="13" fillId="0" borderId="36" xfId="152" applyFont="1" applyFill="1" applyBorder="1" applyAlignment="1">
      <alignment vertical="center"/>
      <protection/>
    </xf>
    <xf numFmtId="4" fontId="8" fillId="0" borderId="36" xfId="152" applyNumberFormat="1" applyFont="1" applyFill="1" applyBorder="1" applyAlignment="1">
      <alignment vertical="center"/>
      <protection/>
    </xf>
    <xf numFmtId="165" fontId="8" fillId="0" borderId="36" xfId="152" applyNumberFormat="1" applyFont="1" applyFill="1" applyBorder="1" applyAlignment="1">
      <alignment vertical="center"/>
      <protection/>
    </xf>
    <xf numFmtId="0" fontId="13" fillId="0" borderId="36" xfId="152" applyFont="1" applyFill="1" applyBorder="1" applyAlignment="1">
      <alignment vertical="center" wrapText="1"/>
      <protection/>
    </xf>
    <xf numFmtId="49" fontId="13" fillId="0" borderId="36" xfId="152" applyNumberFormat="1" applyFont="1" applyFill="1" applyBorder="1" applyAlignment="1">
      <alignment vertical="center" wrapText="1"/>
      <protection/>
    </xf>
    <xf numFmtId="3" fontId="62" fillId="0" borderId="36" xfId="152" applyNumberFormat="1" applyFont="1" applyFill="1" applyBorder="1" applyAlignment="1">
      <alignment vertical="center"/>
      <protection/>
    </xf>
    <xf numFmtId="166" fontId="8" fillId="0" borderId="36" xfId="152" applyNumberFormat="1" applyFont="1" applyFill="1" applyBorder="1" applyAlignment="1">
      <alignment vertical="center"/>
      <protection/>
    </xf>
    <xf numFmtId="3" fontId="8" fillId="0" borderId="36" xfId="152" applyNumberFormat="1" applyFont="1" applyFill="1" applyBorder="1" applyAlignment="1">
      <alignment horizontal="right" vertical="center"/>
      <protection/>
    </xf>
    <xf numFmtId="0" fontId="6" fillId="0" borderId="36" xfId="152" applyFont="1" applyFill="1" applyBorder="1" applyAlignment="1">
      <alignment vertical="center"/>
      <protection/>
    </xf>
    <xf numFmtId="3" fontId="13" fillId="0" borderId="36" xfId="152" applyNumberFormat="1" applyFont="1" applyFill="1" applyBorder="1" applyAlignment="1">
      <alignment vertical="center"/>
      <protection/>
    </xf>
    <xf numFmtId="3" fontId="6" fillId="0" borderId="0" xfId="152" applyNumberFormat="1" applyFont="1" applyAlignment="1">
      <alignment vertical="center"/>
      <protection/>
    </xf>
    <xf numFmtId="0" fontId="24" fillId="0" borderId="39" xfId="152" applyFont="1" applyFill="1" applyBorder="1" applyAlignment="1">
      <alignment vertical="center"/>
      <protection/>
    </xf>
    <xf numFmtId="3" fontId="62" fillId="0" borderId="36" xfId="152" applyNumberFormat="1" applyFont="1" applyFill="1" applyBorder="1" applyAlignment="1">
      <alignment horizontal="right" vertical="center"/>
      <protection/>
    </xf>
    <xf numFmtId="0" fontId="13" fillId="0" borderId="39" xfId="152" applyFont="1" applyFill="1" applyBorder="1" applyAlignment="1">
      <alignment vertical="center"/>
      <protection/>
    </xf>
    <xf numFmtId="0" fontId="15" fillId="0" borderId="36" xfId="152" applyFont="1" applyFill="1" applyBorder="1" applyAlignment="1">
      <alignment vertical="center" wrapText="1"/>
      <protection/>
    </xf>
    <xf numFmtId="3" fontId="8" fillId="0" borderId="52" xfId="152" applyNumberFormat="1" applyFont="1" applyFill="1" applyBorder="1" applyAlignment="1">
      <alignment vertical="center"/>
      <protection/>
    </xf>
    <xf numFmtId="3" fontId="13" fillId="0" borderId="0" xfId="152" applyNumberFormat="1" applyFont="1" applyFill="1" applyAlignment="1">
      <alignment vertical="center"/>
      <protection/>
    </xf>
    <xf numFmtId="0" fontId="12" fillId="9" borderId="36" xfId="152" applyFont="1" applyFill="1" applyBorder="1" applyAlignment="1">
      <alignment vertical="center"/>
      <protection/>
    </xf>
    <xf numFmtId="3" fontId="12" fillId="9" borderId="36" xfId="152" applyNumberFormat="1" applyFont="1" applyFill="1" applyBorder="1" applyAlignment="1">
      <alignment vertical="center"/>
      <protection/>
    </xf>
    <xf numFmtId="3" fontId="6" fillId="0" borderId="0" xfId="152" applyNumberFormat="1" applyFont="1" applyFill="1" applyAlignment="1">
      <alignment vertical="center"/>
      <protection/>
    </xf>
    <xf numFmtId="0" fontId="6" fillId="0" borderId="0" xfId="152" applyFont="1" applyFill="1" applyAlignment="1">
      <alignment vertical="center"/>
      <protection/>
    </xf>
    <xf numFmtId="3" fontId="64" fillId="0" borderId="0" xfId="152" applyNumberFormat="1" applyFont="1" applyAlignment="1">
      <alignment vertical="center"/>
      <protection/>
    </xf>
    <xf numFmtId="3" fontId="6" fillId="0" borderId="0" xfId="0" applyNumberFormat="1" applyFont="1" applyBorder="1" applyAlignment="1">
      <alignment/>
    </xf>
    <xf numFmtId="3" fontId="8" fillId="0" borderId="32" xfId="0" applyNumberFormat="1" applyFont="1" applyFill="1" applyBorder="1" applyAlignment="1">
      <alignment horizontal="left" vertical="center" wrapText="1"/>
    </xf>
    <xf numFmtId="0" fontId="12" fillId="8" borderId="13" xfId="137" applyFont="1" applyFill="1" applyBorder="1" applyAlignment="1">
      <alignment horizontal="center" vertical="center" wrapText="1"/>
      <protection/>
    </xf>
    <xf numFmtId="0" fontId="22" fillId="0" borderId="13" xfId="160" applyFont="1" applyFill="1" applyBorder="1" applyAlignment="1">
      <alignment horizontal="center" vertical="center" wrapText="1"/>
      <protection/>
    </xf>
    <xf numFmtId="0" fontId="22" fillId="0" borderId="13" xfId="160" applyFont="1" applyFill="1" applyBorder="1" applyAlignment="1">
      <alignment horizontal="left" vertical="center" wrapText="1"/>
      <protection/>
    </xf>
    <xf numFmtId="3" fontId="13" fillId="0" borderId="13" xfId="137" applyNumberFormat="1" applyFont="1" applyBorder="1" applyAlignment="1">
      <alignment vertical="center"/>
      <protection/>
    </xf>
    <xf numFmtId="0" fontId="13" fillId="0" borderId="13" xfId="161" applyFont="1" applyFill="1" applyBorder="1" applyAlignment="1">
      <alignment vertical="center" wrapText="1"/>
      <protection/>
    </xf>
    <xf numFmtId="0" fontId="13" fillId="0" borderId="13" xfId="161" applyFont="1" applyFill="1" applyBorder="1" applyAlignment="1">
      <alignment vertical="center"/>
      <protection/>
    </xf>
    <xf numFmtId="0" fontId="13" fillId="0" borderId="13" xfId="161" applyFont="1" applyBorder="1" applyAlignment="1">
      <alignment vertical="center"/>
      <protection/>
    </xf>
    <xf numFmtId="0" fontId="13" fillId="0" borderId="13" xfId="164" applyFont="1" applyFill="1" applyBorder="1" applyAlignment="1">
      <alignment vertical="center"/>
      <protection/>
    </xf>
    <xf numFmtId="0" fontId="9" fillId="8" borderId="13" xfId="137" applyFont="1" applyFill="1" applyBorder="1" applyAlignment="1">
      <alignment horizontal="center" vertical="center"/>
      <protection/>
    </xf>
    <xf numFmtId="0" fontId="9" fillId="8" borderId="13" xfId="137" applyFont="1" applyFill="1" applyBorder="1" applyAlignment="1">
      <alignment vertical="center" wrapText="1"/>
      <protection/>
    </xf>
    <xf numFmtId="3" fontId="9" fillId="8" borderId="13" xfId="137" applyNumberFormat="1" applyFont="1" applyFill="1" applyBorder="1" applyAlignment="1">
      <alignment vertical="center"/>
      <protection/>
    </xf>
    <xf numFmtId="3" fontId="65" fillId="0" borderId="0" xfId="137" applyNumberFormat="1" applyFont="1" applyAlignment="1">
      <alignment vertical="center"/>
      <protection/>
    </xf>
    <xf numFmtId="0" fontId="13" fillId="0" borderId="13" xfId="160" applyFont="1" applyFill="1" applyBorder="1" applyAlignment="1">
      <alignment horizontal="center" vertical="center" wrapText="1"/>
      <protection/>
    </xf>
    <xf numFmtId="0" fontId="13" fillId="0" borderId="13" xfId="160" applyFont="1" applyFill="1" applyBorder="1" applyAlignment="1">
      <alignment horizontal="left" vertical="center" wrapText="1"/>
      <protection/>
    </xf>
    <xf numFmtId="3" fontId="13" fillId="0" borderId="13" xfId="174" applyNumberFormat="1" applyFont="1" applyFill="1" applyBorder="1" applyAlignment="1">
      <alignment horizontal="right" vertical="center" wrapText="1"/>
      <protection/>
    </xf>
    <xf numFmtId="0" fontId="12" fillId="8" borderId="13" xfId="137" applyFont="1" applyFill="1" applyBorder="1" applyAlignment="1">
      <alignment horizontal="center" vertical="center"/>
      <protection/>
    </xf>
    <xf numFmtId="0" fontId="12" fillId="8" borderId="13" xfId="137" applyFont="1" applyFill="1" applyBorder="1" applyAlignment="1">
      <alignment vertical="center" wrapText="1"/>
      <protection/>
    </xf>
    <xf numFmtId="0" fontId="8" fillId="0" borderId="32" xfId="0" applyFont="1" applyBorder="1" applyAlignment="1">
      <alignment wrapText="1"/>
    </xf>
    <xf numFmtId="0" fontId="9" fillId="0" borderId="34" xfId="163" applyFont="1" applyBorder="1" applyAlignment="1">
      <alignment vertical="center"/>
      <protection/>
    </xf>
    <xf numFmtId="0" fontId="9" fillId="0" borderId="14" xfId="163" applyFont="1" applyBorder="1" applyAlignment="1">
      <alignment vertical="center"/>
      <protection/>
    </xf>
    <xf numFmtId="0" fontId="8" fillId="0" borderId="14" xfId="136" applyFont="1" applyBorder="1" applyAlignment="1">
      <alignment vertical="center"/>
      <protection/>
    </xf>
    <xf numFmtId="0" fontId="8" fillId="0" borderId="14" xfId="167" applyFont="1" applyFill="1" applyBorder="1" applyAlignment="1">
      <alignment vertical="center" wrapText="1"/>
      <protection/>
    </xf>
    <xf numFmtId="0" fontId="8" fillId="0" borderId="34" xfId="163" applyFont="1" applyBorder="1" applyAlignment="1">
      <alignment vertical="center" wrapText="1"/>
      <protection/>
    </xf>
    <xf numFmtId="0" fontId="8" fillId="0" borderId="14" xfId="138" applyFont="1" applyBorder="1" applyAlignment="1">
      <alignment vertical="center"/>
      <protection/>
    </xf>
    <xf numFmtId="0" fontId="8" fillId="0" borderId="34" xfId="163" applyFont="1" applyBorder="1" applyAlignment="1">
      <alignment vertical="center"/>
      <protection/>
    </xf>
    <xf numFmtId="0" fontId="8" fillId="0" borderId="14" xfId="138" applyFont="1" applyBorder="1" applyAlignment="1">
      <alignment vertical="center" wrapText="1"/>
      <protection/>
    </xf>
    <xf numFmtId="0" fontId="8" fillId="0" borderId="34" xfId="163" applyFont="1" applyFill="1" applyBorder="1" applyAlignment="1">
      <alignment vertical="center" wrapText="1"/>
      <protection/>
    </xf>
    <xf numFmtId="0" fontId="8" fillId="0" borderId="26" xfId="138" applyFont="1" applyBorder="1" applyAlignment="1">
      <alignment vertical="center"/>
      <protection/>
    </xf>
    <xf numFmtId="0" fontId="8" fillId="0" borderId="26" xfId="138" applyFont="1" applyBorder="1" applyAlignment="1">
      <alignment vertical="center" wrapText="1"/>
      <protection/>
    </xf>
    <xf numFmtId="0" fontId="9" fillId="0" borderId="14" xfId="163" applyFont="1" applyFill="1" applyBorder="1" applyAlignment="1">
      <alignment vertical="center"/>
      <protection/>
    </xf>
    <xf numFmtId="0" fontId="9" fillId="8" borderId="14" xfId="136" applyFont="1" applyFill="1" applyBorder="1" applyAlignment="1">
      <alignment vertical="center" wrapText="1"/>
      <protection/>
    </xf>
    <xf numFmtId="0" fontId="8" fillId="0" borderId="13" xfId="139" applyFont="1" applyFill="1" applyBorder="1" applyAlignment="1">
      <alignment horizontal="center" vertical="center" wrapText="1"/>
      <protection/>
    </xf>
    <xf numFmtId="3" fontId="8" fillId="0" borderId="13" xfId="0" applyNumberFormat="1" applyFont="1" applyBorder="1" applyAlignment="1">
      <alignment vertical="center"/>
    </xf>
    <xf numFmtId="0" fontId="8" fillId="0" borderId="13" xfId="140" applyFont="1" applyFill="1" applyBorder="1" applyAlignment="1">
      <alignment horizontal="center" vertical="center" wrapText="1"/>
      <protection/>
    </xf>
    <xf numFmtId="3" fontId="13" fillId="0" borderId="13" xfId="166" applyNumberFormat="1" applyFont="1" applyFill="1" applyBorder="1" applyAlignment="1">
      <alignment horizontal="center" vertical="center" wrapText="1"/>
      <protection/>
    </xf>
    <xf numFmtId="0" fontId="8" fillId="8" borderId="13" xfId="0" applyFont="1" applyFill="1" applyBorder="1" applyAlignment="1">
      <alignment vertical="center" wrapText="1"/>
    </xf>
    <xf numFmtId="0" fontId="66" fillId="0" borderId="36" xfId="159" applyFont="1" applyFill="1" applyBorder="1" applyAlignment="1" applyProtection="1">
      <alignment horizontal="left" vertical="center" wrapText="1"/>
      <protection/>
    </xf>
    <xf numFmtId="0" fontId="13" fillId="0" borderId="0" xfId="148" applyFont="1" applyFill="1" applyBorder="1" applyAlignment="1">
      <alignment vertical="top" wrapText="1"/>
      <protection/>
    </xf>
    <xf numFmtId="0" fontId="8" fillId="48" borderId="37" xfId="150" applyFont="1" applyFill="1" applyBorder="1" applyAlignment="1">
      <alignment horizontal="center" vertical="top" wrapText="1"/>
      <protection/>
    </xf>
    <xf numFmtId="3" fontId="8" fillId="0" borderId="26" xfId="0" applyNumberFormat="1" applyFont="1" applyFill="1" applyBorder="1" applyAlignment="1">
      <alignment vertical="center"/>
    </xf>
    <xf numFmtId="0" fontId="8" fillId="48" borderId="14" xfId="148" applyFont="1" applyFill="1" applyBorder="1" applyAlignment="1">
      <alignment vertical="top"/>
      <protection/>
    </xf>
    <xf numFmtId="0" fontId="8" fillId="48" borderId="14" xfId="148" applyFont="1" applyFill="1" applyBorder="1" applyAlignment="1">
      <alignment vertical="top" wrapText="1"/>
      <protection/>
    </xf>
    <xf numFmtId="0" fontId="8" fillId="0" borderId="14" xfId="162" applyFont="1" applyFill="1" applyBorder="1">
      <alignment/>
      <protection/>
    </xf>
    <xf numFmtId="0" fontId="24" fillId="0" borderId="13" xfId="0" applyFont="1" applyBorder="1" applyAlignment="1">
      <alignment vertical="center" wrapText="1"/>
    </xf>
    <xf numFmtId="49" fontId="8" fillId="0" borderId="36" xfId="154" applyNumberFormat="1" applyFont="1" applyFill="1" applyBorder="1" applyAlignment="1">
      <alignment vertical="center" wrapText="1"/>
      <protection/>
    </xf>
    <xf numFmtId="0" fontId="8" fillId="0" borderId="36" xfId="154" applyFont="1" applyFill="1" applyBorder="1" applyAlignment="1">
      <alignment horizontal="left" vertical="center" wrapText="1"/>
      <protection/>
    </xf>
    <xf numFmtId="0" fontId="8" fillId="0" borderId="36" xfId="154" applyFont="1" applyFill="1" applyBorder="1" applyAlignment="1">
      <alignment vertical="center" wrapText="1"/>
      <protection/>
    </xf>
    <xf numFmtId="49" fontId="13" fillId="0" borderId="33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49" fontId="13" fillId="0" borderId="36" xfId="173" applyNumberFormat="1" applyFont="1" applyBorder="1" applyAlignment="1">
      <alignment horizontal="left" vertical="center" wrapText="1"/>
      <protection/>
    </xf>
    <xf numFmtId="49" fontId="13" fillId="0" borderId="36" xfId="173" applyNumberFormat="1" applyFont="1" applyFill="1" applyBorder="1" applyAlignment="1">
      <alignment horizontal="left" vertical="center" wrapText="1"/>
      <protection/>
    </xf>
    <xf numFmtId="0" fontId="13" fillId="0" borderId="36" xfId="154" applyFont="1" applyFill="1" applyBorder="1" applyAlignment="1">
      <alignment vertical="center" wrapText="1"/>
      <protection/>
    </xf>
    <xf numFmtId="0" fontId="8" fillId="0" borderId="52" xfId="154" applyFont="1" applyFill="1" applyBorder="1" applyAlignment="1">
      <alignment horizontal="left" vertical="center" wrapText="1"/>
      <protection/>
    </xf>
    <xf numFmtId="3" fontId="13" fillId="0" borderId="0" xfId="0" applyNumberFormat="1" applyFont="1" applyAlignment="1">
      <alignment vertical="center"/>
    </xf>
    <xf numFmtId="0" fontId="8" fillId="0" borderId="39" xfId="154" applyFont="1" applyFill="1" applyBorder="1" applyAlignment="1">
      <alignment horizontal="left" vertical="center" wrapText="1"/>
      <protection/>
    </xf>
    <xf numFmtId="0" fontId="8" fillId="0" borderId="36" xfId="154" applyFont="1" applyBorder="1" applyAlignment="1">
      <alignment vertical="center" wrapText="1"/>
      <protection/>
    </xf>
    <xf numFmtId="49" fontId="13" fillId="0" borderId="32" xfId="0" applyNumberFormat="1" applyFont="1" applyFill="1" applyBorder="1" applyAlignment="1">
      <alignment vertical="center" wrapText="1"/>
    </xf>
    <xf numFmtId="49" fontId="13" fillId="0" borderId="45" xfId="0" applyNumberFormat="1" applyFont="1" applyFill="1" applyBorder="1" applyAlignment="1">
      <alignment horizontal="left" vertical="center" wrapText="1"/>
    </xf>
    <xf numFmtId="49" fontId="13" fillId="0" borderId="36" xfId="0" applyNumberFormat="1" applyFont="1" applyFill="1" applyBorder="1" applyAlignment="1">
      <alignment horizontal="left" vertical="center" wrapText="1"/>
    </xf>
    <xf numFmtId="49" fontId="13" fillId="0" borderId="36" xfId="0" applyNumberFormat="1" applyFont="1" applyBorder="1" applyAlignment="1">
      <alignment vertical="center" wrapText="1"/>
    </xf>
    <xf numFmtId="49" fontId="13" fillId="48" borderId="36" xfId="0" applyNumberFormat="1" applyFont="1" applyFill="1" applyBorder="1" applyAlignment="1">
      <alignment horizontal="left" vertical="center" wrapText="1"/>
    </xf>
    <xf numFmtId="49" fontId="8" fillId="0" borderId="37" xfId="154" applyNumberFormat="1" applyFont="1" applyFill="1" applyBorder="1" applyAlignment="1">
      <alignment vertical="center" wrapText="1"/>
      <protection/>
    </xf>
    <xf numFmtId="49" fontId="8" fillId="0" borderId="14" xfId="154" applyNumberFormat="1" applyFont="1" applyFill="1" applyBorder="1" applyAlignment="1">
      <alignment vertical="center" wrapText="1"/>
      <protection/>
    </xf>
    <xf numFmtId="49" fontId="13" fillId="0" borderId="14" xfId="0" applyNumberFormat="1" applyFont="1" applyFill="1" applyBorder="1" applyAlignment="1">
      <alignment vertical="center" wrapText="1"/>
    </xf>
    <xf numFmtId="49" fontId="13" fillId="48" borderId="36" xfId="0" applyNumberFormat="1" applyFont="1" applyFill="1" applyBorder="1" applyAlignment="1">
      <alignment vertical="center" wrapText="1"/>
    </xf>
    <xf numFmtId="3" fontId="16" fillId="0" borderId="13" xfId="174" applyNumberFormat="1" applyFont="1" applyFill="1" applyBorder="1" applyAlignment="1">
      <alignment horizontal="center" vertical="top" wrapText="1"/>
      <protection/>
    </xf>
    <xf numFmtId="3" fontId="13" fillId="0" borderId="13" xfId="174" applyNumberFormat="1" applyFont="1" applyFill="1" applyBorder="1" applyAlignment="1">
      <alignment horizontal="right" vertical="top" wrapText="1"/>
      <protection/>
    </xf>
    <xf numFmtId="3" fontId="16" fillId="0" borderId="13" xfId="174" applyNumberFormat="1" applyFont="1" applyFill="1" applyBorder="1" applyAlignment="1">
      <alignment horizontal="center" vertical="center" wrapText="1"/>
      <protection/>
    </xf>
    <xf numFmtId="0" fontId="8" fillId="8" borderId="38" xfId="0" applyFont="1" applyFill="1" applyBorder="1" applyAlignment="1">
      <alignment vertical="center"/>
    </xf>
    <xf numFmtId="3" fontId="13" fillId="0" borderId="32" xfId="155" applyNumberFormat="1" applyFont="1" applyFill="1" applyBorder="1" applyAlignment="1">
      <alignment vertical="top" wrapText="1"/>
      <protection/>
    </xf>
    <xf numFmtId="0" fontId="8" fillId="0" borderId="32" xfId="154" applyFont="1" applyBorder="1" applyAlignment="1">
      <alignment horizontal="left" vertical="center" wrapText="1"/>
      <protection/>
    </xf>
    <xf numFmtId="169" fontId="8" fillId="0" borderId="13" xfId="98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49" fontId="8" fillId="0" borderId="13" xfId="163" applyNumberFormat="1" applyFont="1" applyBorder="1" applyAlignment="1">
      <alignment horizontal="center" vertical="center"/>
      <protection/>
    </xf>
    <xf numFmtId="49" fontId="8" fillId="0" borderId="13" xfId="139" applyNumberFormat="1" applyFont="1" applyBorder="1" applyAlignment="1">
      <alignment horizontal="center" vertical="center" wrapText="1"/>
      <protection/>
    </xf>
    <xf numFmtId="49" fontId="8" fillId="0" borderId="13" xfId="0" applyNumberFormat="1" applyFont="1" applyBorder="1" applyAlignment="1">
      <alignment horizontal="center" vertical="center" wrapText="1"/>
    </xf>
    <xf numFmtId="49" fontId="13" fillId="0" borderId="13" xfId="163" applyNumberFormat="1" applyFont="1" applyFill="1" applyBorder="1" applyAlignment="1">
      <alignment horizontal="center" vertical="center" wrapText="1"/>
      <protection/>
    </xf>
    <xf numFmtId="49" fontId="8" fillId="0" borderId="13" xfId="163" applyNumberFormat="1" applyFont="1" applyFill="1" applyBorder="1" applyAlignment="1">
      <alignment horizontal="center" vertical="center" wrapText="1"/>
      <protection/>
    </xf>
    <xf numFmtId="49" fontId="8" fillId="0" borderId="13" xfId="0" applyNumberFormat="1" applyFont="1" applyFill="1" applyBorder="1" applyAlignment="1">
      <alignment horizontal="center" vertical="top" wrapText="1"/>
    </xf>
    <xf numFmtId="0" fontId="9" fillId="0" borderId="13" xfId="163" applyFont="1" applyBorder="1" applyAlignment="1">
      <alignment horizontal="center" vertical="center"/>
      <protection/>
    </xf>
    <xf numFmtId="0" fontId="13" fillId="0" borderId="13" xfId="163" applyFont="1" applyBorder="1" applyAlignment="1">
      <alignment horizontal="center" vertical="center" wrapText="1"/>
      <protection/>
    </xf>
    <xf numFmtId="169" fontId="9" fillId="8" borderId="13" xfId="98" applyNumberFormat="1" applyFont="1" applyFill="1" applyBorder="1" applyAlignment="1">
      <alignment horizontal="center" vertical="center"/>
    </xf>
    <xf numFmtId="169" fontId="8" fillId="0" borderId="13" xfId="98" applyNumberFormat="1" applyFont="1" applyBorder="1" applyAlignment="1">
      <alignment horizontal="center" vertical="center"/>
    </xf>
    <xf numFmtId="169" fontId="8" fillId="0" borderId="13" xfId="98" applyNumberFormat="1" applyFont="1" applyFill="1" applyBorder="1" applyAlignment="1">
      <alignment horizontal="center" vertical="center" wrapText="1"/>
    </xf>
    <xf numFmtId="3" fontId="9" fillId="8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8" fillId="0" borderId="13" xfId="163" applyNumberFormat="1" applyFont="1" applyBorder="1" applyAlignment="1">
      <alignment horizontal="center" vertical="center" wrapText="1"/>
      <protection/>
    </xf>
    <xf numFmtId="0" fontId="8" fillId="0" borderId="13" xfId="163" applyFont="1" applyBorder="1" applyAlignment="1">
      <alignment horizontal="center" vertical="center" wrapText="1"/>
      <protection/>
    </xf>
    <xf numFmtId="3" fontId="8" fillId="0" borderId="13" xfId="145" applyNumberFormat="1" applyFont="1" applyFill="1" applyBorder="1" applyAlignment="1">
      <alignment horizontal="center" vertical="top" wrapText="1"/>
      <protection/>
    </xf>
    <xf numFmtId="0" fontId="8" fillId="0" borderId="13" xfId="139" applyFont="1" applyFill="1" applyBorder="1" applyAlignment="1">
      <alignment horizontal="center" vertical="top" wrapText="1"/>
      <protection/>
    </xf>
    <xf numFmtId="0" fontId="8" fillId="0" borderId="13" xfId="139" applyFont="1" applyFill="1" applyBorder="1" applyAlignment="1">
      <alignment horizontal="center" vertical="top" wrapText="1"/>
      <protection/>
    </xf>
    <xf numFmtId="3" fontId="8" fillId="0" borderId="13" xfId="163" applyNumberFormat="1" applyFont="1" applyBorder="1" applyAlignment="1">
      <alignment horizontal="center" vertical="center"/>
      <protection/>
    </xf>
    <xf numFmtId="3" fontId="8" fillId="0" borderId="13" xfId="138" applyNumberFormat="1" applyFont="1" applyBorder="1" applyAlignment="1">
      <alignment horizontal="center" vertical="center"/>
      <protection/>
    </xf>
    <xf numFmtId="0" fontId="8" fillId="0" borderId="13" xfId="138" applyFont="1" applyBorder="1" applyAlignment="1">
      <alignment horizontal="center" vertical="center" wrapText="1"/>
      <protection/>
    </xf>
    <xf numFmtId="3" fontId="8" fillId="0" borderId="13" xfId="163" applyNumberFormat="1" applyFont="1" applyFill="1" applyBorder="1" applyAlignment="1">
      <alignment horizontal="center" vertical="center" wrapText="1"/>
      <protection/>
    </xf>
    <xf numFmtId="3" fontId="8" fillId="0" borderId="13" xfId="163" applyNumberFormat="1" applyFont="1" applyFill="1" applyBorder="1" applyAlignment="1">
      <alignment horizontal="center" vertical="center"/>
      <protection/>
    </xf>
    <xf numFmtId="0" fontId="9" fillId="8" borderId="13" xfId="136" applyFont="1" applyFill="1" applyBorder="1" applyAlignment="1">
      <alignment horizontal="center" vertical="center" wrapText="1"/>
      <protection/>
    </xf>
    <xf numFmtId="0" fontId="5" fillId="0" borderId="0" xfId="138" applyAlignment="1">
      <alignment horizontal="center"/>
      <protection/>
    </xf>
    <xf numFmtId="3" fontId="12" fillId="8" borderId="53" xfId="174" applyNumberFormat="1" applyFont="1" applyFill="1" applyBorder="1" applyAlignment="1">
      <alignment horizontal="center" vertical="center" wrapText="1"/>
      <protection/>
    </xf>
    <xf numFmtId="49" fontId="13" fillId="0" borderId="13" xfId="0" applyNumberFormat="1" applyFont="1" applyFill="1" applyBorder="1" applyAlignment="1">
      <alignment horizontal="center" vertical="center"/>
    </xf>
    <xf numFmtId="3" fontId="8" fillId="0" borderId="13" xfId="139" applyNumberFormat="1" applyFont="1" applyFill="1" applyBorder="1" applyAlignment="1">
      <alignment horizontal="center" vertical="center" wrapText="1"/>
      <protection/>
    </xf>
    <xf numFmtId="3" fontId="8" fillId="0" borderId="26" xfId="0" applyNumberFormat="1" applyFont="1" applyFill="1" applyBorder="1" applyAlignment="1">
      <alignment horizontal="left" vertical="center" wrapText="1"/>
    </xf>
    <xf numFmtId="0" fontId="8" fillId="0" borderId="14" xfId="166" applyFont="1" applyFill="1" applyBorder="1" applyAlignment="1">
      <alignment vertical="center" wrapText="1"/>
      <protection/>
    </xf>
    <xf numFmtId="0" fontId="8" fillId="0" borderId="54" xfId="139" applyFont="1" applyFill="1" applyBorder="1" applyAlignment="1">
      <alignment vertical="top" wrapText="1"/>
      <protection/>
    </xf>
    <xf numFmtId="0" fontId="8" fillId="0" borderId="13" xfId="145" applyFont="1" applyFill="1" applyBorder="1" applyAlignment="1">
      <alignment vertical="top" wrapText="1"/>
      <protection/>
    </xf>
    <xf numFmtId="0" fontId="8" fillId="0" borderId="13" xfId="163" applyFont="1" applyBorder="1" applyAlignment="1">
      <alignment vertical="center" wrapText="1"/>
      <protection/>
    </xf>
    <xf numFmtId="3" fontId="8" fillId="8" borderId="13" xfId="0" applyNumberFormat="1" applyFont="1" applyFill="1" applyBorder="1" applyAlignment="1">
      <alignment horizontal="center" vertical="center"/>
    </xf>
    <xf numFmtId="0" fontId="8" fillId="0" borderId="26" xfId="136" applyFont="1" applyBorder="1" applyAlignment="1">
      <alignment vertical="center"/>
      <protection/>
    </xf>
    <xf numFmtId="0" fontId="9" fillId="8" borderId="13" xfId="163" applyFont="1" applyFill="1" applyBorder="1" applyAlignment="1">
      <alignment vertical="center"/>
      <protection/>
    </xf>
    <xf numFmtId="3" fontId="13" fillId="8" borderId="15" xfId="0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" fontId="12" fillId="47" borderId="24" xfId="0" applyNumberFormat="1" applyFont="1" applyFill="1" applyBorder="1" applyAlignment="1">
      <alignment vertical="center"/>
    </xf>
    <xf numFmtId="3" fontId="13" fillId="47" borderId="24" xfId="0" applyNumberFormat="1" applyFont="1" applyFill="1" applyBorder="1" applyAlignment="1">
      <alignment vertical="center"/>
    </xf>
    <xf numFmtId="3" fontId="12" fillId="47" borderId="21" xfId="0" applyNumberFormat="1" applyFont="1" applyFill="1" applyBorder="1" applyAlignment="1">
      <alignment vertical="center"/>
    </xf>
    <xf numFmtId="3" fontId="13" fillId="47" borderId="21" xfId="0" applyNumberFormat="1" applyFont="1" applyFill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0" fontId="8" fillId="0" borderId="32" xfId="0" applyFont="1" applyFill="1" applyBorder="1" applyAlignment="1">
      <alignment vertical="top"/>
    </xf>
    <xf numFmtId="0" fontId="13" fillId="0" borderId="15" xfId="171" applyFont="1" applyFill="1" applyBorder="1" applyAlignment="1">
      <alignment vertical="center" wrapText="1"/>
      <protection/>
    </xf>
    <xf numFmtId="3" fontId="13" fillId="0" borderId="21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38" xfId="0" applyNumberFormat="1" applyFont="1" applyBorder="1" applyAlignment="1">
      <alignment horizontal="center" vertical="center"/>
    </xf>
    <xf numFmtId="3" fontId="13" fillId="0" borderId="36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3" fontId="13" fillId="0" borderId="13" xfId="171" applyNumberFormat="1" applyFont="1" applyFill="1" applyBorder="1" applyAlignment="1">
      <alignment horizontal="center" vertical="center" wrapText="1"/>
      <protection/>
    </xf>
    <xf numFmtId="3" fontId="12" fillId="0" borderId="15" xfId="0" applyNumberFormat="1" applyFont="1" applyBorder="1" applyAlignment="1">
      <alignment horizontal="center" vertical="center"/>
    </xf>
    <xf numFmtId="3" fontId="13" fillId="47" borderId="13" xfId="174" applyNumberFormat="1" applyFont="1" applyFill="1" applyBorder="1" applyAlignment="1">
      <alignment horizontal="center" vertical="top" wrapText="1"/>
      <protection/>
    </xf>
    <xf numFmtId="0" fontId="15" fillId="0" borderId="13" xfId="0" applyFont="1" applyBorder="1" applyAlignment="1">
      <alignment horizontal="center" vertical="center" wrapText="1"/>
    </xf>
    <xf numFmtId="0" fontId="8" fillId="8" borderId="38" xfId="0" applyFont="1" applyFill="1" applyBorder="1" applyAlignment="1">
      <alignment horizontal="center" vertical="center"/>
    </xf>
    <xf numFmtId="3" fontId="12" fillId="8" borderId="30" xfId="0" applyNumberFormat="1" applyFont="1" applyFill="1" applyBorder="1" applyAlignment="1">
      <alignment horizontal="center" vertical="center"/>
    </xf>
    <xf numFmtId="0" fontId="9" fillId="0" borderId="21" xfId="163" applyFont="1" applyBorder="1" applyAlignment="1">
      <alignment horizontal="center" vertical="center"/>
      <protection/>
    </xf>
    <xf numFmtId="0" fontId="8" fillId="0" borderId="21" xfId="163" applyFont="1" applyBorder="1" applyAlignment="1">
      <alignment vertical="center"/>
      <protection/>
    </xf>
    <xf numFmtId="0" fontId="3" fillId="8" borderId="13" xfId="0" applyFont="1" applyFill="1" applyBorder="1" applyAlignment="1">
      <alignment horizontal="center" vertical="center" wrapText="1"/>
    </xf>
    <xf numFmtId="0" fontId="9" fillId="8" borderId="13" xfId="136" applyFont="1" applyFill="1" applyBorder="1" applyAlignment="1">
      <alignment horizontal="center" vertical="top" wrapText="1"/>
      <protection/>
    </xf>
    <xf numFmtId="0" fontId="8" fillId="0" borderId="13" xfId="136" applyFont="1" applyFill="1" applyBorder="1" applyAlignment="1">
      <alignment horizontal="left" vertical="center" wrapText="1"/>
      <protection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32" xfId="155" applyNumberFormat="1" applyFont="1" applyFill="1" applyBorder="1" applyAlignment="1">
      <alignment vertical="top" wrapText="1"/>
      <protection/>
    </xf>
    <xf numFmtId="49" fontId="9" fillId="0" borderId="32" xfId="155" applyNumberFormat="1" applyFont="1" applyBorder="1" applyAlignment="1">
      <alignment horizontal="left" vertical="center" wrapText="1"/>
      <protection/>
    </xf>
    <xf numFmtId="0" fontId="9" fillId="0" borderId="14" xfId="168" applyFont="1" applyFill="1" applyBorder="1" applyAlignment="1">
      <alignment horizontal="left" vertical="center" wrapText="1"/>
      <protection/>
    </xf>
    <xf numFmtId="3" fontId="13" fillId="0" borderId="13" xfId="162" applyNumberFormat="1" applyFont="1" applyBorder="1" applyAlignment="1">
      <alignment horizontal="right" vertical="center"/>
      <protection/>
    </xf>
    <xf numFmtId="0" fontId="8" fillId="0" borderId="55" xfId="171" applyFont="1" applyFill="1" applyBorder="1" applyAlignment="1">
      <alignment vertical="center" wrapText="1"/>
      <protection/>
    </xf>
    <xf numFmtId="0" fontId="13" fillId="0" borderId="32" xfId="171" applyFont="1" applyFill="1" applyBorder="1" applyAlignment="1">
      <alignment vertical="center" wrapText="1"/>
      <protection/>
    </xf>
    <xf numFmtId="3" fontId="13" fillId="0" borderId="13" xfId="0" applyNumberFormat="1" applyFont="1" applyFill="1" applyBorder="1" applyAlignment="1">
      <alignment horizontal="left" vertical="center"/>
    </xf>
    <xf numFmtId="0" fontId="13" fillId="0" borderId="13" xfId="171" applyFont="1" applyFill="1" applyBorder="1" applyAlignment="1">
      <alignment horizontal="center" vertical="center" wrapText="1"/>
      <protection/>
    </xf>
    <xf numFmtId="3" fontId="8" fillId="0" borderId="13" xfId="0" applyNumberFormat="1" applyFont="1" applyBorder="1" applyAlignment="1">
      <alignment horizontal="right" vertical="center"/>
    </xf>
    <xf numFmtId="3" fontId="12" fillId="0" borderId="56" xfId="152" applyNumberFormat="1" applyFont="1" applyFill="1" applyBorder="1" applyAlignment="1">
      <alignment horizontal="center" vertical="center" wrapText="1"/>
      <protection/>
    </xf>
    <xf numFmtId="3" fontId="12" fillId="0" borderId="57" xfId="152" applyNumberFormat="1" applyFont="1" applyFill="1" applyBorder="1" applyAlignment="1">
      <alignment horizontal="center" vertical="center" wrapText="1"/>
      <protection/>
    </xf>
    <xf numFmtId="0" fontId="15" fillId="0" borderId="56" xfId="152" applyFont="1" applyFill="1" applyBorder="1" applyAlignment="1">
      <alignment horizontal="left" vertical="top"/>
      <protection/>
    </xf>
    <xf numFmtId="0" fontId="0" fillId="0" borderId="13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 wrapText="1"/>
    </xf>
    <xf numFmtId="0" fontId="8" fillId="0" borderId="13" xfId="146" applyFont="1" applyFill="1" applyBorder="1" applyAlignment="1">
      <alignment vertical="top" wrapText="1"/>
      <protection/>
    </xf>
    <xf numFmtId="3" fontId="8" fillId="0" borderId="13" xfId="146" applyNumberFormat="1" applyFont="1" applyFill="1" applyBorder="1" applyAlignment="1">
      <alignment horizontal="center" vertical="top" wrapText="1"/>
      <protection/>
    </xf>
    <xf numFmtId="0" fontId="8" fillId="0" borderId="13" xfId="141" applyFont="1" applyFill="1" applyBorder="1" applyAlignment="1">
      <alignment horizontal="center" vertical="center" wrapText="1"/>
      <protection/>
    </xf>
    <xf numFmtId="0" fontId="8" fillId="0" borderId="32" xfId="149" applyFont="1" applyFill="1" applyBorder="1" applyAlignment="1">
      <alignment vertical="top" wrapText="1"/>
      <protection/>
    </xf>
    <xf numFmtId="49" fontId="9" fillId="0" borderId="32" xfId="157" applyNumberFormat="1" applyFont="1" applyBorder="1" applyAlignment="1">
      <alignment horizontal="left" vertical="center" wrapText="1"/>
      <protection/>
    </xf>
    <xf numFmtId="49" fontId="13" fillId="0" borderId="32" xfId="157" applyNumberFormat="1" applyFont="1" applyBorder="1" applyAlignment="1">
      <alignment horizontal="left" vertical="center" wrapText="1"/>
      <protection/>
    </xf>
    <xf numFmtId="3" fontId="9" fillId="0" borderId="32" xfId="157" applyNumberFormat="1" applyFont="1" applyFill="1" applyBorder="1" applyAlignment="1">
      <alignment vertical="top" wrapText="1"/>
      <protection/>
    </xf>
    <xf numFmtId="3" fontId="13" fillId="0" borderId="32" xfId="157" applyNumberFormat="1" applyFont="1" applyBorder="1" applyAlignment="1">
      <alignment horizontal="left" vertical="top" wrapText="1"/>
      <protection/>
    </xf>
    <xf numFmtId="3" fontId="13" fillId="0" borderId="32" xfId="157" applyNumberFormat="1" applyFont="1" applyFill="1" applyBorder="1" applyAlignment="1">
      <alignment vertical="top" wrapText="1"/>
      <protection/>
    </xf>
    <xf numFmtId="49" fontId="13" fillId="0" borderId="32" xfId="157" applyNumberFormat="1" applyFont="1" applyFill="1" applyBorder="1" applyAlignment="1">
      <alignment horizontal="left" vertical="center" wrapText="1"/>
      <protection/>
    </xf>
    <xf numFmtId="3" fontId="24" fillId="0" borderId="32" xfId="157" applyNumberFormat="1" applyFont="1" applyFill="1" applyBorder="1" applyAlignment="1">
      <alignment vertical="top" wrapText="1"/>
      <protection/>
    </xf>
    <xf numFmtId="49" fontId="8" fillId="0" borderId="33" xfId="157" applyNumberFormat="1" applyFont="1" applyFill="1" applyBorder="1" applyAlignment="1">
      <alignment horizontal="left" vertical="center" wrapText="1"/>
      <protection/>
    </xf>
    <xf numFmtId="49" fontId="8" fillId="0" borderId="44" xfId="157" applyNumberFormat="1" applyFont="1" applyFill="1" applyBorder="1" applyAlignment="1">
      <alignment horizontal="left" vertical="center" wrapText="1"/>
      <protection/>
    </xf>
    <xf numFmtId="49" fontId="8" fillId="0" borderId="44" xfId="157" applyNumberFormat="1" applyFont="1" applyBorder="1" applyAlignment="1">
      <alignment horizontal="left" vertical="center" wrapText="1"/>
      <protection/>
    </xf>
    <xf numFmtId="0" fontId="8" fillId="0" borderId="45" xfId="170" applyFont="1" applyFill="1" applyBorder="1" applyAlignment="1">
      <alignment vertical="center" wrapText="1"/>
      <protection/>
    </xf>
    <xf numFmtId="0" fontId="9" fillId="0" borderId="14" xfId="170" applyFont="1" applyFill="1" applyBorder="1" applyAlignment="1">
      <alignment horizontal="left" vertical="center" wrapText="1"/>
      <protection/>
    </xf>
    <xf numFmtId="49" fontId="8" fillId="0" borderId="26" xfId="157" applyNumberFormat="1" applyFont="1" applyFill="1" applyBorder="1" applyAlignment="1">
      <alignment horizontal="left" vertical="center" wrapText="1"/>
      <protection/>
    </xf>
    <xf numFmtId="49" fontId="8" fillId="0" borderId="32" xfId="157" applyNumberFormat="1" applyFont="1" applyFill="1" applyBorder="1" applyAlignment="1">
      <alignment horizontal="left" vertical="center" wrapText="1"/>
      <protection/>
    </xf>
    <xf numFmtId="0" fontId="8" fillId="0" borderId="32" xfId="141" applyFont="1" applyFill="1" applyBorder="1" applyAlignment="1">
      <alignment vertical="top" wrapText="1"/>
      <protection/>
    </xf>
    <xf numFmtId="0" fontId="8" fillId="0" borderId="32" xfId="170" applyFont="1" applyFill="1" applyBorder="1" applyAlignment="1">
      <alignment vertical="center" wrapText="1"/>
      <protection/>
    </xf>
    <xf numFmtId="0" fontId="9" fillId="0" borderId="32" xfId="170" applyFont="1" applyBorder="1" applyAlignment="1">
      <alignment vertical="center"/>
      <protection/>
    </xf>
    <xf numFmtId="0" fontId="9" fillId="0" borderId="14" xfId="149" applyFont="1" applyFill="1" applyBorder="1" applyAlignment="1">
      <alignment horizontal="left" vertical="top" wrapText="1"/>
      <protection/>
    </xf>
    <xf numFmtId="49" fontId="8" fillId="0" borderId="14" xfId="157" applyNumberFormat="1" applyFont="1" applyFill="1" applyBorder="1" applyAlignment="1">
      <alignment horizontal="left" vertical="center" wrapText="1"/>
      <protection/>
    </xf>
    <xf numFmtId="0" fontId="8" fillId="0" borderId="32" xfId="170" applyFont="1" applyFill="1" applyBorder="1" applyAlignment="1">
      <alignment vertical="center"/>
      <protection/>
    </xf>
    <xf numFmtId="0" fontId="13" fillId="0" borderId="0" xfId="149" applyFont="1" applyFill="1" applyBorder="1" applyAlignment="1">
      <alignment vertical="top" wrapText="1"/>
      <protection/>
    </xf>
    <xf numFmtId="49" fontId="8" fillId="0" borderId="32" xfId="157" applyNumberFormat="1" applyFont="1" applyFill="1" applyBorder="1" applyAlignment="1">
      <alignment horizontal="left" vertical="center"/>
      <protection/>
    </xf>
    <xf numFmtId="0" fontId="8" fillId="0" borderId="0" xfId="170" applyFont="1" applyFill="1" applyBorder="1" applyAlignment="1">
      <alignment vertical="center" wrapText="1"/>
      <protection/>
    </xf>
    <xf numFmtId="3" fontId="13" fillId="0" borderId="36" xfId="170" applyNumberFormat="1" applyFont="1" applyFill="1" applyBorder="1" applyAlignment="1">
      <alignment horizontal="right" vertical="center"/>
      <protection/>
    </xf>
    <xf numFmtId="3" fontId="13" fillId="0" borderId="52" xfId="170" applyNumberFormat="1" applyFont="1" applyFill="1" applyBorder="1" applyAlignment="1">
      <alignment horizontal="right" vertical="center"/>
      <protection/>
    </xf>
    <xf numFmtId="3" fontId="13" fillId="0" borderId="36" xfId="149" applyNumberFormat="1" applyFont="1" applyBorder="1" applyAlignment="1">
      <alignment horizontal="right" vertical="center"/>
      <protection/>
    </xf>
    <xf numFmtId="3" fontId="13" fillId="0" borderId="37" xfId="170" applyNumberFormat="1" applyFont="1" applyFill="1" applyBorder="1" applyAlignment="1">
      <alignment horizontal="right" vertical="center"/>
      <protection/>
    </xf>
    <xf numFmtId="3" fontId="13" fillId="0" borderId="58" xfId="170" applyNumberFormat="1" applyFont="1" applyFill="1" applyBorder="1" applyAlignment="1">
      <alignment horizontal="right" vertical="center"/>
      <protection/>
    </xf>
    <xf numFmtId="3" fontId="8" fillId="0" borderId="37" xfId="149" applyNumberFormat="1" applyFont="1" applyBorder="1">
      <alignment/>
      <protection/>
    </xf>
    <xf numFmtId="3" fontId="8" fillId="0" borderId="13" xfId="149" applyNumberFormat="1" applyFont="1" applyBorder="1">
      <alignment/>
      <protection/>
    </xf>
    <xf numFmtId="3" fontId="13" fillId="0" borderId="13" xfId="170" applyNumberFormat="1" applyFont="1" applyFill="1" applyBorder="1" applyAlignment="1">
      <alignment horizontal="right" vertical="center"/>
      <protection/>
    </xf>
    <xf numFmtId="3" fontId="13" fillId="0" borderId="39" xfId="170" applyNumberFormat="1" applyFont="1" applyFill="1" applyBorder="1" applyAlignment="1">
      <alignment horizontal="right" vertical="center"/>
      <protection/>
    </xf>
    <xf numFmtId="3" fontId="13" fillId="0" borderId="59" xfId="170" applyNumberFormat="1" applyFont="1" applyFill="1" applyBorder="1" applyAlignment="1">
      <alignment horizontal="right" vertical="center"/>
      <protection/>
    </xf>
    <xf numFmtId="3" fontId="8" fillId="0" borderId="36" xfId="149" applyNumberFormat="1" applyFont="1" applyBorder="1">
      <alignment/>
      <protection/>
    </xf>
    <xf numFmtId="3" fontId="8" fillId="0" borderId="36" xfId="170" applyNumberFormat="1" applyFont="1" applyFill="1" applyBorder="1" applyAlignment="1">
      <alignment horizontal="right" vertical="center"/>
      <protection/>
    </xf>
    <xf numFmtId="3" fontId="8" fillId="0" borderId="52" xfId="170" applyNumberFormat="1" applyFont="1" applyFill="1" applyBorder="1" applyAlignment="1">
      <alignment horizontal="right" vertical="center"/>
      <protection/>
    </xf>
    <xf numFmtId="0" fontId="8" fillId="48" borderId="14" xfId="149" applyFont="1" applyFill="1" applyBorder="1" applyAlignment="1">
      <alignment vertical="top"/>
      <protection/>
    </xf>
    <xf numFmtId="0" fontId="8" fillId="48" borderId="14" xfId="149" applyFont="1" applyFill="1" applyBorder="1" applyAlignment="1">
      <alignment vertical="top" wrapText="1"/>
      <protection/>
    </xf>
    <xf numFmtId="0" fontId="13" fillId="0" borderId="32" xfId="170" applyFont="1" applyBorder="1" applyAlignment="1">
      <alignment vertical="center"/>
      <protection/>
    </xf>
    <xf numFmtId="3" fontId="13" fillId="0" borderId="13" xfId="160" applyNumberFormat="1" applyFont="1" applyFill="1" applyBorder="1" applyAlignment="1">
      <alignment horizontal="right" vertical="center" wrapText="1"/>
      <protection/>
    </xf>
    <xf numFmtId="3" fontId="13" fillId="0" borderId="13" xfId="161" applyNumberFormat="1" applyFont="1" applyFill="1" applyBorder="1" applyAlignment="1">
      <alignment horizontal="right" vertical="center" wrapText="1"/>
      <protection/>
    </xf>
    <xf numFmtId="3" fontId="13" fillId="0" borderId="13" xfId="161" applyNumberFormat="1" applyFont="1" applyFill="1" applyBorder="1" applyAlignment="1">
      <alignment horizontal="right" vertical="center"/>
      <protection/>
    </xf>
    <xf numFmtId="3" fontId="13" fillId="0" borderId="13" xfId="161" applyNumberFormat="1" applyFont="1" applyBorder="1" applyAlignment="1">
      <alignment horizontal="right" vertical="center"/>
      <protection/>
    </xf>
    <xf numFmtId="3" fontId="13" fillId="0" borderId="13" xfId="164" applyNumberFormat="1" applyFont="1" applyFill="1" applyBorder="1" applyAlignment="1">
      <alignment horizontal="right" vertical="center"/>
      <protection/>
    </xf>
    <xf numFmtId="3" fontId="12" fillId="8" borderId="13" xfId="137" applyNumberFormat="1" applyFont="1" applyFill="1" applyBorder="1" applyAlignment="1">
      <alignment horizontal="right" vertical="center" wrapText="1"/>
      <protection/>
    </xf>
    <xf numFmtId="3" fontId="22" fillId="0" borderId="13" xfId="160" applyNumberFormat="1" applyFont="1" applyFill="1" applyBorder="1" applyAlignment="1">
      <alignment horizontal="right" vertical="center" wrapText="1"/>
      <protection/>
    </xf>
    <xf numFmtId="3" fontId="9" fillId="8" borderId="13" xfId="137" applyNumberFormat="1" applyFont="1" applyFill="1" applyBorder="1" applyAlignment="1">
      <alignment horizontal="right" vertical="center" wrapText="1"/>
      <protection/>
    </xf>
    <xf numFmtId="3" fontId="9" fillId="8" borderId="13" xfId="137" applyNumberFormat="1" applyFont="1" applyFill="1" applyBorder="1" applyAlignment="1">
      <alignment vertical="center" wrapText="1"/>
      <protection/>
    </xf>
    <xf numFmtId="3" fontId="8" fillId="0" borderId="13" xfId="174" applyNumberFormat="1" applyFont="1" applyFill="1" applyBorder="1" applyAlignment="1">
      <alignment horizontal="right" vertical="center" wrapText="1"/>
      <protection/>
    </xf>
    <xf numFmtId="3" fontId="9" fillId="0" borderId="13" xfId="174" applyNumberFormat="1" applyFont="1" applyBorder="1" applyAlignment="1">
      <alignment horizontal="right" vertical="center"/>
      <protection/>
    </xf>
    <xf numFmtId="3" fontId="8" fillId="0" borderId="13" xfId="174" applyNumberFormat="1" applyFont="1" applyBorder="1" applyAlignment="1">
      <alignment horizontal="right" vertical="center"/>
      <protection/>
    </xf>
    <xf numFmtId="3" fontId="9" fillId="0" borderId="13" xfId="174" applyNumberFormat="1" applyFont="1" applyFill="1" applyBorder="1" applyAlignment="1">
      <alignment horizontal="right" vertical="center"/>
      <protection/>
    </xf>
    <xf numFmtId="3" fontId="9" fillId="0" borderId="13" xfId="174" applyNumberFormat="1" applyFont="1" applyBorder="1" applyAlignment="1">
      <alignment horizontal="right" vertical="center" wrapText="1"/>
      <protection/>
    </xf>
    <xf numFmtId="3" fontId="9" fillId="8" borderId="13" xfId="174" applyNumberFormat="1" applyFont="1" applyFill="1" applyBorder="1" applyAlignment="1">
      <alignment horizontal="right" vertical="center"/>
      <protection/>
    </xf>
    <xf numFmtId="3" fontId="16" fillId="8" borderId="60" xfId="174" applyNumberFormat="1" applyFont="1" applyFill="1" applyBorder="1" applyAlignment="1">
      <alignment horizontal="center" vertical="center"/>
      <protection/>
    </xf>
    <xf numFmtId="3" fontId="16" fillId="8" borderId="27" xfId="174" applyNumberFormat="1" applyFont="1" applyFill="1" applyBorder="1" applyAlignment="1">
      <alignment horizontal="center" vertical="center"/>
      <protection/>
    </xf>
    <xf numFmtId="0" fontId="13" fillId="0" borderId="13" xfId="0" applyFont="1" applyFill="1" applyBorder="1" applyAlignment="1">
      <alignment horizontal="center" vertical="center"/>
    </xf>
    <xf numFmtId="3" fontId="8" fillId="0" borderId="13" xfId="140" applyNumberFormat="1" applyFont="1" applyFill="1" applyBorder="1" applyAlignment="1">
      <alignment vertical="top" wrapText="1"/>
      <protection/>
    </xf>
    <xf numFmtId="3" fontId="8" fillId="48" borderId="37" xfId="149" applyNumberFormat="1" applyFont="1" applyFill="1" applyBorder="1" applyAlignment="1">
      <alignment horizontal="right" vertical="top"/>
      <protection/>
    </xf>
    <xf numFmtId="3" fontId="8" fillId="48" borderId="58" xfId="149" applyNumberFormat="1" applyFont="1" applyFill="1" applyBorder="1" applyAlignment="1">
      <alignment horizontal="right" vertical="top"/>
      <protection/>
    </xf>
    <xf numFmtId="3" fontId="8" fillId="48" borderId="13" xfId="149" applyNumberFormat="1" applyFont="1" applyFill="1" applyBorder="1" applyAlignment="1">
      <alignment horizontal="right" vertical="top"/>
      <protection/>
    </xf>
    <xf numFmtId="3" fontId="8" fillId="48" borderId="13" xfId="149" applyNumberFormat="1" applyFont="1" applyFill="1" applyBorder="1" applyAlignment="1">
      <alignment horizontal="right" vertical="center"/>
      <protection/>
    </xf>
    <xf numFmtId="3" fontId="8" fillId="0" borderId="13" xfId="149" applyNumberFormat="1" applyFont="1" applyBorder="1" applyAlignment="1">
      <alignment vertical="center"/>
      <protection/>
    </xf>
    <xf numFmtId="3" fontId="14" fillId="0" borderId="14" xfId="174" applyNumberFormat="1" applyFont="1" applyFill="1" applyBorder="1" applyAlignment="1">
      <alignment vertical="center"/>
      <protection/>
    </xf>
    <xf numFmtId="3" fontId="13" fillId="47" borderId="26" xfId="0" applyNumberFormat="1" applyFont="1" applyFill="1" applyBorder="1" applyAlignment="1">
      <alignment vertical="center"/>
    </xf>
    <xf numFmtId="3" fontId="13" fillId="47" borderId="34" xfId="0" applyNumberFormat="1" applyFont="1" applyFill="1" applyBorder="1" applyAlignment="1">
      <alignment vertical="center"/>
    </xf>
    <xf numFmtId="3" fontId="13" fillId="0" borderId="26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2" fillId="8" borderId="26" xfId="0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47" borderId="13" xfId="0" applyNumberFormat="1" applyFont="1" applyFill="1" applyBorder="1" applyAlignment="1">
      <alignment vertical="center"/>
    </xf>
    <xf numFmtId="0" fontId="8" fillId="0" borderId="54" xfId="139" applyFont="1" applyFill="1" applyBorder="1" applyAlignment="1">
      <alignment vertical="center" wrapText="1"/>
      <protection/>
    </xf>
    <xf numFmtId="0" fontId="9" fillId="0" borderId="14" xfId="163" applyFont="1" applyBorder="1" applyAlignment="1">
      <alignment vertical="center" wrapText="1"/>
      <protection/>
    </xf>
    <xf numFmtId="49" fontId="8" fillId="0" borderId="13" xfId="0" applyNumberFormat="1" applyFont="1" applyFill="1" applyBorder="1" applyAlignment="1">
      <alignment horizontal="left" vertical="top" wrapText="1"/>
    </xf>
    <xf numFmtId="0" fontId="8" fillId="0" borderId="13" xfId="150" applyFont="1" applyFill="1" applyBorder="1" applyAlignment="1">
      <alignment horizontal="center" vertical="top" wrapText="1"/>
      <protection/>
    </xf>
    <xf numFmtId="0" fontId="8" fillId="0" borderId="13" xfId="172" applyFont="1" applyFill="1" applyBorder="1" applyAlignment="1">
      <alignment vertical="center" wrapText="1"/>
      <protection/>
    </xf>
    <xf numFmtId="0" fontId="13" fillId="0" borderId="13" xfId="136" applyFont="1" applyFill="1" applyBorder="1" applyAlignment="1">
      <alignment horizontal="left" vertical="center" wrapText="1"/>
      <protection/>
    </xf>
    <xf numFmtId="49" fontId="8" fillId="0" borderId="44" xfId="155" applyNumberFormat="1" applyFont="1" applyFill="1" applyBorder="1" applyAlignment="1">
      <alignment horizontal="left" vertical="center" wrapText="1"/>
      <protection/>
    </xf>
    <xf numFmtId="3" fontId="13" fillId="0" borderId="13" xfId="153" applyNumberFormat="1" applyFont="1" applyFill="1" applyBorder="1" applyAlignment="1">
      <alignment vertical="center" wrapText="1"/>
      <protection/>
    </xf>
    <xf numFmtId="0" fontId="8" fillId="0" borderId="13" xfId="168" applyFont="1" applyFill="1" applyBorder="1" applyAlignment="1">
      <alignment vertical="center" wrapText="1"/>
      <protection/>
    </xf>
    <xf numFmtId="49" fontId="13" fillId="0" borderId="13" xfId="0" applyNumberFormat="1" applyFont="1" applyFill="1" applyBorder="1" applyAlignment="1">
      <alignment vertical="center" wrapText="1"/>
    </xf>
    <xf numFmtId="0" fontId="8" fillId="0" borderId="13" xfId="150" applyFont="1" applyFill="1" applyBorder="1" applyAlignment="1">
      <alignment horizontal="center" vertical="center"/>
      <protection/>
    </xf>
    <xf numFmtId="0" fontId="8" fillId="48" borderId="13" xfId="150" applyFont="1" applyFill="1" applyBorder="1" applyAlignment="1">
      <alignment horizontal="center" vertical="top" wrapText="1"/>
      <protection/>
    </xf>
    <xf numFmtId="0" fontId="13" fillId="0" borderId="13" xfId="147" applyFont="1" applyFill="1" applyBorder="1" applyAlignment="1">
      <alignment vertical="top" wrapText="1"/>
      <protection/>
    </xf>
    <xf numFmtId="0" fontId="8" fillId="0" borderId="13" xfId="139" applyFont="1" applyFill="1" applyBorder="1" applyAlignment="1">
      <alignment vertical="center" wrapText="1"/>
      <protection/>
    </xf>
    <xf numFmtId="0" fontId="8" fillId="0" borderId="13" xfId="163" applyFont="1" applyFill="1" applyBorder="1" applyAlignment="1">
      <alignment horizontal="center" vertical="center" wrapText="1"/>
      <protection/>
    </xf>
    <xf numFmtId="3" fontId="13" fillId="0" borderId="32" xfId="0" applyNumberFormat="1" applyFont="1" applyFill="1" applyBorder="1" applyAlignment="1">
      <alignment vertical="center" wrapText="1"/>
    </xf>
    <xf numFmtId="0" fontId="13" fillId="0" borderId="14" xfId="139" applyFont="1" applyFill="1" applyBorder="1" applyAlignment="1">
      <alignment vertical="center" wrapText="1"/>
      <protection/>
    </xf>
    <xf numFmtId="0" fontId="8" fillId="0" borderId="0" xfId="154" applyFont="1" applyBorder="1" applyAlignment="1">
      <alignment horizontal="left" vertical="center" wrapText="1"/>
      <protection/>
    </xf>
    <xf numFmtId="3" fontId="13" fillId="0" borderId="13" xfId="137" applyNumberFormat="1" applyFont="1" applyFill="1" applyBorder="1" applyAlignment="1">
      <alignment vertical="center"/>
      <protection/>
    </xf>
    <xf numFmtId="0" fontId="13" fillId="0" borderId="13" xfId="139" applyFont="1" applyFill="1" applyBorder="1" applyAlignment="1">
      <alignment vertical="center" wrapText="1"/>
      <protection/>
    </xf>
    <xf numFmtId="3" fontId="13" fillId="0" borderId="61" xfId="0" applyNumberFormat="1" applyFont="1" applyBorder="1" applyAlignment="1">
      <alignment horizontal="left" vertical="center"/>
    </xf>
    <xf numFmtId="0" fontId="8" fillId="0" borderId="45" xfId="154" applyFont="1" applyBorder="1" applyAlignment="1">
      <alignment horizontal="left" vertical="center" wrapText="1"/>
      <protection/>
    </xf>
    <xf numFmtId="3" fontId="13" fillId="0" borderId="38" xfId="0" applyNumberFormat="1" applyFont="1" applyFill="1" applyBorder="1" applyAlignment="1">
      <alignment vertical="center"/>
    </xf>
    <xf numFmtId="0" fontId="8" fillId="0" borderId="14" xfId="154" applyFont="1" applyBorder="1" applyAlignment="1">
      <alignment horizontal="left" vertical="center" wrapText="1"/>
      <protection/>
    </xf>
    <xf numFmtId="3" fontId="13" fillId="0" borderId="62" xfId="0" applyNumberFormat="1" applyFont="1" applyBorder="1" applyAlignment="1">
      <alignment horizontal="left" vertical="center"/>
    </xf>
    <xf numFmtId="0" fontId="13" fillId="0" borderId="32" xfId="148" applyFont="1" applyFill="1" applyBorder="1" applyAlignment="1">
      <alignment vertical="top" wrapText="1"/>
      <protection/>
    </xf>
    <xf numFmtId="49" fontId="8" fillId="0" borderId="13" xfId="163" applyNumberFormat="1" applyFont="1" applyFill="1" applyBorder="1" applyAlignment="1">
      <alignment horizontal="center" vertical="center"/>
      <protection/>
    </xf>
    <xf numFmtId="0" fontId="8" fillId="0" borderId="34" xfId="163" applyFont="1" applyFill="1" applyBorder="1" applyAlignment="1">
      <alignment vertical="center"/>
      <protection/>
    </xf>
    <xf numFmtId="3" fontId="20" fillId="0" borderId="13" xfId="163" applyNumberFormat="1" applyFont="1" applyFill="1" applyBorder="1" applyAlignment="1">
      <alignment vertical="center"/>
      <protection/>
    </xf>
    <xf numFmtId="0" fontId="13" fillId="0" borderId="0" xfId="136" applyFont="1" applyFill="1" applyBorder="1" applyAlignment="1">
      <alignment horizontal="left" vertical="center" wrapText="1"/>
      <protection/>
    </xf>
    <xf numFmtId="0" fontId="8" fillId="0" borderId="14" xfId="168" applyFont="1" applyFill="1" applyBorder="1" applyAlignment="1">
      <alignment vertical="center" wrapText="1"/>
      <protection/>
    </xf>
    <xf numFmtId="0" fontId="8" fillId="0" borderId="13" xfId="154" applyFont="1" applyFill="1" applyBorder="1" applyAlignment="1">
      <alignment vertical="center" wrapText="1"/>
      <protection/>
    </xf>
    <xf numFmtId="0" fontId="8" fillId="0" borderId="14" xfId="154" applyFont="1" applyFill="1" applyBorder="1" applyAlignment="1">
      <alignment vertical="center" wrapText="1"/>
      <protection/>
    </xf>
    <xf numFmtId="3" fontId="13" fillId="0" borderId="24" xfId="0" applyNumberFormat="1" applyFont="1" applyFill="1" applyBorder="1" applyAlignment="1">
      <alignment horizontal="center" vertical="center"/>
    </xf>
    <xf numFmtId="0" fontId="8" fillId="0" borderId="13" xfId="154" applyFont="1" applyFill="1" applyBorder="1" applyAlignment="1">
      <alignment horizontal="left" vertical="center" wrapText="1"/>
      <protection/>
    </xf>
    <xf numFmtId="0" fontId="13" fillId="0" borderId="13" xfId="171" applyFont="1" applyFill="1" applyBorder="1" applyAlignment="1">
      <alignment vertical="center" wrapText="1"/>
      <protection/>
    </xf>
    <xf numFmtId="3" fontId="13" fillId="0" borderId="47" xfId="0" applyNumberFormat="1" applyFont="1" applyBorder="1" applyAlignment="1">
      <alignment vertical="center"/>
    </xf>
    <xf numFmtId="3" fontId="13" fillId="0" borderId="55" xfId="0" applyNumberFormat="1" applyFont="1" applyBorder="1" applyAlignment="1">
      <alignment vertical="center"/>
    </xf>
    <xf numFmtId="49" fontId="13" fillId="0" borderId="32" xfId="173" applyNumberFormat="1" applyFont="1" applyBorder="1" applyAlignment="1">
      <alignment horizontal="left" vertical="center" wrapText="1"/>
      <protection/>
    </xf>
    <xf numFmtId="49" fontId="13" fillId="0" borderId="32" xfId="173" applyNumberFormat="1" applyFont="1" applyFill="1" applyBorder="1" applyAlignment="1">
      <alignment horizontal="left" vertical="center" wrapText="1"/>
      <protection/>
    </xf>
    <xf numFmtId="0" fontId="13" fillId="0" borderId="32" xfId="154" applyFont="1" applyFill="1" applyBorder="1" applyAlignment="1">
      <alignment vertical="center" wrapText="1"/>
      <protection/>
    </xf>
    <xf numFmtId="0" fontId="8" fillId="0" borderId="44" xfId="154" applyFont="1" applyFill="1" applyBorder="1" applyAlignment="1">
      <alignment horizontal="left" vertical="center" wrapText="1"/>
      <protection/>
    </xf>
    <xf numFmtId="0" fontId="8" fillId="0" borderId="33" xfId="154" applyFont="1" applyFill="1" applyBorder="1" applyAlignment="1">
      <alignment horizontal="left" vertical="center" wrapText="1"/>
      <protection/>
    </xf>
    <xf numFmtId="0" fontId="8" fillId="0" borderId="32" xfId="154" applyFont="1" applyFill="1" applyBorder="1" applyAlignment="1">
      <alignment horizontal="left" vertical="center" wrapText="1"/>
      <protection/>
    </xf>
    <xf numFmtId="0" fontId="8" fillId="0" borderId="32" xfId="154" applyFont="1" applyFill="1" applyBorder="1" applyAlignment="1">
      <alignment vertical="center" wrapText="1"/>
      <protection/>
    </xf>
    <xf numFmtId="49" fontId="8" fillId="0" borderId="32" xfId="154" applyNumberFormat="1" applyFont="1" applyFill="1" applyBorder="1" applyAlignment="1">
      <alignment vertical="center" wrapText="1"/>
      <protection/>
    </xf>
    <xf numFmtId="0" fontId="8" fillId="0" borderId="32" xfId="154" applyFont="1" applyBorder="1" applyAlignment="1">
      <alignment vertical="center" wrapText="1"/>
      <protection/>
    </xf>
    <xf numFmtId="3" fontId="13" fillId="0" borderId="52" xfId="0" applyNumberFormat="1" applyFont="1" applyBorder="1" applyAlignment="1">
      <alignment vertical="center"/>
    </xf>
    <xf numFmtId="3" fontId="13" fillId="0" borderId="61" xfId="0" applyNumberFormat="1" applyFont="1" applyBorder="1" applyAlignment="1">
      <alignment vertical="center" wrapText="1"/>
    </xf>
    <xf numFmtId="3" fontId="12" fillId="8" borderId="63" xfId="174" applyNumberFormat="1" applyFont="1" applyFill="1" applyBorder="1" applyAlignment="1">
      <alignment horizontal="center" vertical="center" wrapText="1"/>
      <protection/>
    </xf>
    <xf numFmtId="3" fontId="13" fillId="0" borderId="14" xfId="174" applyNumberFormat="1" applyFont="1" applyFill="1" applyBorder="1" applyAlignment="1">
      <alignment vertical="center" wrapText="1"/>
      <protection/>
    </xf>
    <xf numFmtId="3" fontId="13" fillId="0" borderId="13" xfId="98" applyNumberFormat="1" applyFont="1" applyFill="1" applyBorder="1" applyAlignment="1">
      <alignment horizontal="center" vertical="center"/>
    </xf>
    <xf numFmtId="3" fontId="5" fillId="0" borderId="0" xfId="137" applyNumberFormat="1" applyFont="1" applyAlignment="1">
      <alignment vertical="center"/>
      <protection/>
    </xf>
    <xf numFmtId="0" fontId="13" fillId="0" borderId="0" xfId="171" applyFont="1" applyFill="1" applyBorder="1" applyAlignment="1">
      <alignment vertical="center" wrapText="1"/>
      <protection/>
    </xf>
    <xf numFmtId="0" fontId="13" fillId="0" borderId="15" xfId="171" applyFont="1" applyFill="1" applyBorder="1" applyAlignment="1">
      <alignment horizontal="center" vertical="center" wrapText="1"/>
      <protection/>
    </xf>
    <xf numFmtId="3" fontId="18" fillId="8" borderId="0" xfId="152" applyNumberFormat="1" applyFont="1" applyFill="1" applyBorder="1" applyAlignment="1">
      <alignment vertical="center"/>
      <protection/>
    </xf>
    <xf numFmtId="0" fontId="8" fillId="0" borderId="13" xfId="139" applyFont="1" applyFill="1" applyBorder="1" applyAlignment="1">
      <alignment vertical="top" wrapText="1"/>
      <protection/>
    </xf>
    <xf numFmtId="3" fontId="8" fillId="0" borderId="36" xfId="0" applyNumberFormat="1" applyFont="1" applyFill="1" applyBorder="1" applyAlignment="1">
      <alignment horizontal="left" vertical="center" wrapText="1"/>
    </xf>
    <xf numFmtId="0" fontId="13" fillId="0" borderId="13" xfId="163" applyFont="1" applyFill="1" applyBorder="1" applyAlignment="1">
      <alignment vertical="center"/>
      <protection/>
    </xf>
    <xf numFmtId="3" fontId="5" fillId="0" borderId="0" xfId="138" applyNumberFormat="1">
      <alignment/>
      <protection/>
    </xf>
    <xf numFmtId="0" fontId="8" fillId="0" borderId="13" xfId="168" applyFont="1" applyBorder="1" applyAlignment="1">
      <alignment vertical="center"/>
      <protection/>
    </xf>
    <xf numFmtId="3" fontId="8" fillId="0" borderId="36" xfId="0" applyNumberFormat="1" applyFont="1" applyFill="1" applyBorder="1" applyAlignment="1">
      <alignment horizontal="left" vertical="center"/>
    </xf>
    <xf numFmtId="1" fontId="13" fillId="0" borderId="13" xfId="0" applyNumberFormat="1" applyFont="1" applyFill="1" applyBorder="1" applyAlignment="1">
      <alignment horizontal="center" vertical="center"/>
    </xf>
    <xf numFmtId="3" fontId="13" fillId="0" borderId="14" xfId="139" applyNumberFormat="1" applyFont="1" applyFill="1" applyBorder="1" applyAlignment="1">
      <alignment vertical="center" wrapText="1"/>
      <protection/>
    </xf>
    <xf numFmtId="3" fontId="13" fillId="0" borderId="30" xfId="0" applyNumberFormat="1" applyFont="1" applyFill="1" applyBorder="1" applyAlignment="1">
      <alignment horizontal="center" vertical="center"/>
    </xf>
    <xf numFmtId="0" fontId="8" fillId="0" borderId="13" xfId="136" applyFont="1" applyFill="1" applyBorder="1" applyAlignment="1">
      <alignment horizontal="left" vertical="center"/>
      <protection/>
    </xf>
    <xf numFmtId="3" fontId="8" fillId="0" borderId="0" xfId="0" applyNumberFormat="1" applyFont="1" applyFill="1" applyBorder="1" applyAlignment="1">
      <alignment horizontal="left" vertical="center"/>
    </xf>
    <xf numFmtId="0" fontId="68" fillId="0" borderId="13" xfId="136" applyFont="1" applyFill="1" applyBorder="1" applyAlignment="1">
      <alignment horizontal="left" vertical="center" wrapText="1"/>
      <protection/>
    </xf>
    <xf numFmtId="0" fontId="8" fillId="0" borderId="13" xfId="136" applyFont="1" applyFill="1" applyBorder="1" applyAlignment="1">
      <alignment horizontal="left" vertical="center" wrapText="1"/>
      <protection/>
    </xf>
    <xf numFmtId="0" fontId="8" fillId="0" borderId="14" xfId="136" applyFont="1" applyFill="1" applyBorder="1" applyAlignment="1">
      <alignment horizontal="left" vertical="center" wrapText="1"/>
      <protection/>
    </xf>
    <xf numFmtId="0" fontId="8" fillId="0" borderId="0" xfId="150" applyFont="1" applyFill="1" applyBorder="1" applyAlignment="1">
      <alignment horizontal="center" vertical="top" wrapText="1"/>
      <protection/>
    </xf>
    <xf numFmtId="1" fontId="13" fillId="0" borderId="15" xfId="0" applyNumberFormat="1" applyFont="1" applyFill="1" applyBorder="1" applyAlignment="1">
      <alignment horizontal="center" vertical="center"/>
    </xf>
    <xf numFmtId="0" fontId="5" fillId="0" borderId="0" xfId="138" applyFont="1">
      <alignment/>
      <protection/>
    </xf>
    <xf numFmtId="3" fontId="25" fillId="0" borderId="13" xfId="0" applyNumberFormat="1" applyFont="1" applyBorder="1" applyAlignment="1">
      <alignment vertical="center"/>
    </xf>
    <xf numFmtId="3" fontId="64" fillId="0" borderId="0" xfId="0" applyNumberFormat="1" applyFont="1" applyAlignment="1">
      <alignment vertical="center"/>
    </xf>
    <xf numFmtId="49" fontId="13" fillId="0" borderId="13" xfId="0" applyNumberFormat="1" applyFont="1" applyFill="1" applyBorder="1" applyAlignment="1">
      <alignment horizontal="left" vertical="center" wrapText="1"/>
    </xf>
    <xf numFmtId="0" fontId="8" fillId="0" borderId="13" xfId="163" applyFont="1" applyFill="1" applyBorder="1" applyAlignment="1">
      <alignment vertical="center" wrapText="1"/>
      <protection/>
    </xf>
    <xf numFmtId="3" fontId="8" fillId="0" borderId="39" xfId="149" applyNumberFormat="1" applyFont="1" applyBorder="1" applyAlignment="1">
      <alignment vertical="center"/>
      <protection/>
    </xf>
    <xf numFmtId="3" fontId="13" fillId="48" borderId="13" xfId="149" applyNumberFormat="1" applyFont="1" applyFill="1" applyBorder="1" applyAlignment="1">
      <alignment horizontal="right" vertical="center"/>
      <protection/>
    </xf>
    <xf numFmtId="3" fontId="13" fillId="0" borderId="13" xfId="149" applyNumberFormat="1" applyFont="1" applyBorder="1" applyAlignment="1">
      <alignment vertical="center"/>
      <protection/>
    </xf>
    <xf numFmtId="3" fontId="8" fillId="0" borderId="13" xfId="0" applyNumberFormat="1" applyFont="1" applyFill="1" applyBorder="1" applyAlignment="1">
      <alignment horizontal="left" vertical="center"/>
    </xf>
    <xf numFmtId="3" fontId="13" fillId="0" borderId="15" xfId="171" applyNumberFormat="1" applyFont="1" applyFill="1" applyBorder="1" applyAlignment="1">
      <alignment horizontal="center" vertical="center" wrapText="1"/>
      <protection/>
    </xf>
    <xf numFmtId="0" fontId="13" fillId="0" borderId="32" xfId="139" applyFont="1" applyFill="1" applyBorder="1" applyAlignment="1">
      <alignment vertical="center" wrapText="1"/>
      <protection/>
    </xf>
    <xf numFmtId="3" fontId="13" fillId="0" borderId="36" xfId="149" applyNumberFormat="1" applyFont="1" applyBorder="1">
      <alignment/>
      <protection/>
    </xf>
    <xf numFmtId="3" fontId="13" fillId="0" borderId="36" xfId="162" applyNumberFormat="1" applyFont="1" applyFill="1" applyBorder="1" applyAlignment="1">
      <alignment horizontal="right" vertical="center" wrapText="1"/>
      <protection/>
    </xf>
    <xf numFmtId="3" fontId="13" fillId="48" borderId="36" xfId="149" applyNumberFormat="1" applyFont="1" applyFill="1" applyBorder="1" applyAlignment="1">
      <alignment horizontal="right" vertical="center"/>
      <protection/>
    </xf>
    <xf numFmtId="3" fontId="13" fillId="48" borderId="52" xfId="149" applyNumberFormat="1" applyFont="1" applyFill="1" applyBorder="1" applyAlignment="1">
      <alignment horizontal="right" vertical="center"/>
      <protection/>
    </xf>
    <xf numFmtId="3" fontId="13" fillId="0" borderId="36" xfId="149" applyNumberFormat="1" applyFont="1" applyBorder="1" applyAlignment="1">
      <alignment vertical="center"/>
      <protection/>
    </xf>
    <xf numFmtId="3" fontId="13" fillId="48" borderId="36" xfId="149" applyNumberFormat="1" applyFont="1" applyFill="1" applyBorder="1" applyAlignment="1">
      <alignment horizontal="right" vertical="top"/>
      <protection/>
    </xf>
    <xf numFmtId="3" fontId="13" fillId="48" borderId="52" xfId="149" applyNumberFormat="1" applyFont="1" applyFill="1" applyBorder="1" applyAlignment="1">
      <alignment horizontal="right" vertical="top"/>
      <protection/>
    </xf>
    <xf numFmtId="3" fontId="13" fillId="0" borderId="36" xfId="170" applyNumberFormat="1" applyFont="1" applyBorder="1" applyAlignment="1">
      <alignment vertical="center"/>
      <protection/>
    </xf>
    <xf numFmtId="0" fontId="64" fillId="0" borderId="36" xfId="152" applyFont="1" applyBorder="1" applyAlignment="1">
      <alignment vertical="center"/>
      <protection/>
    </xf>
    <xf numFmtId="3" fontId="13" fillId="0" borderId="32" xfId="158" applyNumberFormat="1" applyFont="1" applyBorder="1" applyAlignment="1">
      <alignment horizontal="left" vertical="center" wrapText="1"/>
      <protection/>
    </xf>
    <xf numFmtId="3" fontId="13" fillId="0" borderId="32" xfId="172" applyNumberFormat="1" applyFont="1" applyFill="1" applyBorder="1" applyAlignment="1">
      <alignment vertical="center" wrapText="1"/>
      <protection/>
    </xf>
    <xf numFmtId="3" fontId="13" fillId="48" borderId="32" xfId="151" applyNumberFormat="1" applyFont="1" applyFill="1" applyBorder="1" applyAlignment="1">
      <alignment vertical="top" wrapText="1"/>
      <protection/>
    </xf>
    <xf numFmtId="3" fontId="13" fillId="0" borderId="32" xfId="143" applyNumberFormat="1" applyFont="1" applyFill="1" applyBorder="1" applyAlignment="1">
      <alignment vertical="top" wrapText="1"/>
      <protection/>
    </xf>
    <xf numFmtId="3" fontId="13" fillId="0" borderId="36" xfId="143" applyNumberFormat="1" applyFont="1" applyFill="1" applyBorder="1" applyAlignment="1">
      <alignment vertical="top" wrapText="1"/>
      <protection/>
    </xf>
    <xf numFmtId="3" fontId="13" fillId="0" borderId="14" xfId="157" applyNumberFormat="1" applyFont="1" applyFill="1" applyBorder="1" applyAlignment="1">
      <alignment horizontal="left" vertical="center" wrapText="1"/>
      <protection/>
    </xf>
    <xf numFmtId="3" fontId="8" fillId="0" borderId="13" xfId="149" applyNumberFormat="1" applyFont="1" applyFill="1" applyBorder="1" applyAlignment="1">
      <alignment horizontal="right" vertical="center"/>
      <protection/>
    </xf>
    <xf numFmtId="3" fontId="8" fillId="0" borderId="13" xfId="149" applyNumberFormat="1" applyFont="1" applyFill="1" applyBorder="1" applyAlignment="1">
      <alignment horizontal="right" vertical="top"/>
      <protection/>
    </xf>
    <xf numFmtId="0" fontId="12" fillId="8" borderId="13" xfId="0" applyFont="1" applyFill="1" applyBorder="1" applyAlignment="1">
      <alignment horizontal="center"/>
    </xf>
    <xf numFmtId="3" fontId="12" fillId="8" borderId="13" xfId="174" applyNumberFormat="1" applyFont="1" applyFill="1" applyBorder="1" applyAlignment="1">
      <alignment horizontal="center" vertical="center" wrapText="1"/>
      <protection/>
    </xf>
    <xf numFmtId="3" fontId="12" fillId="8" borderId="19" xfId="174" applyNumberFormat="1" applyFont="1" applyFill="1" applyBorder="1" applyAlignment="1">
      <alignment horizontal="center" vertical="center" wrapText="1"/>
      <protection/>
    </xf>
    <xf numFmtId="3" fontId="12" fillId="8" borderId="64" xfId="174" applyNumberFormat="1" applyFont="1" applyFill="1" applyBorder="1" applyAlignment="1">
      <alignment horizontal="center" vertical="center" wrapText="1"/>
      <protection/>
    </xf>
    <xf numFmtId="3" fontId="16" fillId="8" borderId="31" xfId="174" applyNumberFormat="1" applyFont="1" applyFill="1" applyBorder="1" applyAlignment="1">
      <alignment horizontal="center" vertical="center" wrapText="1"/>
      <protection/>
    </xf>
    <xf numFmtId="3" fontId="8" fillId="0" borderId="36" xfId="149" applyNumberFormat="1" applyFont="1" applyBorder="1" applyAlignment="1">
      <alignment vertical="center"/>
      <protection/>
    </xf>
    <xf numFmtId="3" fontId="16" fillId="8" borderId="24" xfId="0" applyNumberFormat="1" applyFont="1" applyFill="1" applyBorder="1" applyAlignment="1">
      <alignment vertical="center"/>
    </xf>
    <xf numFmtId="3" fontId="16" fillId="8" borderId="13" xfId="0" applyNumberFormat="1" applyFont="1" applyFill="1" applyBorder="1" applyAlignment="1">
      <alignment vertical="center"/>
    </xf>
    <xf numFmtId="3" fontId="12" fillId="9" borderId="19" xfId="152" applyNumberFormat="1" applyFont="1" applyFill="1" applyBorder="1" applyAlignment="1">
      <alignment horizontal="center" vertical="center"/>
      <protection/>
    </xf>
    <xf numFmtId="3" fontId="12" fillId="9" borderId="65" xfId="152" applyNumberFormat="1" applyFont="1" applyFill="1" applyBorder="1" applyAlignment="1">
      <alignment horizontal="center" vertical="center"/>
      <protection/>
    </xf>
    <xf numFmtId="3" fontId="12" fillId="9" borderId="64" xfId="152" applyNumberFormat="1" applyFont="1" applyFill="1" applyBorder="1" applyAlignment="1">
      <alignment horizontal="center" vertical="center"/>
      <protection/>
    </xf>
    <xf numFmtId="0" fontId="3" fillId="8" borderId="31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12" fillId="8" borderId="13" xfId="136" applyFont="1" applyFill="1" applyBorder="1" applyAlignment="1">
      <alignment horizontal="center" vertical="center"/>
      <protection/>
    </xf>
    <xf numFmtId="0" fontId="12" fillId="8" borderId="14" xfId="136" applyFont="1" applyFill="1" applyBorder="1" applyAlignment="1">
      <alignment horizontal="center" vertical="center"/>
      <protection/>
    </xf>
    <xf numFmtId="0" fontId="61" fillId="8" borderId="13" xfId="0" applyFont="1" applyFill="1" applyBorder="1" applyAlignment="1">
      <alignment horizontal="center" vertical="center" wrapText="1"/>
    </xf>
    <xf numFmtId="0" fontId="61" fillId="8" borderId="1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9" fillId="8" borderId="13" xfId="136" applyFont="1" applyFill="1" applyBorder="1" applyAlignment="1">
      <alignment horizontal="center" vertical="center"/>
      <protection/>
    </xf>
    <xf numFmtId="0" fontId="9" fillId="8" borderId="13" xfId="138" applyFont="1" applyFill="1" applyBorder="1" applyAlignment="1">
      <alignment horizontal="center"/>
      <protection/>
    </xf>
    <xf numFmtId="0" fontId="3" fillId="8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6" fillId="8" borderId="28" xfId="174" applyNumberFormat="1" applyFont="1" applyFill="1" applyBorder="1" applyAlignment="1">
      <alignment horizontal="center" vertical="center" wrapText="1"/>
      <protection/>
    </xf>
    <xf numFmtId="3" fontId="16" fillId="8" borderId="60" xfId="174" applyNumberFormat="1" applyFont="1" applyFill="1" applyBorder="1" applyAlignment="1">
      <alignment horizontal="center" vertical="center"/>
      <protection/>
    </xf>
    <xf numFmtId="3" fontId="16" fillId="8" borderId="27" xfId="174" applyNumberFormat="1" applyFont="1" applyFill="1" applyBorder="1" applyAlignment="1">
      <alignment horizontal="center" vertical="center"/>
      <protection/>
    </xf>
    <xf numFmtId="3" fontId="16" fillId="8" borderId="31" xfId="174" applyNumberFormat="1" applyFont="1" applyFill="1" applyBorder="1" applyAlignment="1">
      <alignment horizontal="center" vertical="center" textRotation="90" wrapText="1"/>
      <protection/>
    </xf>
    <xf numFmtId="3" fontId="16" fillId="8" borderId="28" xfId="174" applyNumberFormat="1" applyFont="1" applyFill="1" applyBorder="1" applyAlignment="1">
      <alignment horizontal="center" vertical="center" textRotation="90" wrapText="1"/>
      <protection/>
    </xf>
    <xf numFmtId="0" fontId="12" fillId="8" borderId="66" xfId="0" applyFont="1" applyFill="1" applyBorder="1" applyAlignment="1">
      <alignment horizontal="center" vertical="center"/>
    </xf>
    <xf numFmtId="0" fontId="12" fillId="8" borderId="25" xfId="0" applyFont="1" applyFill="1" applyBorder="1" applyAlignment="1">
      <alignment horizontal="center" vertical="center"/>
    </xf>
    <xf numFmtId="3" fontId="16" fillId="8" borderId="60" xfId="174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12" fillId="8" borderId="13" xfId="137" applyFont="1" applyFill="1" applyBorder="1" applyAlignment="1">
      <alignment horizontal="center" vertical="center"/>
      <protection/>
    </xf>
    <xf numFmtId="3" fontId="12" fillId="8" borderId="24" xfId="174" applyNumberFormat="1" applyFont="1" applyFill="1" applyBorder="1" applyAlignment="1">
      <alignment horizontal="center" vertical="center" wrapText="1"/>
      <protection/>
    </xf>
    <xf numFmtId="3" fontId="12" fillId="8" borderId="21" xfId="174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/>
    </xf>
    <xf numFmtId="3" fontId="67" fillId="8" borderId="20" xfId="0" applyNumberFormat="1" applyFont="1" applyFill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</cellXfs>
  <cellStyles count="178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sor 1" xfId="87"/>
    <cellStyle name="Címsor 1 2" xfId="88"/>
    <cellStyle name="Címsor 2" xfId="89"/>
    <cellStyle name="Címsor 2 2" xfId="90"/>
    <cellStyle name="Címsor 3" xfId="91"/>
    <cellStyle name="Címsor 3 2" xfId="92"/>
    <cellStyle name="Címsor 4" xfId="93"/>
    <cellStyle name="Címsor 4 2" xfId="94"/>
    <cellStyle name="Ellenőrzőcella" xfId="95"/>
    <cellStyle name="Ellenőrzőcella 2" xfId="96"/>
    <cellStyle name="Explanatory Text" xfId="97"/>
    <cellStyle name="Comma" xfId="98"/>
    <cellStyle name="Comma [0]" xfId="99"/>
    <cellStyle name="Figyelmeztetés" xfId="100"/>
    <cellStyle name="Figyelmeztetés 2" xfId="101"/>
    <cellStyle name="Good" xfId="102"/>
    <cellStyle name="Heading 1" xfId="103"/>
    <cellStyle name="Heading 2" xfId="104"/>
    <cellStyle name="Heading 3" xfId="105"/>
    <cellStyle name="Heading 4" xfId="106"/>
    <cellStyle name="Hyperlink" xfId="107"/>
    <cellStyle name="Hivatkozott cella" xfId="108"/>
    <cellStyle name="Hivatkozott cella 2" xfId="109"/>
    <cellStyle name="Input" xfId="110"/>
    <cellStyle name="Jegyzet" xfId="111"/>
    <cellStyle name="Jegyzet 2" xfId="112"/>
    <cellStyle name="Jelölőszín (1)" xfId="113"/>
    <cellStyle name="Jelölőszín (1) 2" xfId="114"/>
    <cellStyle name="Jelölőszín (2)" xfId="115"/>
    <cellStyle name="Jelölőszín (2) 2" xfId="116"/>
    <cellStyle name="Jelölőszín (3)" xfId="117"/>
    <cellStyle name="Jelölőszín (3) 2" xfId="118"/>
    <cellStyle name="Jelölőszín (4)" xfId="119"/>
    <cellStyle name="Jelölőszín (4) 2" xfId="120"/>
    <cellStyle name="Jelölőszín (5)" xfId="121"/>
    <cellStyle name="Jelölőszín (5) 2" xfId="122"/>
    <cellStyle name="Jelölőszín (6)" xfId="123"/>
    <cellStyle name="Jelölőszín (6) 2" xfId="124"/>
    <cellStyle name="Jó" xfId="125"/>
    <cellStyle name="Jó 2" xfId="126"/>
    <cellStyle name="Kimenet" xfId="127"/>
    <cellStyle name="Kimenet 2" xfId="128"/>
    <cellStyle name="Linked Cell" xfId="129"/>
    <cellStyle name="Magyarázó szöveg" xfId="130"/>
    <cellStyle name="Magyarázó szöveg 2" xfId="131"/>
    <cellStyle name="Followed Hyperlink" xfId="132"/>
    <cellStyle name="Neutral" xfId="133"/>
    <cellStyle name="Normál 2" xfId="134"/>
    <cellStyle name="Normál 3" xfId="135"/>
    <cellStyle name="Normál_   5    (2)" xfId="136"/>
    <cellStyle name="Normál_   5    (2)_KÖLTSÉGVETÉS 2015 intézmények " xfId="137"/>
    <cellStyle name="Normál_   5-a    (2)" xfId="138"/>
    <cellStyle name="Normál_   7   x" xfId="139"/>
    <cellStyle name="Normál_   7   x_2012. III.negyedévi ei. módosítás" xfId="140"/>
    <cellStyle name="Normál_   7   x_2012. III.negyedévi ei. módosítás_2016. I.névi módosítás" xfId="141"/>
    <cellStyle name="Normál_   7   x_2012. III.negyedévi ei. módosítás_6.a" xfId="142"/>
    <cellStyle name="Normál_   7   x_2012. III.negyedévi ei. módosítás_táj.2" xfId="143"/>
    <cellStyle name="Normál_   7   x_2014_ktsv tervezet_btcs_6.a" xfId="144"/>
    <cellStyle name="Normál_   7   x_7" xfId="145"/>
    <cellStyle name="Normál_   7   x_7_2016. I.névi módosítás" xfId="146"/>
    <cellStyle name="Normál_   7   x_7_6.a" xfId="147"/>
    <cellStyle name="Normál_   7   x_Másolat eredetije2014. műk-beru-felúj." xfId="148"/>
    <cellStyle name="Normál_   7   x_Másolat eredetije2014. műk-beru-felúj._2016. I.névi módosítás" xfId="149"/>
    <cellStyle name="Normál_   7   x_Másolat eredetije2014. műk-beru-felúj._6.a" xfId="150"/>
    <cellStyle name="Normál_   7   x_Másolat eredetije2014. műk-beru-felúj._táj.2" xfId="151"/>
    <cellStyle name="Normál_  3   _2010.évi állami_állami  tám." xfId="152"/>
    <cellStyle name="Normál_2012. évi beszámoló 5.a 6a" xfId="153"/>
    <cellStyle name="Normál_2016.egyénikerigények" xfId="154"/>
    <cellStyle name="Normál_213_évi_költségvetés_MCS" xfId="155"/>
    <cellStyle name="Normál_213_évi_költségvetés_MCS_2015.utólagos ei. módosítás " xfId="156"/>
    <cellStyle name="Normál_213_évi_költségvetés_MCS_2016. I.névi módosítás" xfId="157"/>
    <cellStyle name="Normál_213_évi_költségvetés_MCS_táj.2" xfId="158"/>
    <cellStyle name="Normál_3" xfId="159"/>
    <cellStyle name="Normál_Intézmények 2014" xfId="160"/>
    <cellStyle name="Normál_INTKIA96" xfId="161"/>
    <cellStyle name="Normál_Másolat eredetije2014. műk-beru-felúj." xfId="162"/>
    <cellStyle name="Normál_Munka2 (2)" xfId="163"/>
    <cellStyle name="Normál_Munka2 (2)_KÖLTSÉGVETÉS 2015 intézmények " xfId="164"/>
    <cellStyle name="Normál_Munka2 (2)_KÖLTSÉGVETÉS_2015." xfId="165"/>
    <cellStyle name="Normál_Munka2 (2)_táj.1." xfId="166"/>
    <cellStyle name="Normál_Munka3 (2)" xfId="167"/>
    <cellStyle name="Normál_Munka3 (2)_Másolat eredetije2014. műk-beru-felúj." xfId="168"/>
    <cellStyle name="Normál_Munka3 (2)_Másolat eredetije2014. műk-beru-felúj._2015.utólagos ei. módosítás " xfId="169"/>
    <cellStyle name="Normál_Munka3 (2)_Másolat eredetije2014. műk-beru-felúj._2016. I.névi módosítás" xfId="170"/>
    <cellStyle name="Normál_Munka3 (2)_Másolat eredetije2014. műk-beru-felúj._6.a" xfId="171"/>
    <cellStyle name="Normál_Munka3 (2)_Másolat eredetije2014. műk-beru-felúj._táj.2" xfId="172"/>
    <cellStyle name="Normál_Műszaki Osztály fejlesztés2016" xfId="173"/>
    <cellStyle name="Normál_ÖKIADELÖ" xfId="174"/>
    <cellStyle name="Normal_tanusitv" xfId="175"/>
    <cellStyle name="Note" xfId="176"/>
    <cellStyle name="Output" xfId="177"/>
    <cellStyle name="Összesen" xfId="178"/>
    <cellStyle name="Összesen 2" xfId="179"/>
    <cellStyle name="Currency" xfId="180"/>
    <cellStyle name="Currency [0]" xfId="181"/>
    <cellStyle name="Rossz" xfId="182"/>
    <cellStyle name="Rossz 2" xfId="183"/>
    <cellStyle name="Semleges" xfId="184"/>
    <cellStyle name="Semleges 2" xfId="185"/>
    <cellStyle name="Számítás" xfId="186"/>
    <cellStyle name="Számítás 2" xfId="187"/>
    <cellStyle name="Percent" xfId="188"/>
    <cellStyle name="Title" xfId="189"/>
    <cellStyle name="Total" xfId="190"/>
    <cellStyle name="Warning Text" xfId="1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45.125" style="29" customWidth="1"/>
    <col min="2" max="2" width="13.00390625" style="29" customWidth="1"/>
    <col min="3" max="3" width="13.625" style="29" customWidth="1"/>
    <col min="4" max="4" width="12.625" style="4" customWidth="1"/>
    <col min="5" max="5" width="2.00390625" style="26" customWidth="1"/>
    <col min="6" max="6" width="44.875" style="29" customWidth="1"/>
    <col min="7" max="7" width="14.125" style="29" customWidth="1"/>
    <col min="8" max="8" width="13.875" style="29" customWidth="1"/>
    <col min="9" max="9" width="12.50390625" style="4" customWidth="1"/>
    <col min="10" max="16384" width="9.375" style="27" customWidth="1"/>
  </cols>
  <sheetData>
    <row r="1" spans="1:9" s="24" customFormat="1" ht="39.75" customHeight="1" thickBot="1">
      <c r="A1" s="40"/>
      <c r="B1" s="42" t="s">
        <v>1506</v>
      </c>
      <c r="C1" s="41" t="s">
        <v>710</v>
      </c>
      <c r="D1" s="42" t="s">
        <v>711</v>
      </c>
      <c r="E1" s="43"/>
      <c r="F1" s="40" t="s">
        <v>151</v>
      </c>
      <c r="G1" s="42" t="s">
        <v>1506</v>
      </c>
      <c r="H1" s="41" t="s">
        <v>710</v>
      </c>
      <c r="I1" s="42" t="s">
        <v>711</v>
      </c>
    </row>
    <row r="2" spans="1:9" s="25" customFormat="1" ht="12.75" customHeight="1">
      <c r="A2" s="44" t="s">
        <v>441</v>
      </c>
      <c r="B2" s="20"/>
      <c r="C2" s="45"/>
      <c r="D2" s="20"/>
      <c r="E2" s="46"/>
      <c r="F2" s="44" t="s">
        <v>442</v>
      </c>
      <c r="G2" s="19"/>
      <c r="H2" s="44"/>
      <c r="I2" s="19"/>
    </row>
    <row r="3" spans="1:9" ht="24.75" customHeight="1">
      <c r="A3" s="47" t="s">
        <v>1231</v>
      </c>
      <c r="B3" s="18">
        <v>4093672</v>
      </c>
      <c r="C3" s="47">
        <v>-461734</v>
      </c>
      <c r="D3" s="18">
        <f>SUM(B3:C3)</f>
        <v>3631938</v>
      </c>
      <c r="E3" s="48"/>
      <c r="F3" s="47" t="s">
        <v>564</v>
      </c>
      <c r="G3" s="18">
        <v>6505953</v>
      </c>
      <c r="H3" s="47">
        <v>471560</v>
      </c>
      <c r="I3" s="18">
        <f>SUM(G3:H3)</f>
        <v>6977513</v>
      </c>
    </row>
    <row r="4" spans="1:9" ht="15" customHeight="1">
      <c r="A4" s="47" t="s">
        <v>1233</v>
      </c>
      <c r="B4" s="15">
        <v>5400150</v>
      </c>
      <c r="C4" s="47">
        <v>-1500</v>
      </c>
      <c r="D4" s="18">
        <f>SUM(B4:C4)</f>
        <v>5398650</v>
      </c>
      <c r="E4" s="48"/>
      <c r="F4" s="49" t="s">
        <v>285</v>
      </c>
      <c r="G4" s="18">
        <v>3084072</v>
      </c>
      <c r="H4" s="47">
        <v>552158</v>
      </c>
      <c r="I4" s="18">
        <f>SUM(G4:H4)</f>
        <v>3636230</v>
      </c>
    </row>
    <row r="5" spans="1:9" ht="22.5" customHeight="1">
      <c r="A5" s="47" t="s">
        <v>1234</v>
      </c>
      <c r="B5" s="15">
        <v>1941270</v>
      </c>
      <c r="C5" s="47">
        <v>209942</v>
      </c>
      <c r="D5" s="18">
        <f>SUM(B5:C5)</f>
        <v>2151212</v>
      </c>
      <c r="E5" s="48"/>
      <c r="F5" s="47" t="s">
        <v>1364</v>
      </c>
      <c r="G5" s="18">
        <v>2077925</v>
      </c>
      <c r="H5" s="47">
        <v>-463237</v>
      </c>
      <c r="I5" s="18">
        <f>SUM(G5:H5)</f>
        <v>1614688</v>
      </c>
    </row>
    <row r="6" spans="1:9" ht="19.5" customHeight="1">
      <c r="A6" s="47" t="s">
        <v>1239</v>
      </c>
      <c r="B6" s="18">
        <v>78450</v>
      </c>
      <c r="C6" s="47">
        <v>36699</v>
      </c>
      <c r="D6" s="18">
        <f>SUM(B6:C6)</f>
        <v>115149</v>
      </c>
      <c r="E6" s="48"/>
      <c r="F6" s="47" t="s">
        <v>445</v>
      </c>
      <c r="G6" s="15">
        <v>312770</v>
      </c>
      <c r="H6" s="47">
        <v>-41786</v>
      </c>
      <c r="I6" s="18">
        <f>SUM(G6:H6)</f>
        <v>270984</v>
      </c>
    </row>
    <row r="7" spans="1:9" ht="13.5" customHeight="1">
      <c r="A7" s="91" t="s">
        <v>7</v>
      </c>
      <c r="B7" s="91">
        <f>SUM(B3+B4+B5+B6)</f>
        <v>11513542</v>
      </c>
      <c r="C7" s="91">
        <f>SUM(C3+C4+C5+C6)</f>
        <v>-216593</v>
      </c>
      <c r="D7" s="91">
        <f>SUM(D3+D4+D5+D6)</f>
        <v>11296949</v>
      </c>
      <c r="E7" s="48"/>
      <c r="F7" s="47" t="s">
        <v>815</v>
      </c>
      <c r="G7" s="18">
        <v>9000</v>
      </c>
      <c r="H7" s="47">
        <v>-6565</v>
      </c>
      <c r="I7" s="18">
        <f>SUM(G7:H7)</f>
        <v>2435</v>
      </c>
    </row>
    <row r="8" spans="1:9" ht="13.5" customHeight="1">
      <c r="A8" s="49" t="s">
        <v>1229</v>
      </c>
      <c r="B8" s="91"/>
      <c r="C8" s="91"/>
      <c r="D8" s="91"/>
      <c r="E8" s="48"/>
      <c r="F8" s="91" t="s">
        <v>10</v>
      </c>
      <c r="G8" s="44">
        <f>SUM(G2:G7)</f>
        <v>11989720</v>
      </c>
      <c r="H8" s="44">
        <f>SUM(H2:H7)</f>
        <v>512130</v>
      </c>
      <c r="I8" s="44">
        <f>SUM(I2:I7)</f>
        <v>12501850</v>
      </c>
    </row>
    <row r="9" spans="1:9" ht="24.75" customHeight="1">
      <c r="A9" s="49" t="s">
        <v>1240</v>
      </c>
      <c r="B9" s="166">
        <v>583970</v>
      </c>
      <c r="C9" s="49">
        <v>379428</v>
      </c>
      <c r="D9" s="166">
        <f>SUM(B9:C9)</f>
        <v>963398</v>
      </c>
      <c r="E9" s="48"/>
      <c r="F9" s="49" t="s">
        <v>1460</v>
      </c>
      <c r="G9" s="47">
        <v>72571</v>
      </c>
      <c r="H9" s="47"/>
      <c r="I9" s="47">
        <f>SUM(G9:H9)</f>
        <v>72571</v>
      </c>
    </row>
    <row r="10" spans="1:9" s="25" customFormat="1" ht="24.75" customHeight="1">
      <c r="A10" s="49" t="s">
        <v>1241</v>
      </c>
      <c r="B10" s="22"/>
      <c r="C10" s="49">
        <v>152</v>
      </c>
      <c r="D10" s="22">
        <v>152</v>
      </c>
      <c r="E10" s="48"/>
      <c r="F10" s="49"/>
      <c r="G10" s="18"/>
      <c r="H10" s="47"/>
      <c r="I10" s="18"/>
    </row>
    <row r="11" spans="1:9" s="25" customFormat="1" ht="12" customHeight="1">
      <c r="A11" s="56" t="s">
        <v>126</v>
      </c>
      <c r="B11" s="55">
        <f>SUM(B7:B10)</f>
        <v>12097512</v>
      </c>
      <c r="C11" s="55">
        <f>SUM(C7:C10)</f>
        <v>162987</v>
      </c>
      <c r="D11" s="55">
        <f>SUM(D7:D10)</f>
        <v>12260499</v>
      </c>
      <c r="E11" s="48"/>
      <c r="F11" s="50" t="s">
        <v>446</v>
      </c>
      <c r="G11" s="50">
        <f>SUM(G8:G10)</f>
        <v>12062291</v>
      </c>
      <c r="H11" s="50">
        <f>SUM(H8:H10)</f>
        <v>512130</v>
      </c>
      <c r="I11" s="50">
        <f>SUM(I8:I10)</f>
        <v>12574421</v>
      </c>
    </row>
    <row r="12" spans="1:9" ht="13.5" customHeight="1">
      <c r="A12" s="44" t="s">
        <v>1495</v>
      </c>
      <c r="B12" s="18"/>
      <c r="C12" s="44"/>
      <c r="D12" s="18"/>
      <c r="E12" s="48"/>
      <c r="F12" s="44" t="s">
        <v>1494</v>
      </c>
      <c r="G12" s="91"/>
      <c r="H12" s="44"/>
      <c r="I12" s="91"/>
    </row>
    <row r="13" spans="1:9" ht="24" customHeight="1">
      <c r="A13" s="47" t="s">
        <v>1232</v>
      </c>
      <c r="B13" s="18">
        <v>1751901</v>
      </c>
      <c r="C13" s="47">
        <v>7242734</v>
      </c>
      <c r="D13" s="18">
        <f>SUM(B13:C13)</f>
        <v>8994635</v>
      </c>
      <c r="E13" s="48"/>
      <c r="F13" s="47" t="s">
        <v>1242</v>
      </c>
      <c r="G13" s="47">
        <v>393738</v>
      </c>
      <c r="H13" s="47">
        <v>85720</v>
      </c>
      <c r="I13" s="47">
        <f>SUM(G13:H13)</f>
        <v>479458</v>
      </c>
    </row>
    <row r="14" spans="1:9" ht="19.5" customHeight="1">
      <c r="A14" s="47" t="s">
        <v>1233</v>
      </c>
      <c r="B14" s="18"/>
      <c r="C14" s="47"/>
      <c r="D14" s="18">
        <f>SUM(B14:C14)</f>
        <v>0</v>
      </c>
      <c r="E14" s="48"/>
      <c r="F14" s="47" t="s">
        <v>1496</v>
      </c>
      <c r="G14" s="47">
        <v>3633144</v>
      </c>
      <c r="H14" s="47">
        <v>6995456</v>
      </c>
      <c r="I14" s="47">
        <f aca="true" t="shared" si="0" ref="I14:I19">SUM(G14:H14)</f>
        <v>10628600</v>
      </c>
    </row>
    <row r="15" spans="1:9" ht="15" customHeight="1">
      <c r="A15" s="47" t="s">
        <v>1235</v>
      </c>
      <c r="B15" s="22">
        <v>82800</v>
      </c>
      <c r="C15" s="47">
        <v>47008</v>
      </c>
      <c r="D15" s="18">
        <f>SUM(B15:C15)</f>
        <v>129808</v>
      </c>
      <c r="E15" s="48"/>
      <c r="F15" s="47" t="s">
        <v>911</v>
      </c>
      <c r="G15" s="47">
        <v>68247</v>
      </c>
      <c r="H15" s="47">
        <v>84334</v>
      </c>
      <c r="I15" s="47">
        <f t="shared" si="0"/>
        <v>152581</v>
      </c>
    </row>
    <row r="16" spans="1:9" ht="24.75" customHeight="1">
      <c r="A16" s="47" t="s">
        <v>1236</v>
      </c>
      <c r="B16" s="22">
        <v>108000</v>
      </c>
      <c r="C16" s="47">
        <v>46355</v>
      </c>
      <c r="D16" s="18">
        <f>SUM(B16:C16)</f>
        <v>154355</v>
      </c>
      <c r="E16" s="48"/>
      <c r="F16" s="47" t="s">
        <v>1497</v>
      </c>
      <c r="G16" s="47">
        <v>1141251</v>
      </c>
      <c r="H16" s="47">
        <v>951688</v>
      </c>
      <c r="I16" s="47">
        <f t="shared" si="0"/>
        <v>2092939</v>
      </c>
    </row>
    <row r="17" spans="1:9" ht="24" customHeight="1">
      <c r="A17" s="47" t="s">
        <v>899</v>
      </c>
      <c r="B17" s="22">
        <v>754813</v>
      </c>
      <c r="C17" s="47">
        <v>68722</v>
      </c>
      <c r="D17" s="18">
        <f>SUM(B17:C17)</f>
        <v>823535</v>
      </c>
      <c r="E17" s="46"/>
      <c r="F17" s="47" t="s">
        <v>911</v>
      </c>
      <c r="G17" s="47">
        <v>11827</v>
      </c>
      <c r="H17" s="47">
        <v>25198</v>
      </c>
      <c r="I17" s="47">
        <f t="shared" si="0"/>
        <v>37025</v>
      </c>
    </row>
    <row r="18" spans="1:9" ht="12.75" customHeight="1">
      <c r="A18" s="91" t="s">
        <v>8</v>
      </c>
      <c r="B18" s="44">
        <f>SUM(B12:B17)</f>
        <v>2697514</v>
      </c>
      <c r="C18" s="44">
        <f>SUM(C12:C17)</f>
        <v>7404819</v>
      </c>
      <c r="D18" s="44">
        <f>SUM(D12:D17)</f>
        <v>10102333</v>
      </c>
      <c r="E18" s="46"/>
      <c r="F18" s="47" t="s">
        <v>1498</v>
      </c>
      <c r="G18" s="47">
        <v>10000</v>
      </c>
      <c r="H18" s="47">
        <v>-8596</v>
      </c>
      <c r="I18" s="47">
        <f t="shared" si="0"/>
        <v>1404</v>
      </c>
    </row>
    <row r="19" spans="1:9" ht="24" customHeight="1">
      <c r="A19" s="49" t="s">
        <v>1229</v>
      </c>
      <c r="B19" s="44"/>
      <c r="C19" s="44"/>
      <c r="D19" s="44"/>
      <c r="E19" s="48"/>
      <c r="F19" s="47" t="s">
        <v>1244</v>
      </c>
      <c r="G19" s="47">
        <v>5896</v>
      </c>
      <c r="H19" s="47"/>
      <c r="I19" s="47">
        <f t="shared" si="0"/>
        <v>5896</v>
      </c>
    </row>
    <row r="20" spans="1:9" ht="12.75" customHeight="1">
      <c r="A20" s="49" t="s">
        <v>71</v>
      </c>
      <c r="B20" s="47">
        <v>78000</v>
      </c>
      <c r="C20" s="47">
        <v>954780</v>
      </c>
      <c r="D20" s="47">
        <f>SUM(B20:C20)</f>
        <v>1032780</v>
      </c>
      <c r="E20" s="48"/>
      <c r="F20" s="91" t="s">
        <v>9</v>
      </c>
      <c r="G20" s="44">
        <f>SUM(G13+G14+G16+G18+G19)</f>
        <v>5184029</v>
      </c>
      <c r="H20" s="44">
        <f>SUM(H13+H14+H16+H18+H19)</f>
        <v>8024268</v>
      </c>
      <c r="I20" s="44">
        <f>SUM(I13+I14+I16+I18+I19)</f>
        <v>13208297</v>
      </c>
    </row>
    <row r="21" spans="1:9" ht="24.75" customHeight="1">
      <c r="A21" s="49" t="s">
        <v>74</v>
      </c>
      <c r="B21" s="166">
        <v>2090086</v>
      </c>
      <c r="C21" s="47">
        <v>13812</v>
      </c>
      <c r="D21" s="47">
        <f>SUM(B21:C21)</f>
        <v>2103898</v>
      </c>
      <c r="E21" s="48"/>
      <c r="F21" s="49" t="s">
        <v>1243</v>
      </c>
      <c r="G21" s="18"/>
      <c r="H21" s="44"/>
      <c r="I21" s="18"/>
    </row>
    <row r="22" spans="1:9" ht="12.75" customHeight="1">
      <c r="A22" s="96" t="s">
        <v>1459</v>
      </c>
      <c r="B22" s="47">
        <v>284541</v>
      </c>
      <c r="C22" s="47"/>
      <c r="D22" s="47">
        <f>SUM(B22:C22)</f>
        <v>284541</v>
      </c>
      <c r="E22" s="48"/>
      <c r="F22" s="49" t="s">
        <v>70</v>
      </c>
      <c r="G22" s="18">
        <v>1333</v>
      </c>
      <c r="H22" s="49"/>
      <c r="I22" s="18">
        <f>SUM(G22:H22)</f>
        <v>1333</v>
      </c>
    </row>
    <row r="23" spans="1:9" ht="12.75" customHeight="1">
      <c r="A23" s="49"/>
      <c r="B23" s="47"/>
      <c r="C23" s="47"/>
      <c r="D23" s="47"/>
      <c r="E23" s="48"/>
      <c r="F23" s="49"/>
      <c r="G23" s="15"/>
      <c r="H23" s="49"/>
      <c r="I23" s="15"/>
    </row>
    <row r="24" spans="1:9" s="24" customFormat="1" ht="22.5" customHeight="1" thickBot="1">
      <c r="A24" s="163" t="s">
        <v>1500</v>
      </c>
      <c r="B24" s="164">
        <f>SUM(B18:B23)</f>
        <v>5150141</v>
      </c>
      <c r="C24" s="164">
        <f>SUM(C18:C23)</f>
        <v>8373411</v>
      </c>
      <c r="D24" s="164">
        <f>SUM(D18:D23)</f>
        <v>13523552</v>
      </c>
      <c r="E24" s="46"/>
      <c r="F24" s="165" t="s">
        <v>1501</v>
      </c>
      <c r="G24" s="164">
        <f>SUM(G20:G23)</f>
        <v>5185362</v>
      </c>
      <c r="H24" s="164">
        <f>SUM(H20:H23)</f>
        <v>8024268</v>
      </c>
      <c r="I24" s="164">
        <f>SUM(I20:I23)</f>
        <v>13209630</v>
      </c>
    </row>
    <row r="25" spans="1:9" s="24" customFormat="1" ht="19.5" customHeight="1" thickBot="1">
      <c r="A25" s="52" t="s">
        <v>563</v>
      </c>
      <c r="B25" s="54">
        <f>SUM(B11+B24)</f>
        <v>17247653</v>
      </c>
      <c r="C25" s="54">
        <f>SUM(C11+C24)</f>
        <v>8536398</v>
      </c>
      <c r="D25" s="54">
        <f>SUM(D11+D24)</f>
        <v>25784051</v>
      </c>
      <c r="E25" s="48"/>
      <c r="F25" s="52" t="s">
        <v>563</v>
      </c>
      <c r="G25" s="53">
        <f>SUM(G11+G24)</f>
        <v>17247653</v>
      </c>
      <c r="H25" s="53">
        <f>SUM(H11+H24)</f>
        <v>8536398</v>
      </c>
      <c r="I25" s="53">
        <f>SUM(I11+I24)</f>
        <v>25784051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2016.  ÉVBEN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110" zoomScaleNormal="110" zoomScalePageLayoutView="0" workbookViewId="0" topLeftCell="A1">
      <pane ySplit="2" topLeftCell="BM3" activePane="bottomLeft" state="frozen"/>
      <selection pane="topLeft" activeCell="B1" sqref="B1"/>
      <selection pane="bottomLeft" activeCell="C22" sqref="C22"/>
    </sheetView>
  </sheetViews>
  <sheetFormatPr defaultColWidth="9.00390625" defaultRowHeight="12.75"/>
  <cols>
    <col min="1" max="1" width="3.875" style="27" customWidth="1"/>
    <col min="2" max="2" width="38.375" style="27" customWidth="1"/>
    <col min="3" max="3" width="11.875" style="27" customWidth="1"/>
    <col min="4" max="4" width="10.875" style="27" customWidth="1"/>
    <col min="5" max="5" width="10.00390625" style="27" customWidth="1"/>
    <col min="6" max="6" width="11.875" style="27" customWidth="1"/>
    <col min="7" max="7" width="9.875" style="27" customWidth="1"/>
    <col min="8" max="9" width="10.50390625" style="27" customWidth="1"/>
    <col min="10" max="11" width="11.125" style="27" customWidth="1"/>
    <col min="12" max="12" width="9.50390625" style="27" customWidth="1"/>
    <col min="13" max="13" width="8.125" style="27" customWidth="1"/>
    <col min="14" max="14" width="11.625" style="39" customWidth="1"/>
    <col min="15" max="16384" width="9.375" style="27" customWidth="1"/>
  </cols>
  <sheetData>
    <row r="1" spans="1:14" ht="12.75" customHeight="1">
      <c r="A1" s="750" t="s">
        <v>1285</v>
      </c>
      <c r="B1" s="750" t="s">
        <v>151</v>
      </c>
      <c r="C1" s="783" t="s">
        <v>854</v>
      </c>
      <c r="D1" s="783" t="s">
        <v>710</v>
      </c>
      <c r="E1" s="749" t="s">
        <v>163</v>
      </c>
      <c r="F1" s="749"/>
      <c r="G1" s="749"/>
      <c r="H1" s="749"/>
      <c r="I1" s="749"/>
      <c r="J1" s="749"/>
      <c r="K1" s="749"/>
      <c r="L1" s="749"/>
      <c r="M1" s="750" t="s">
        <v>162</v>
      </c>
      <c r="N1" s="750" t="s">
        <v>717</v>
      </c>
    </row>
    <row r="2" spans="1:14" s="36" customFormat="1" ht="60" customHeight="1">
      <c r="A2" s="750"/>
      <c r="B2" s="750"/>
      <c r="C2" s="784"/>
      <c r="D2" s="784"/>
      <c r="E2" s="190" t="s">
        <v>1</v>
      </c>
      <c r="F2" s="190" t="s">
        <v>537</v>
      </c>
      <c r="G2" s="190" t="s">
        <v>529</v>
      </c>
      <c r="H2" s="190" t="s">
        <v>1020</v>
      </c>
      <c r="I2" s="190" t="s">
        <v>1116</v>
      </c>
      <c r="J2" s="190" t="s">
        <v>1104</v>
      </c>
      <c r="K2" s="190" t="s">
        <v>1103</v>
      </c>
      <c r="L2" s="190" t="s">
        <v>1021</v>
      </c>
      <c r="M2" s="785"/>
      <c r="N2" s="750"/>
    </row>
    <row r="3" spans="1:14" s="36" customFormat="1" ht="15" customHeight="1">
      <c r="A3" s="423" t="s">
        <v>1287</v>
      </c>
      <c r="B3" s="424" t="s">
        <v>154</v>
      </c>
      <c r="C3" s="615">
        <v>1200001</v>
      </c>
      <c r="D3" s="615">
        <f>50787+'táj.4'!L3</f>
        <v>52486</v>
      </c>
      <c r="E3" s="425">
        <f>809799+'táj.4'!C3</f>
        <v>811137</v>
      </c>
      <c r="F3" s="425">
        <f>237023+'táj.4'!D3</f>
        <v>237384</v>
      </c>
      <c r="G3" s="425">
        <f>173205+'táj.4'!E3</f>
        <v>181205</v>
      </c>
      <c r="H3" s="425">
        <f>0+'táj.4'!F3</f>
        <v>0</v>
      </c>
      <c r="I3" s="425">
        <f>203+'táj.4'!G3</f>
        <v>203</v>
      </c>
      <c r="J3" s="425">
        <f>19802+'táj.4'!H3</f>
        <v>19802</v>
      </c>
      <c r="K3" s="425">
        <f>10756+'táj.4'!I3</f>
        <v>2756</v>
      </c>
      <c r="L3" s="425">
        <f>0+'táj.4'!J3</f>
        <v>0</v>
      </c>
      <c r="M3" s="425"/>
      <c r="N3" s="425">
        <f aca="true" t="shared" si="0" ref="N3:N21">SUM(E3:M3)</f>
        <v>1252487</v>
      </c>
    </row>
    <row r="4" spans="1:14" s="36" customFormat="1" ht="15" customHeight="1">
      <c r="A4" s="423" t="s">
        <v>1289</v>
      </c>
      <c r="B4" s="424" t="s">
        <v>470</v>
      </c>
      <c r="C4" s="615">
        <v>624864</v>
      </c>
      <c r="D4" s="615">
        <f>-21022+'táj.4'!L4</f>
        <v>-26146</v>
      </c>
      <c r="E4" s="425">
        <f>242253+'táj.4'!C4</f>
        <v>242651</v>
      </c>
      <c r="F4" s="425">
        <f>66660+'táj.4'!D4</f>
        <v>66767</v>
      </c>
      <c r="G4" s="425">
        <f>286776+'táj.4'!E4</f>
        <v>281147</v>
      </c>
      <c r="H4" s="425">
        <f>0+'táj.4'!F4</f>
        <v>0</v>
      </c>
      <c r="I4" s="425">
        <f>1000+'táj.4'!G4</f>
        <v>1000</v>
      </c>
      <c r="J4" s="425">
        <f>6152+'táj.4'!H4</f>
        <v>6152</v>
      </c>
      <c r="K4" s="425">
        <f>1001+'táj.4'!I4</f>
        <v>1001</v>
      </c>
      <c r="L4" s="425">
        <f>0+'táj.4'!J4</f>
        <v>0</v>
      </c>
      <c r="M4" s="425">
        <f>0+'táj.4'!K4</f>
        <v>0</v>
      </c>
      <c r="N4" s="425">
        <f t="shared" si="0"/>
        <v>598718</v>
      </c>
    </row>
    <row r="5" spans="1:14" s="36" customFormat="1" ht="15" customHeight="1">
      <c r="A5" s="423" t="s">
        <v>1290</v>
      </c>
      <c r="B5" s="424" t="s">
        <v>100</v>
      </c>
      <c r="C5" s="615">
        <v>768082</v>
      </c>
      <c r="D5" s="615">
        <f>64431+'táj.4'!L5</f>
        <v>82358</v>
      </c>
      <c r="E5" s="615">
        <f>100547+'táj.4'!C5</f>
        <v>100647</v>
      </c>
      <c r="F5" s="615">
        <f>26614+'táj.4'!D5</f>
        <v>26641</v>
      </c>
      <c r="G5" s="615">
        <f>704432+'táj.4'!E5</f>
        <v>722232</v>
      </c>
      <c r="H5" s="615">
        <f>0+'táj.4'!F5</f>
        <v>0</v>
      </c>
      <c r="I5" s="615">
        <f>250+'táj.4'!G5</f>
        <v>250</v>
      </c>
      <c r="J5" s="615">
        <f>670+'táj.4'!H5</f>
        <v>670</v>
      </c>
      <c r="K5" s="615">
        <f>0+'táj.4'!I5</f>
        <v>0</v>
      </c>
      <c r="L5" s="425">
        <f>0+'táj.4'!J5</f>
        <v>0</v>
      </c>
      <c r="M5" s="615">
        <f>0+'táj.4'!K5</f>
        <v>0</v>
      </c>
      <c r="N5" s="425">
        <f t="shared" si="0"/>
        <v>850440</v>
      </c>
    </row>
    <row r="6" spans="1:14" s="36" customFormat="1" ht="15" customHeight="1">
      <c r="A6" s="423" t="s">
        <v>1252</v>
      </c>
      <c r="B6" s="424" t="s">
        <v>268</v>
      </c>
      <c r="C6" s="615">
        <v>387888</v>
      </c>
      <c r="D6" s="615">
        <f>96261+'táj.4'!L6</f>
        <v>100328</v>
      </c>
      <c r="E6" s="425">
        <f>270059+'táj.4'!C6</f>
        <v>271686</v>
      </c>
      <c r="F6" s="425">
        <f>79346+'táj.4'!D6</f>
        <v>79786</v>
      </c>
      <c r="G6" s="425">
        <f>119837+'táj.4'!E6</f>
        <v>119837</v>
      </c>
      <c r="H6" s="425">
        <f>0+'táj.4'!F6</f>
        <v>0</v>
      </c>
      <c r="I6" s="425">
        <f>200+'táj.4'!G6</f>
        <v>200</v>
      </c>
      <c r="J6" s="425">
        <f>6007+'táj.4'!H6</f>
        <v>8007</v>
      </c>
      <c r="K6" s="425">
        <f>8700+'táj.4'!I6</f>
        <v>8700</v>
      </c>
      <c r="L6" s="425">
        <f>0+'táj.4'!J6</f>
        <v>0</v>
      </c>
      <c r="M6" s="425">
        <f>0+'táj.4'!K6</f>
        <v>0</v>
      </c>
      <c r="N6" s="425">
        <f t="shared" si="0"/>
        <v>488216</v>
      </c>
    </row>
    <row r="7" spans="1:14" s="36" customFormat="1" ht="23.25" customHeight="1">
      <c r="A7" s="423" t="s">
        <v>1250</v>
      </c>
      <c r="B7" s="415" t="s">
        <v>471</v>
      </c>
      <c r="C7" s="616">
        <v>331151</v>
      </c>
      <c r="D7" s="615">
        <f>94153+'táj.4'!L7</f>
        <v>94617</v>
      </c>
      <c r="E7" s="425">
        <f>185922+'táj.4'!C7</f>
        <v>186287</v>
      </c>
      <c r="F7" s="425">
        <f>53624+'táj.4'!D7</f>
        <v>53723</v>
      </c>
      <c r="G7" s="425">
        <f>172770+'táj.4'!E7</f>
        <v>172770</v>
      </c>
      <c r="H7" s="425">
        <f>0+'táj.4'!F7</f>
        <v>0</v>
      </c>
      <c r="I7" s="425">
        <f>0+'táj.4'!G7</f>
        <v>0</v>
      </c>
      <c r="J7" s="425">
        <f>12988+'táj.4'!H7</f>
        <v>12988</v>
      </c>
      <c r="K7" s="425">
        <f>0+'táj.4'!I7</f>
        <v>0</v>
      </c>
      <c r="L7" s="425">
        <f>0+'táj.4'!J7</f>
        <v>0</v>
      </c>
      <c r="M7" s="425">
        <f>0+'táj.4'!K7</f>
        <v>0</v>
      </c>
      <c r="N7" s="425">
        <f t="shared" si="0"/>
        <v>425768</v>
      </c>
    </row>
    <row r="8" spans="1:14" s="36" customFormat="1" ht="26.25" customHeight="1">
      <c r="A8" s="423" t="s">
        <v>1253</v>
      </c>
      <c r="B8" s="415" t="s">
        <v>472</v>
      </c>
      <c r="C8" s="616">
        <v>125278</v>
      </c>
      <c r="D8" s="615">
        <f>33680+'táj.4'!L8</f>
        <v>35250</v>
      </c>
      <c r="E8" s="425">
        <f>91786+'táj.4'!C8</f>
        <v>93022</v>
      </c>
      <c r="F8" s="425">
        <f>26282+'táj.4'!D8</f>
        <v>26616</v>
      </c>
      <c r="G8" s="425">
        <f>14950+'táj.4'!E8</f>
        <v>14950</v>
      </c>
      <c r="H8" s="425">
        <f>16600+'táj.4'!F8</f>
        <v>16600</v>
      </c>
      <c r="I8" s="425">
        <f>208+'táj.4'!G8</f>
        <v>208</v>
      </c>
      <c r="J8" s="425">
        <f>9132+'táj.4'!H8</f>
        <v>9132</v>
      </c>
      <c r="K8" s="425">
        <f>0+'táj.4'!I8</f>
        <v>0</v>
      </c>
      <c r="L8" s="425">
        <f>0+'táj.4'!J8</f>
        <v>0</v>
      </c>
      <c r="M8" s="425">
        <f>0+'táj.4'!K8</f>
        <v>0</v>
      </c>
      <c r="N8" s="425">
        <f t="shared" si="0"/>
        <v>160528</v>
      </c>
    </row>
    <row r="9" spans="1:14" s="36" customFormat="1" ht="15" customHeight="1">
      <c r="A9" s="423" t="s">
        <v>1255</v>
      </c>
      <c r="B9" s="416" t="s">
        <v>269</v>
      </c>
      <c r="C9" s="617">
        <v>353804</v>
      </c>
      <c r="D9" s="615">
        <f>9061+'táj.4'!L9</f>
        <v>11183</v>
      </c>
      <c r="E9" s="425">
        <f>208895+'táj.4'!C9</f>
        <v>208923</v>
      </c>
      <c r="F9" s="425">
        <f>61504+'táj.4'!D9</f>
        <v>61511</v>
      </c>
      <c r="G9" s="425">
        <f>91020+'táj.4'!E9</f>
        <v>91107</v>
      </c>
      <c r="H9" s="425">
        <f>0+'táj.4'!F9</f>
        <v>0</v>
      </c>
      <c r="I9" s="425">
        <f>596+'táj.4'!G9</f>
        <v>596</v>
      </c>
      <c r="J9" s="425">
        <f>850+'táj.4'!H9</f>
        <v>850</v>
      </c>
      <c r="K9" s="425">
        <f>0+'táj.4'!I9</f>
        <v>2000</v>
      </c>
      <c r="L9" s="425">
        <f>0+'táj.4'!J9</f>
        <v>0</v>
      </c>
      <c r="M9" s="425">
        <f>0+'táj.4'!K9</f>
        <v>0</v>
      </c>
      <c r="N9" s="425">
        <f t="shared" si="0"/>
        <v>364987</v>
      </c>
    </row>
    <row r="10" spans="1:14" s="36" customFormat="1" ht="15" customHeight="1">
      <c r="A10" s="423" t="s">
        <v>1257</v>
      </c>
      <c r="B10" s="416" t="s">
        <v>270</v>
      </c>
      <c r="C10" s="617">
        <v>314008</v>
      </c>
      <c r="D10" s="615">
        <f>5408+'táj.4'!L10</f>
        <v>5539</v>
      </c>
      <c r="E10" s="425">
        <f>186418+'táj.4'!C10</f>
        <v>186490</v>
      </c>
      <c r="F10" s="425">
        <f>53059+'táj.4'!D10</f>
        <v>53078</v>
      </c>
      <c r="G10" s="425">
        <f>78320+'táj.4'!E10</f>
        <v>78360</v>
      </c>
      <c r="H10" s="425">
        <f>0+'táj.4'!F10</f>
        <v>0</v>
      </c>
      <c r="I10" s="425">
        <f>265+'táj.4'!G10</f>
        <v>265</v>
      </c>
      <c r="J10" s="425">
        <f>1350+'táj.4'!H10</f>
        <v>1350</v>
      </c>
      <c r="K10" s="425">
        <f>4+'táj.4'!I10</f>
        <v>4</v>
      </c>
      <c r="L10" s="425">
        <f>0+'táj.4'!J10</f>
        <v>0</v>
      </c>
      <c r="M10" s="425">
        <f>0+'táj.4'!K10</f>
        <v>0</v>
      </c>
      <c r="N10" s="425">
        <f t="shared" si="0"/>
        <v>319547</v>
      </c>
    </row>
    <row r="11" spans="1:14" s="37" customFormat="1" ht="15" customHeight="1">
      <c r="A11" s="423" t="s">
        <v>1105</v>
      </c>
      <c r="B11" s="416" t="s">
        <v>271</v>
      </c>
      <c r="C11" s="617">
        <v>331723</v>
      </c>
      <c r="D11" s="615">
        <f>7908+'táj.4'!L11</f>
        <v>8063</v>
      </c>
      <c r="E11" s="8">
        <f>204860+'táj.4'!C11</f>
        <v>204982</v>
      </c>
      <c r="F11" s="8">
        <f>59467+'táj.4'!D11</f>
        <v>59500</v>
      </c>
      <c r="G11" s="99">
        <f>73862+'táj.4'!E11</f>
        <v>73862</v>
      </c>
      <c r="H11" s="99">
        <f>0+'táj.4'!F11</f>
        <v>0</v>
      </c>
      <c r="I11" s="99">
        <f>642+'táj.4'!G11</f>
        <v>545</v>
      </c>
      <c r="J11" s="99">
        <f>800+'táj.4'!H11</f>
        <v>216</v>
      </c>
      <c r="K11" s="99">
        <f>0+'táj.4'!I11</f>
        <v>681</v>
      </c>
      <c r="L11" s="425">
        <f>0+'táj.4'!J11</f>
        <v>0</v>
      </c>
      <c r="M11" s="99">
        <f>0+'táj.4'!K11</f>
        <v>0</v>
      </c>
      <c r="N11" s="425">
        <f t="shared" si="0"/>
        <v>339786</v>
      </c>
    </row>
    <row r="12" spans="1:14" s="37" customFormat="1" ht="17.25" customHeight="1">
      <c r="A12" s="423" t="s">
        <v>1106</v>
      </c>
      <c r="B12" s="416" t="s">
        <v>272</v>
      </c>
      <c r="C12" s="617">
        <v>304363</v>
      </c>
      <c r="D12" s="615">
        <f>12318+'táj.4'!L12</f>
        <v>12581</v>
      </c>
      <c r="E12" s="8">
        <f>190392+'táj.4'!C12</f>
        <v>190408</v>
      </c>
      <c r="F12" s="8">
        <f>54769+'táj.4'!D12</f>
        <v>54774</v>
      </c>
      <c r="G12" s="99">
        <f>70045+'táj.4'!E12</f>
        <v>70287</v>
      </c>
      <c r="H12" s="99">
        <f>0+'táj.4'!F12</f>
        <v>0</v>
      </c>
      <c r="I12" s="99">
        <f>235+'táj.4'!G12</f>
        <v>235</v>
      </c>
      <c r="J12" s="99">
        <f>1240+'táj.4'!H12</f>
        <v>1240</v>
      </c>
      <c r="K12" s="99">
        <f>0+'táj.4'!I12</f>
        <v>0</v>
      </c>
      <c r="L12" s="425">
        <f>0+'táj.4'!J12</f>
        <v>0</v>
      </c>
      <c r="M12" s="99">
        <f>0+'táj.4'!K12</f>
        <v>0</v>
      </c>
      <c r="N12" s="425">
        <f t="shared" si="0"/>
        <v>316944</v>
      </c>
    </row>
    <row r="13" spans="1:14" s="37" customFormat="1" ht="18.75" customHeight="1">
      <c r="A13" s="423" t="s">
        <v>1107</v>
      </c>
      <c r="B13" s="417" t="s">
        <v>473</v>
      </c>
      <c r="C13" s="618">
        <v>39269</v>
      </c>
      <c r="D13" s="615">
        <f>3551+'táj.4'!L13</f>
        <v>3668</v>
      </c>
      <c r="E13" s="8">
        <f>31363+'táj.4'!C13</f>
        <v>31455</v>
      </c>
      <c r="F13" s="8">
        <f>8869+'táj.4'!D13</f>
        <v>8894</v>
      </c>
      <c r="G13" s="99">
        <f>2279+'táj.4'!E13</f>
        <v>2279</v>
      </c>
      <c r="H13" s="99">
        <f>0+'táj.4'!F13</f>
        <v>0</v>
      </c>
      <c r="I13" s="99">
        <f>160+'táj.4'!G13</f>
        <v>160</v>
      </c>
      <c r="J13" s="99">
        <f>149+'táj.4'!H13</f>
        <v>149</v>
      </c>
      <c r="K13" s="99">
        <f>0+'táj.4'!I13</f>
        <v>0</v>
      </c>
      <c r="L13" s="425">
        <f>0+'táj.4'!J13</f>
        <v>0</v>
      </c>
      <c r="M13" s="99">
        <f>0+'táj.4'!K13</f>
        <v>0</v>
      </c>
      <c r="N13" s="425">
        <f t="shared" si="0"/>
        <v>42937</v>
      </c>
    </row>
    <row r="14" spans="1:14" s="37" customFormat="1" ht="13.5" customHeight="1">
      <c r="A14" s="423" t="s">
        <v>1108</v>
      </c>
      <c r="B14" s="418" t="s">
        <v>265</v>
      </c>
      <c r="C14" s="619">
        <v>254342</v>
      </c>
      <c r="D14" s="615">
        <f>51528+'táj.4'!L14</f>
        <v>51797</v>
      </c>
      <c r="E14" s="8">
        <f>130875+'táj.4'!C14</f>
        <v>127922</v>
      </c>
      <c r="F14" s="8">
        <f>35579+'táj.4'!D14</f>
        <v>34782</v>
      </c>
      <c r="G14" s="99">
        <f>135677+'táj.4'!E14</f>
        <v>139277</v>
      </c>
      <c r="H14" s="99">
        <f>0+'táj.4'!F14</f>
        <v>0</v>
      </c>
      <c r="I14" s="99">
        <f>309+'táj.4'!G14</f>
        <v>0</v>
      </c>
      <c r="J14" s="99">
        <f>2700+'táj.4'!H14</f>
        <v>3230</v>
      </c>
      <c r="K14" s="99">
        <f>730+'táj.4'!I14</f>
        <v>928</v>
      </c>
      <c r="L14" s="425">
        <f>0+'táj.4'!J14</f>
        <v>0</v>
      </c>
      <c r="M14" s="99">
        <f>0+'táj.4'!K14</f>
        <v>0</v>
      </c>
      <c r="N14" s="425">
        <f t="shared" si="0"/>
        <v>306139</v>
      </c>
    </row>
    <row r="15" spans="1:14" s="37" customFormat="1" ht="24.75" customHeight="1">
      <c r="A15" s="423" t="s">
        <v>1109</v>
      </c>
      <c r="B15" s="415" t="s">
        <v>273</v>
      </c>
      <c r="C15" s="616">
        <v>17771</v>
      </c>
      <c r="D15" s="615">
        <f>5071+'táj.4'!L15</f>
        <v>5090</v>
      </c>
      <c r="E15" s="8">
        <f>13087+'táj.4'!C15</f>
        <v>13102</v>
      </c>
      <c r="F15" s="8">
        <f>3525+'táj.4'!D15</f>
        <v>3529</v>
      </c>
      <c r="G15" s="99">
        <f>6028+'táj.4'!E15</f>
        <v>6028</v>
      </c>
      <c r="H15" s="99">
        <f>0+'táj.4'!F15</f>
        <v>0</v>
      </c>
      <c r="I15" s="99">
        <f>0+'táj.4'!G15</f>
        <v>0</v>
      </c>
      <c r="J15" s="99">
        <f>202+'táj.4'!H15</f>
        <v>202</v>
      </c>
      <c r="K15" s="99">
        <f>0+'táj.4'!I15</f>
        <v>0</v>
      </c>
      <c r="L15" s="425">
        <f>0+'táj.4'!J15</f>
        <v>0</v>
      </c>
      <c r="M15" s="99">
        <f>0+'táj.4'!K15</f>
        <v>0</v>
      </c>
      <c r="N15" s="425">
        <f t="shared" si="0"/>
        <v>22861</v>
      </c>
    </row>
    <row r="16" spans="1:14" s="37" customFormat="1" ht="13.5" customHeight="1">
      <c r="A16" s="423" t="s">
        <v>1110</v>
      </c>
      <c r="B16" s="416" t="s">
        <v>266</v>
      </c>
      <c r="C16" s="617">
        <v>374475</v>
      </c>
      <c r="D16" s="615">
        <f>13683+'táj.4'!L16</f>
        <v>33134</v>
      </c>
      <c r="E16" s="8">
        <f>147500+'táj.4'!C16</f>
        <v>147831</v>
      </c>
      <c r="F16" s="8">
        <f>38842+'táj.4'!D16</f>
        <v>38932</v>
      </c>
      <c r="G16" s="99">
        <f>145638+'táj.4'!E16</f>
        <v>160998</v>
      </c>
      <c r="H16" s="99">
        <f>0+'táj.4'!F16</f>
        <v>0</v>
      </c>
      <c r="I16" s="99">
        <f>15000+'táj.4'!G16</f>
        <v>15000</v>
      </c>
      <c r="J16" s="99">
        <f>41178+'táj.4'!H16</f>
        <v>44848</v>
      </c>
      <c r="K16" s="99">
        <f>0+'táj.4'!I16</f>
        <v>0</v>
      </c>
      <c r="L16" s="425">
        <f>0+'táj.4'!J16</f>
        <v>0</v>
      </c>
      <c r="M16" s="99">
        <f>0+'táj.4'!K16</f>
        <v>0</v>
      </c>
      <c r="N16" s="425">
        <f t="shared" si="0"/>
        <v>407609</v>
      </c>
    </row>
    <row r="17" spans="1:14" s="37" customFormat="1" ht="13.5" customHeight="1">
      <c r="A17" s="423" t="s">
        <v>1269</v>
      </c>
      <c r="B17" s="416" t="s">
        <v>267</v>
      </c>
      <c r="C17" s="617">
        <v>230166</v>
      </c>
      <c r="D17" s="615">
        <f>26519+'táj.4'!L17</f>
        <v>26645</v>
      </c>
      <c r="E17" s="8">
        <f>109587+'táj.4'!C17</f>
        <v>109686</v>
      </c>
      <c r="F17" s="8">
        <f>31988+'táj.4'!D17</f>
        <v>32015</v>
      </c>
      <c r="G17" s="99">
        <f>73898+'táj.4'!E17</f>
        <v>73898</v>
      </c>
      <c r="H17" s="99">
        <f>0+'táj.4'!F17</f>
        <v>0</v>
      </c>
      <c r="I17" s="99">
        <f>10967+'táj.4'!G17</f>
        <v>10967</v>
      </c>
      <c r="J17" s="99">
        <f>30245+'táj.4'!H17</f>
        <v>30245</v>
      </c>
      <c r="K17" s="99">
        <f>0+'táj.4'!I17</f>
        <v>0</v>
      </c>
      <c r="L17" s="425">
        <f>0+'táj.4'!J17</f>
        <v>0</v>
      </c>
      <c r="M17" s="99">
        <f>0+'táj.4'!K17</f>
        <v>0</v>
      </c>
      <c r="N17" s="425">
        <f t="shared" si="0"/>
        <v>256811</v>
      </c>
    </row>
    <row r="18" spans="1:14" s="37" customFormat="1" ht="12.75" customHeight="1">
      <c r="A18" s="423" t="s">
        <v>1111</v>
      </c>
      <c r="B18" s="416" t="s">
        <v>274</v>
      </c>
      <c r="C18" s="617">
        <v>597821</v>
      </c>
      <c r="D18" s="615">
        <f>40476+'táj.4'!L18</f>
        <v>44021</v>
      </c>
      <c r="E18" s="8">
        <f>314159+'táj.4'!C18</f>
        <v>314588</v>
      </c>
      <c r="F18" s="8">
        <f>82705+'táj.4'!D18</f>
        <v>82821</v>
      </c>
      <c r="G18" s="99">
        <f>218164+'táj.4'!E18</f>
        <v>221164</v>
      </c>
      <c r="H18" s="99">
        <f>0+'táj.4'!F18</f>
        <v>0</v>
      </c>
      <c r="I18" s="99">
        <f>882+'táj.4'!G18</f>
        <v>882</v>
      </c>
      <c r="J18" s="99">
        <f>2400+'táj.4'!H18</f>
        <v>2400</v>
      </c>
      <c r="K18" s="99">
        <f>19987+'táj.4'!I18</f>
        <v>19987</v>
      </c>
      <c r="L18" s="425">
        <f>0+'táj.4'!J18</f>
        <v>0</v>
      </c>
      <c r="M18" s="99">
        <f>0+'táj.4'!K18</f>
        <v>0</v>
      </c>
      <c r="N18" s="425">
        <f t="shared" si="0"/>
        <v>641842</v>
      </c>
    </row>
    <row r="19" spans="1:14" s="37" customFormat="1" ht="12.75" customHeight="1">
      <c r="A19" s="423" t="s">
        <v>1112</v>
      </c>
      <c r="B19" s="416" t="s">
        <v>275</v>
      </c>
      <c r="C19" s="617">
        <v>118700</v>
      </c>
      <c r="D19" s="615">
        <f>9417+'táj.4'!L19</f>
        <v>9543</v>
      </c>
      <c r="E19" s="8">
        <f>50776+'táj.4'!C19</f>
        <v>50875</v>
      </c>
      <c r="F19" s="8">
        <f>13347+'táj.4'!D19</f>
        <v>13374</v>
      </c>
      <c r="G19" s="99">
        <f>61994+'táj.4'!E19</f>
        <v>61994</v>
      </c>
      <c r="H19" s="99">
        <f>0+'táj.4'!F19</f>
        <v>0</v>
      </c>
      <c r="I19" s="99">
        <f>0+'táj.4'!G19</f>
        <v>0</v>
      </c>
      <c r="J19" s="99">
        <f>2000+'táj.4'!H19</f>
        <v>2000</v>
      </c>
      <c r="K19" s="99">
        <f>0+'táj.4'!I19</f>
        <v>0</v>
      </c>
      <c r="L19" s="425">
        <f>0+'táj.4'!J19</f>
        <v>0</v>
      </c>
      <c r="M19" s="99">
        <f>0+'táj.4'!K19</f>
        <v>0</v>
      </c>
      <c r="N19" s="425">
        <f t="shared" si="0"/>
        <v>128243</v>
      </c>
    </row>
    <row r="20" spans="1:14" s="37" customFormat="1" ht="15.75" customHeight="1">
      <c r="A20" s="423" t="s">
        <v>474</v>
      </c>
      <c r="B20" s="416" t="s">
        <v>475</v>
      </c>
      <c r="C20" s="617">
        <v>108321</v>
      </c>
      <c r="D20" s="615">
        <f>12515+'táj.4'!L20</f>
        <v>12603</v>
      </c>
      <c r="E20" s="99">
        <f>47646+'táj.4'!C20</f>
        <v>47715</v>
      </c>
      <c r="F20" s="99">
        <f>13876+'táj.4'!D20</f>
        <v>13895</v>
      </c>
      <c r="G20" s="99">
        <f>51746+'táj.4'!E20</f>
        <v>51746</v>
      </c>
      <c r="H20" s="99">
        <f>0+'táj.4'!F20</f>
        <v>0</v>
      </c>
      <c r="I20" s="99">
        <f>0+'táj.4'!G20</f>
        <v>0</v>
      </c>
      <c r="J20" s="99">
        <f>6600+'táj.4'!H20</f>
        <v>6600</v>
      </c>
      <c r="K20" s="99">
        <f>968+'táj.4'!I20</f>
        <v>968</v>
      </c>
      <c r="L20" s="425">
        <f>0+'táj.4'!J20</f>
        <v>0</v>
      </c>
      <c r="M20" s="99">
        <f>0+'táj.4'!K20</f>
        <v>0</v>
      </c>
      <c r="N20" s="425">
        <f t="shared" si="0"/>
        <v>120924</v>
      </c>
    </row>
    <row r="21" spans="1:14" s="4" customFormat="1" ht="12">
      <c r="A21" s="423" t="s">
        <v>476</v>
      </c>
      <c r="B21" s="416" t="s">
        <v>528</v>
      </c>
      <c r="C21" s="617">
        <v>104000</v>
      </c>
      <c r="D21" s="615">
        <f>18310+'táj.4'!L21</f>
        <v>18332</v>
      </c>
      <c r="E21" s="15">
        <f>34914+'táj.4'!C21</f>
        <v>34931</v>
      </c>
      <c r="F21" s="15">
        <f>9426+'táj.4'!D21</f>
        <v>9431</v>
      </c>
      <c r="G21" s="15">
        <f>75211+'táj.4'!E21</f>
        <v>75211</v>
      </c>
      <c r="H21" s="15">
        <f>0+'táj.4'!F21</f>
        <v>0</v>
      </c>
      <c r="I21" s="15">
        <f>259+'táj.4'!G21</f>
        <v>259</v>
      </c>
      <c r="J21" s="15">
        <f>2500+'táj.4'!H21</f>
        <v>2500</v>
      </c>
      <c r="K21" s="15">
        <f>0+'táj.4'!I21</f>
        <v>0</v>
      </c>
      <c r="L21" s="425">
        <f>0+'táj.4'!J21</f>
        <v>0</v>
      </c>
      <c r="M21" s="15">
        <f>0+'táj.4'!K21</f>
        <v>0</v>
      </c>
      <c r="N21" s="425">
        <f t="shared" si="0"/>
        <v>122332</v>
      </c>
    </row>
    <row r="22" spans="1:14" s="4" customFormat="1" ht="12">
      <c r="A22" s="426"/>
      <c r="B22" s="427" t="s">
        <v>1016</v>
      </c>
      <c r="C22" s="620">
        <v>6586027</v>
      </c>
      <c r="D22" s="620">
        <f>SUM(D3:D21)</f>
        <v>581092</v>
      </c>
      <c r="E22" s="111">
        <f aca="true" t="shared" si="1" ref="E22:N22">SUM(E3:E21)</f>
        <v>3374338</v>
      </c>
      <c r="F22" s="111">
        <f t="shared" si="1"/>
        <v>957453</v>
      </c>
      <c r="G22" s="111">
        <f t="shared" si="1"/>
        <v>2598352</v>
      </c>
      <c r="H22" s="111">
        <f t="shared" si="1"/>
        <v>16600</v>
      </c>
      <c r="I22" s="111">
        <f t="shared" si="1"/>
        <v>30770</v>
      </c>
      <c r="J22" s="111">
        <f t="shared" si="1"/>
        <v>152581</v>
      </c>
      <c r="K22" s="111">
        <f t="shared" si="1"/>
        <v>37025</v>
      </c>
      <c r="L22" s="111">
        <f t="shared" si="1"/>
        <v>0</v>
      </c>
      <c r="M22" s="111">
        <f t="shared" si="1"/>
        <v>0</v>
      </c>
      <c r="N22" s="111">
        <f t="shared" si="1"/>
        <v>7167119</v>
      </c>
    </row>
    <row r="23" s="4" customFormat="1" ht="12">
      <c r="N23" s="28"/>
    </row>
    <row r="24" spans="2:14" s="4" customFormat="1" ht="12">
      <c r="B24" s="23"/>
      <c r="C24" s="23"/>
      <c r="D24" s="23"/>
      <c r="N24" s="28"/>
    </row>
    <row r="25" s="4" customFormat="1" ht="12">
      <c r="N25" s="28"/>
    </row>
    <row r="26" s="4" customFormat="1" ht="12">
      <c r="N26" s="28"/>
    </row>
    <row r="27" spans="5:14" s="4" customFormat="1" ht="12">
      <c r="E27" s="23"/>
      <c r="N27" s="28"/>
    </row>
  </sheetData>
  <sheetProtection/>
  <mergeCells count="7">
    <mergeCell ref="N1:N2"/>
    <mergeCell ref="A1:A2"/>
    <mergeCell ref="B1:B2"/>
    <mergeCell ref="E1:L1"/>
    <mergeCell ref="M1:M2"/>
    <mergeCell ref="C1:C2"/>
    <mergeCell ref="D1:D2"/>
  </mergeCells>
  <printOptions horizontalCentered="1" verticalCentered="1"/>
  <pageMargins left="0.2362204724409449" right="0.35433070866141736" top="1.6929133858267718" bottom="0.7874015748031497" header="0.6299212598425197" footer="0.5118110236220472"/>
  <pageSetup fitToHeight="1" fitToWidth="1" horizontalDpi="300" verticalDpi="300" orientation="landscape" paperSize="9" scale="93" r:id="rId1"/>
  <headerFooter alignWithMargins="0">
    <oddHeader>&amp;C&amp;"Times New Roman CE,Félkövér dőlt"ZALAEGERSZEG MEGYEI JOGÚ VÁROS ÖNKORMÁNYZATA ÁLTAL IRÁNYÍTOTT KÖLTSÉGVETÉSI SZERVEK 
2016.  ÉVI KIADÁSI ELŐIRÁNYZATAI&amp;R&amp;"Times New Roman CE,Félkövér dőlt"8. melléklet
Adatok: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70"/>
  <sheetViews>
    <sheetView zoomScalePageLayoutView="0" workbookViewId="0" topLeftCell="A1">
      <pane ySplit="2" topLeftCell="BM97" activePane="bottomLeft" state="frozen"/>
      <selection pane="topLeft" activeCell="A1" sqref="A1"/>
      <selection pane="bottomLeft" activeCell="A133" sqref="A133:IV133"/>
    </sheetView>
  </sheetViews>
  <sheetFormatPr defaultColWidth="9.00390625" defaultRowHeight="12.75"/>
  <cols>
    <col min="1" max="1" width="5.375" style="148" customWidth="1"/>
    <col min="2" max="2" width="5.50390625" style="148" customWidth="1"/>
    <col min="3" max="3" width="40.875" style="148" customWidth="1"/>
    <col min="4" max="4" width="10.375" style="508" customWidth="1"/>
    <col min="5" max="5" width="13.00390625" style="148" customWidth="1"/>
    <col min="6" max="6" width="13.125" style="148" customWidth="1"/>
    <col min="7" max="7" width="12.375" style="148" customWidth="1"/>
    <col min="8" max="8" width="11.375" style="148" customWidth="1"/>
    <col min="9" max="9" width="11.875" style="148" customWidth="1"/>
    <col min="10" max="10" width="10.875" style="148" customWidth="1"/>
    <col min="11" max="11" width="13.125" style="148" customWidth="1"/>
    <col min="12" max="13" width="11.50390625" style="148" customWidth="1"/>
    <col min="14" max="14" width="10.625" style="148" customWidth="1"/>
    <col min="15" max="15" width="13.125" style="148" customWidth="1"/>
    <col min="16" max="16" width="10.875" style="148" bestFit="1" customWidth="1"/>
    <col min="17" max="17" width="12.125" style="148" bestFit="1" customWidth="1"/>
    <col min="18" max="16384" width="9.375" style="148" customWidth="1"/>
  </cols>
  <sheetData>
    <row r="1" spans="1:15" ht="13.5">
      <c r="A1" s="769" t="s">
        <v>1285</v>
      </c>
      <c r="B1" s="769" t="s">
        <v>1286</v>
      </c>
      <c r="C1" s="766" t="s">
        <v>151</v>
      </c>
      <c r="D1" s="769" t="s">
        <v>573</v>
      </c>
      <c r="E1" s="767" t="s">
        <v>164</v>
      </c>
      <c r="F1" s="767"/>
      <c r="G1" s="767"/>
      <c r="H1" s="767"/>
      <c r="I1" s="767"/>
      <c r="J1" s="767"/>
      <c r="K1" s="767"/>
      <c r="L1" s="768" t="s">
        <v>536</v>
      </c>
      <c r="M1" s="768"/>
      <c r="N1" s="768"/>
      <c r="O1" s="766" t="s">
        <v>1016</v>
      </c>
    </row>
    <row r="2" spans="1:15" s="135" customFormat="1" ht="54.75" customHeight="1">
      <c r="A2" s="769"/>
      <c r="B2" s="769"/>
      <c r="C2" s="766"/>
      <c r="D2" s="770"/>
      <c r="E2" s="555" t="s">
        <v>1017</v>
      </c>
      <c r="F2" s="555" t="s">
        <v>1018</v>
      </c>
      <c r="G2" s="554" t="s">
        <v>1019</v>
      </c>
      <c r="H2" s="507" t="s">
        <v>532</v>
      </c>
      <c r="I2" s="554" t="s">
        <v>533</v>
      </c>
      <c r="J2" s="554" t="s">
        <v>534</v>
      </c>
      <c r="K2" s="554" t="s">
        <v>535</v>
      </c>
      <c r="L2" s="554" t="s">
        <v>165</v>
      </c>
      <c r="M2" s="554" t="s">
        <v>166</v>
      </c>
      <c r="N2" s="554" t="s">
        <v>168</v>
      </c>
      <c r="O2" s="766"/>
    </row>
    <row r="3" spans="1:15" s="135" customFormat="1" ht="12.75" customHeight="1">
      <c r="A3" s="146">
        <v>1</v>
      </c>
      <c r="B3" s="146"/>
      <c r="C3" s="429" t="s">
        <v>452</v>
      </c>
      <c r="D3" s="552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</row>
    <row r="4" spans="1:15" s="135" customFormat="1" ht="12.75" customHeight="1">
      <c r="A4" s="1">
        <v>1</v>
      </c>
      <c r="B4" s="1">
        <v>1</v>
      </c>
      <c r="C4" s="430" t="s">
        <v>812</v>
      </c>
      <c r="D4" s="490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39" customFormat="1" ht="13.5" customHeight="1">
      <c r="A5" s="172">
        <v>1</v>
      </c>
      <c r="B5" s="172">
        <v>12</v>
      </c>
      <c r="C5" s="431" t="s">
        <v>1485</v>
      </c>
      <c r="D5" s="71"/>
      <c r="E5" s="316"/>
      <c r="F5" s="316"/>
      <c r="G5" s="140"/>
      <c r="H5" s="140"/>
      <c r="I5" s="140"/>
      <c r="J5" s="140"/>
      <c r="K5" s="140"/>
      <c r="L5" s="140"/>
      <c r="M5" s="140"/>
      <c r="N5" s="140"/>
      <c r="O5" s="140"/>
    </row>
    <row r="6" spans="1:15" s="139" customFormat="1" ht="24.75" customHeight="1">
      <c r="A6" s="172"/>
      <c r="B6" s="172"/>
      <c r="C6" s="216" t="s">
        <v>57</v>
      </c>
      <c r="D6" s="491"/>
      <c r="E6" s="316"/>
      <c r="F6" s="316"/>
      <c r="G6" s="140"/>
      <c r="H6" s="140"/>
      <c r="I6" s="140"/>
      <c r="J6" s="140"/>
      <c r="K6" s="140"/>
      <c r="L6" s="140"/>
      <c r="M6" s="140"/>
      <c r="N6" s="140"/>
      <c r="O6" s="140"/>
    </row>
    <row r="7" spans="1:15" s="139" customFormat="1" ht="14.25" customHeight="1">
      <c r="A7" s="141"/>
      <c r="B7" s="141"/>
      <c r="C7" s="274" t="s">
        <v>125</v>
      </c>
      <c r="D7" s="482" t="s">
        <v>1305</v>
      </c>
      <c r="E7" s="140"/>
      <c r="F7" s="140"/>
      <c r="G7" s="140"/>
      <c r="H7" s="140">
        <v>458</v>
      </c>
      <c r="I7" s="140"/>
      <c r="J7" s="140"/>
      <c r="K7" s="140"/>
      <c r="L7" s="140"/>
      <c r="M7" s="140"/>
      <c r="N7" s="140"/>
      <c r="O7" s="140">
        <f>SUM(H7:N7)</f>
        <v>458</v>
      </c>
    </row>
    <row r="8" spans="1:15" s="139" customFormat="1" ht="23.25" customHeight="1">
      <c r="A8" s="141"/>
      <c r="B8" s="141"/>
      <c r="C8" s="699" t="s">
        <v>1263</v>
      </c>
      <c r="D8" s="482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</row>
    <row r="9" spans="1:15" s="139" customFormat="1" ht="25.5" customHeight="1" hidden="1">
      <c r="A9" s="141"/>
      <c r="B9" s="141"/>
      <c r="C9" s="217" t="s">
        <v>928</v>
      </c>
      <c r="D9" s="700">
        <v>121124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>
        <f>SUM(E9:N9)</f>
        <v>0</v>
      </c>
    </row>
    <row r="10" spans="1:15" s="139" customFormat="1" ht="15" customHeight="1">
      <c r="A10" s="141"/>
      <c r="B10" s="141"/>
      <c r="C10" s="217" t="s">
        <v>186</v>
      </c>
      <c r="D10" s="700">
        <v>121203</v>
      </c>
      <c r="E10" s="140"/>
      <c r="F10" s="140"/>
      <c r="G10" s="140"/>
      <c r="H10" s="140">
        <v>1670</v>
      </c>
      <c r="I10" s="140"/>
      <c r="J10" s="140"/>
      <c r="K10" s="140"/>
      <c r="L10" s="140"/>
      <c r="M10" s="140"/>
      <c r="N10" s="140"/>
      <c r="O10" s="140">
        <f>SUM(E10:N10)</f>
        <v>1670</v>
      </c>
    </row>
    <row r="11" spans="1:15" s="139" customFormat="1" ht="13.5" customHeight="1">
      <c r="A11" s="137"/>
      <c r="B11" s="137"/>
      <c r="C11" s="177" t="s">
        <v>1492</v>
      </c>
      <c r="D11" s="492"/>
      <c r="E11" s="138">
        <f>SUM(E5:E10)</f>
        <v>0</v>
      </c>
      <c r="F11" s="138">
        <f aca="true" t="shared" si="0" ref="F11:O11">SUM(F5:F10)</f>
        <v>0</v>
      </c>
      <c r="G11" s="138">
        <f t="shared" si="0"/>
        <v>0</v>
      </c>
      <c r="H11" s="138">
        <f t="shared" si="0"/>
        <v>2128</v>
      </c>
      <c r="I11" s="138">
        <f t="shared" si="0"/>
        <v>0</v>
      </c>
      <c r="J11" s="138">
        <f t="shared" si="0"/>
        <v>0</v>
      </c>
      <c r="K11" s="138">
        <f t="shared" si="0"/>
        <v>0</v>
      </c>
      <c r="L11" s="138">
        <f t="shared" si="0"/>
        <v>0</v>
      </c>
      <c r="M11" s="138">
        <f t="shared" si="0"/>
        <v>0</v>
      </c>
      <c r="N11" s="138">
        <f t="shared" si="0"/>
        <v>0</v>
      </c>
      <c r="O11" s="138">
        <f t="shared" si="0"/>
        <v>2128</v>
      </c>
    </row>
    <row r="12" spans="1:15" s="139" customFormat="1" ht="15" customHeight="1">
      <c r="A12" s="142">
        <v>1</v>
      </c>
      <c r="B12" s="142">
        <v>13</v>
      </c>
      <c r="C12" s="431" t="s">
        <v>1486</v>
      </c>
      <c r="D12" s="493"/>
      <c r="E12" s="179"/>
      <c r="F12" s="143"/>
      <c r="G12" s="143"/>
      <c r="H12" s="143"/>
      <c r="I12" s="143"/>
      <c r="J12" s="143"/>
      <c r="K12" s="143"/>
      <c r="L12" s="143"/>
      <c r="M12" s="143"/>
      <c r="N12" s="143"/>
      <c r="O12" s="143"/>
    </row>
    <row r="13" spans="1:15" s="139" customFormat="1" ht="13.5" customHeight="1" hidden="1">
      <c r="A13" s="142"/>
      <c r="B13" s="142"/>
      <c r="C13" s="174" t="s">
        <v>61</v>
      </c>
      <c r="D13" s="373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</row>
    <row r="14" spans="1:15" s="139" customFormat="1" ht="24.75" customHeight="1" hidden="1">
      <c r="A14" s="142"/>
      <c r="B14" s="142"/>
      <c r="C14" s="217" t="s">
        <v>486</v>
      </c>
      <c r="D14" s="494">
        <v>131705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>
        <f>SUM(E14:N14)</f>
        <v>0</v>
      </c>
    </row>
    <row r="15" spans="1:15" s="139" customFormat="1" ht="24.75" customHeight="1" hidden="1">
      <c r="A15" s="142"/>
      <c r="B15" s="142"/>
      <c r="C15" s="432" t="s">
        <v>188</v>
      </c>
      <c r="D15" s="494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71"/>
    </row>
    <row r="16" spans="1:15" s="139" customFormat="1" ht="24.75" customHeight="1" hidden="1">
      <c r="A16" s="142"/>
      <c r="B16" s="142"/>
      <c r="C16" s="432" t="s">
        <v>483</v>
      </c>
      <c r="D16" s="494">
        <v>131703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>
        <f>SUM(E16:N16)</f>
        <v>0</v>
      </c>
    </row>
    <row r="17" spans="1:15" s="139" customFormat="1" ht="38.25" customHeight="1" hidden="1">
      <c r="A17" s="142"/>
      <c r="B17" s="142"/>
      <c r="C17" s="225" t="s">
        <v>189</v>
      </c>
      <c r="D17" s="494"/>
      <c r="E17" s="570"/>
      <c r="F17" s="140"/>
      <c r="G17" s="140"/>
      <c r="H17" s="140"/>
      <c r="I17" s="140"/>
      <c r="J17" s="140"/>
      <c r="K17" s="140"/>
      <c r="L17" s="140"/>
      <c r="M17" s="140"/>
      <c r="N17" s="140"/>
      <c r="O17" s="140"/>
    </row>
    <row r="18" spans="1:15" s="139" customFormat="1" ht="24.75" customHeight="1" hidden="1">
      <c r="A18" s="142"/>
      <c r="B18" s="142"/>
      <c r="C18" s="225" t="s">
        <v>574</v>
      </c>
      <c r="D18" s="494">
        <v>131711</v>
      </c>
      <c r="E18" s="571"/>
      <c r="F18" s="140"/>
      <c r="G18" s="140"/>
      <c r="H18" s="140"/>
      <c r="I18" s="140"/>
      <c r="J18" s="140"/>
      <c r="K18" s="140"/>
      <c r="L18" s="140"/>
      <c r="M18" s="140"/>
      <c r="N18" s="140"/>
      <c r="O18" s="140">
        <f>SUM(E18:N18)</f>
        <v>0</v>
      </c>
    </row>
    <row r="19" spans="1:15" s="139" customFormat="1" ht="24.75" customHeight="1" hidden="1">
      <c r="A19" s="142"/>
      <c r="B19" s="142"/>
      <c r="C19" s="224" t="s">
        <v>67</v>
      </c>
      <c r="D19" s="494"/>
      <c r="E19" s="571"/>
      <c r="F19" s="140"/>
      <c r="G19" s="140"/>
      <c r="H19" s="140"/>
      <c r="I19" s="140"/>
      <c r="J19" s="140"/>
      <c r="K19" s="140"/>
      <c r="L19" s="140"/>
      <c r="M19" s="140"/>
      <c r="N19" s="140"/>
      <c r="O19" s="140"/>
    </row>
    <row r="20" spans="1:15" s="139" customFormat="1" ht="24.75" customHeight="1" hidden="1">
      <c r="A20" s="142"/>
      <c r="B20" s="142"/>
      <c r="C20" s="224" t="s">
        <v>760</v>
      </c>
      <c r="D20" s="373">
        <v>132964</v>
      </c>
      <c r="E20" s="571"/>
      <c r="F20" s="140"/>
      <c r="G20" s="140"/>
      <c r="H20" s="140"/>
      <c r="I20" s="140"/>
      <c r="J20" s="140"/>
      <c r="K20" s="140"/>
      <c r="L20" s="140"/>
      <c r="M20" s="140"/>
      <c r="N20" s="140"/>
      <c r="O20" s="140">
        <f>SUM(E20:N20)</f>
        <v>0</v>
      </c>
    </row>
    <row r="21" spans="1:15" s="139" customFormat="1" ht="36" hidden="1">
      <c r="A21" s="142"/>
      <c r="B21" s="142"/>
      <c r="C21" s="224" t="s">
        <v>1164</v>
      </c>
      <c r="D21" s="494">
        <v>134979</v>
      </c>
      <c r="E21" s="571"/>
      <c r="F21" s="140"/>
      <c r="G21" s="140"/>
      <c r="H21" s="140"/>
      <c r="I21" s="140"/>
      <c r="J21" s="140"/>
      <c r="K21" s="140"/>
      <c r="L21" s="140"/>
      <c r="M21" s="140"/>
      <c r="N21" s="140"/>
      <c r="O21" s="140">
        <f>SUM(E21:N21)</f>
        <v>0</v>
      </c>
    </row>
    <row r="22" spans="1:15" s="139" customFormat="1" ht="24.75" customHeight="1" hidden="1">
      <c r="A22" s="142"/>
      <c r="B22" s="142"/>
      <c r="C22" s="214" t="s">
        <v>66</v>
      </c>
      <c r="D22" s="442"/>
      <c r="E22" s="571"/>
      <c r="F22" s="140"/>
      <c r="G22" s="140"/>
      <c r="H22" s="140"/>
      <c r="I22" s="140"/>
      <c r="J22" s="140"/>
      <c r="K22" s="140"/>
      <c r="L22" s="140"/>
      <c r="M22" s="140"/>
      <c r="N22" s="140"/>
      <c r="O22" s="140"/>
    </row>
    <row r="23" spans="1:15" s="139" customFormat="1" ht="27.75" customHeight="1" hidden="1">
      <c r="A23" s="142"/>
      <c r="B23" s="142"/>
      <c r="C23" s="512" t="s">
        <v>761</v>
      </c>
      <c r="D23" s="511">
        <v>132967</v>
      </c>
      <c r="E23" s="571"/>
      <c r="F23" s="140"/>
      <c r="G23" s="140"/>
      <c r="H23" s="140"/>
      <c r="I23" s="140"/>
      <c r="J23" s="140"/>
      <c r="K23" s="140"/>
      <c r="L23" s="140"/>
      <c r="M23" s="140"/>
      <c r="N23" s="140"/>
      <c r="O23" s="140">
        <f>SUM(E23:N23)</f>
        <v>0</v>
      </c>
    </row>
    <row r="24" spans="1:15" s="139" customFormat="1" ht="27.75" customHeight="1" hidden="1">
      <c r="A24" s="142"/>
      <c r="B24" s="142"/>
      <c r="C24" s="512" t="s">
        <v>1165</v>
      </c>
      <c r="D24" s="511">
        <v>132977</v>
      </c>
      <c r="E24" s="571"/>
      <c r="F24" s="140"/>
      <c r="G24" s="140"/>
      <c r="H24" s="140"/>
      <c r="I24" s="140"/>
      <c r="J24" s="140"/>
      <c r="K24" s="140"/>
      <c r="L24" s="140"/>
      <c r="M24" s="140"/>
      <c r="N24" s="140"/>
      <c r="O24" s="140">
        <f>SUM(E24:N24)</f>
        <v>0</v>
      </c>
    </row>
    <row r="25" spans="1:15" s="139" customFormat="1" ht="27.75" customHeight="1" hidden="1">
      <c r="A25" s="142"/>
      <c r="B25" s="142"/>
      <c r="C25" s="193" t="s">
        <v>63</v>
      </c>
      <c r="D25" s="511"/>
      <c r="E25" s="571"/>
      <c r="F25" s="140"/>
      <c r="G25" s="140"/>
      <c r="H25" s="140"/>
      <c r="I25" s="140"/>
      <c r="J25" s="140"/>
      <c r="K25" s="140"/>
      <c r="L25" s="140"/>
      <c r="M25" s="140"/>
      <c r="N25" s="140"/>
      <c r="O25" s="140">
        <f>SUM(E25:N25)</f>
        <v>0</v>
      </c>
    </row>
    <row r="26" spans="1:15" s="139" customFormat="1" ht="15" customHeight="1" hidden="1">
      <c r="A26" s="142"/>
      <c r="B26" s="142"/>
      <c r="C26" s="16" t="s">
        <v>904</v>
      </c>
      <c r="D26" s="511">
        <v>131803</v>
      </c>
      <c r="E26" s="571"/>
      <c r="F26" s="140"/>
      <c r="G26" s="140"/>
      <c r="H26" s="140"/>
      <c r="I26" s="140"/>
      <c r="J26" s="140"/>
      <c r="K26" s="140"/>
      <c r="L26" s="140"/>
      <c r="M26" s="140"/>
      <c r="N26" s="140"/>
      <c r="O26" s="140">
        <f>SUM(E26:N26)</f>
        <v>0</v>
      </c>
    </row>
    <row r="27" spans="1:15" s="139" customFormat="1" ht="15" customHeight="1" hidden="1">
      <c r="A27" s="142"/>
      <c r="B27" s="142"/>
      <c r="C27" s="193" t="s">
        <v>110</v>
      </c>
      <c r="D27" s="511"/>
      <c r="E27" s="571"/>
      <c r="F27" s="140"/>
      <c r="G27" s="140"/>
      <c r="H27" s="140"/>
      <c r="I27" s="140"/>
      <c r="J27" s="140"/>
      <c r="K27" s="140"/>
      <c r="L27" s="140"/>
      <c r="M27" s="140"/>
      <c r="N27" s="140"/>
      <c r="O27" s="140"/>
    </row>
    <row r="28" spans="1:15" s="139" customFormat="1" ht="25.5" customHeight="1" hidden="1">
      <c r="A28" s="142"/>
      <c r="B28" s="142"/>
      <c r="C28" s="224" t="s">
        <v>927</v>
      </c>
      <c r="D28" s="511">
        <v>131107</v>
      </c>
      <c r="E28" s="571"/>
      <c r="F28" s="140"/>
      <c r="G28" s="140"/>
      <c r="H28" s="140"/>
      <c r="I28" s="140"/>
      <c r="J28" s="140"/>
      <c r="K28" s="140"/>
      <c r="L28" s="140"/>
      <c r="M28" s="140"/>
      <c r="N28" s="140"/>
      <c r="O28" s="140">
        <f>SUM(E28:N28)</f>
        <v>0</v>
      </c>
    </row>
    <row r="29" spans="1:15" s="139" customFormat="1" ht="25.5" customHeight="1" hidden="1">
      <c r="A29" s="142"/>
      <c r="B29" s="142"/>
      <c r="C29" s="224" t="s">
        <v>820</v>
      </c>
      <c r="D29" s="511"/>
      <c r="E29" s="571"/>
      <c r="F29" s="140"/>
      <c r="G29" s="140"/>
      <c r="H29" s="140"/>
      <c r="I29" s="140"/>
      <c r="J29" s="140"/>
      <c r="K29" s="140"/>
      <c r="L29" s="140"/>
      <c r="M29" s="140"/>
      <c r="N29" s="140"/>
      <c r="O29" s="140"/>
    </row>
    <row r="30" spans="1:15" s="139" customFormat="1" ht="25.5" customHeight="1" hidden="1">
      <c r="A30" s="142"/>
      <c r="B30" s="142"/>
      <c r="C30" s="309" t="s">
        <v>392</v>
      </c>
      <c r="D30" s="511">
        <v>131146</v>
      </c>
      <c r="E30" s="571"/>
      <c r="F30" s="140"/>
      <c r="G30" s="140"/>
      <c r="H30" s="140"/>
      <c r="I30" s="140"/>
      <c r="J30" s="140"/>
      <c r="K30" s="140"/>
      <c r="L30" s="140"/>
      <c r="M30" s="140"/>
      <c r="N30" s="140"/>
      <c r="O30" s="140">
        <f>SUM(E30:N30)</f>
        <v>0</v>
      </c>
    </row>
    <row r="31" spans="1:15" s="139" customFormat="1" ht="13.5" customHeight="1">
      <c r="A31" s="137"/>
      <c r="B31" s="137"/>
      <c r="C31" s="177" t="s">
        <v>1488</v>
      </c>
      <c r="D31" s="495"/>
      <c r="E31" s="138">
        <f>SUM(E14:E30)</f>
        <v>0</v>
      </c>
      <c r="F31" s="138">
        <f aca="true" t="shared" si="1" ref="F31:O31">SUM(F14:F30)</f>
        <v>0</v>
      </c>
      <c r="G31" s="138">
        <f t="shared" si="1"/>
        <v>0</v>
      </c>
      <c r="H31" s="138">
        <f t="shared" si="1"/>
        <v>0</v>
      </c>
      <c r="I31" s="138">
        <f t="shared" si="1"/>
        <v>0</v>
      </c>
      <c r="J31" s="138">
        <f t="shared" si="1"/>
        <v>0</v>
      </c>
      <c r="K31" s="138">
        <f t="shared" si="1"/>
        <v>0</v>
      </c>
      <c r="L31" s="138">
        <f t="shared" si="1"/>
        <v>0</v>
      </c>
      <c r="M31" s="138">
        <f t="shared" si="1"/>
        <v>0</v>
      </c>
      <c r="N31" s="138">
        <f t="shared" si="1"/>
        <v>0</v>
      </c>
      <c r="O31" s="138">
        <f t="shared" si="1"/>
        <v>0</v>
      </c>
    </row>
    <row r="32" spans="1:15" s="139" customFormat="1" ht="13.5" customHeight="1">
      <c r="A32" s="112">
        <v>1</v>
      </c>
      <c r="B32" s="112">
        <v>14</v>
      </c>
      <c r="C32" s="228" t="s">
        <v>459</v>
      </c>
      <c r="D32" s="112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</row>
    <row r="33" spans="1:15" s="139" customFormat="1" ht="26.25" customHeight="1" hidden="1">
      <c r="A33" s="142"/>
      <c r="B33" s="142"/>
      <c r="C33" s="317" t="s">
        <v>117</v>
      </c>
      <c r="D33" s="496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</row>
    <row r="34" spans="1:15" s="139" customFormat="1" ht="13.5" customHeight="1" hidden="1">
      <c r="A34" s="142"/>
      <c r="B34" s="142"/>
      <c r="C34" s="224" t="s">
        <v>578</v>
      </c>
      <c r="D34" s="172">
        <v>171967</v>
      </c>
      <c r="E34" s="143"/>
      <c r="F34" s="143"/>
      <c r="G34" s="143"/>
      <c r="H34" s="140"/>
      <c r="I34" s="143"/>
      <c r="J34" s="143"/>
      <c r="K34" s="143"/>
      <c r="L34" s="143"/>
      <c r="M34" s="143"/>
      <c r="N34" s="143"/>
      <c r="O34" s="140">
        <f>SUM(E34:N34)</f>
        <v>0</v>
      </c>
    </row>
    <row r="35" spans="1:15" s="139" customFormat="1" ht="23.25" customHeight="1" hidden="1">
      <c r="A35" s="142"/>
      <c r="B35" s="142"/>
      <c r="C35" s="207" t="s">
        <v>66</v>
      </c>
      <c r="D35" s="172"/>
      <c r="E35" s="143"/>
      <c r="F35" s="143"/>
      <c r="G35" s="143"/>
      <c r="H35" s="140"/>
      <c r="I35" s="143"/>
      <c r="J35" s="143"/>
      <c r="K35" s="143"/>
      <c r="L35" s="143"/>
      <c r="M35" s="143"/>
      <c r="N35" s="143"/>
      <c r="O35" s="140"/>
    </row>
    <row r="36" spans="1:15" s="139" customFormat="1" ht="35.25" customHeight="1" hidden="1">
      <c r="A36" s="142"/>
      <c r="B36" s="142"/>
      <c r="C36" s="556" t="s">
        <v>888</v>
      </c>
      <c r="D36" s="172">
        <v>162674</v>
      </c>
      <c r="E36" s="140"/>
      <c r="F36" s="140"/>
      <c r="G36" s="143"/>
      <c r="H36" s="140"/>
      <c r="I36" s="143"/>
      <c r="J36" s="143"/>
      <c r="K36" s="143"/>
      <c r="L36" s="143"/>
      <c r="M36" s="143"/>
      <c r="N36" s="143"/>
      <c r="O36" s="140">
        <f>SUM(E36:N36)</f>
        <v>0</v>
      </c>
    </row>
    <row r="37" spans="1:15" s="139" customFormat="1" ht="13.5" customHeight="1">
      <c r="A37" s="137"/>
      <c r="B37" s="137"/>
      <c r="C37" s="177" t="s">
        <v>460</v>
      </c>
      <c r="D37" s="495"/>
      <c r="E37" s="138">
        <f>SUM(E36:E36)</f>
        <v>0</v>
      </c>
      <c r="F37" s="138">
        <f>SUM(F36:F36)</f>
        <v>0</v>
      </c>
      <c r="G37" s="138"/>
      <c r="H37" s="138">
        <f>SUM(H34:H36)</f>
        <v>0</v>
      </c>
      <c r="I37" s="138"/>
      <c r="J37" s="138"/>
      <c r="K37" s="138"/>
      <c r="L37" s="138"/>
      <c r="M37" s="138"/>
      <c r="N37" s="138"/>
      <c r="O37" s="138">
        <f>SUM(O34:O36)</f>
        <v>0</v>
      </c>
    </row>
    <row r="38" spans="1:15" s="135" customFormat="1" ht="13.5" customHeight="1">
      <c r="A38" s="1">
        <v>1</v>
      </c>
      <c r="B38" s="1">
        <v>15</v>
      </c>
      <c r="C38" s="430" t="s">
        <v>155</v>
      </c>
      <c r="D38" s="490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</row>
    <row r="39" spans="1:15" s="135" customFormat="1" ht="24.75" customHeight="1">
      <c r="A39" s="1"/>
      <c r="B39" s="1"/>
      <c r="C39" s="214" t="s">
        <v>81</v>
      </c>
      <c r="D39" s="483"/>
      <c r="E39" s="180"/>
      <c r="F39" s="136"/>
      <c r="G39" s="136"/>
      <c r="H39" s="136"/>
      <c r="I39" s="136"/>
      <c r="J39" s="136"/>
      <c r="K39" s="136"/>
      <c r="L39" s="136"/>
      <c r="M39" s="136"/>
      <c r="N39" s="136"/>
      <c r="O39" s="136"/>
    </row>
    <row r="40" spans="1:15" s="135" customFormat="1" ht="24.75" customHeight="1" hidden="1">
      <c r="A40" s="1"/>
      <c r="B40" s="1"/>
      <c r="C40" s="162" t="s">
        <v>127</v>
      </c>
      <c r="D40" s="483">
        <v>151906</v>
      </c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>
        <f>SUM(E40:N40)</f>
        <v>0</v>
      </c>
    </row>
    <row r="41" spans="1:15" s="135" customFormat="1" ht="12.75" customHeight="1" hidden="1">
      <c r="A41" s="1"/>
      <c r="B41" s="1"/>
      <c r="C41" s="173" t="s">
        <v>146</v>
      </c>
      <c r="D41" s="484" t="s">
        <v>1306</v>
      </c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>
        <f>SUM(E41:N41)</f>
        <v>0</v>
      </c>
    </row>
    <row r="42" spans="1:15" s="135" customFormat="1" ht="12.75" customHeight="1" hidden="1">
      <c r="A42" s="1"/>
      <c r="B42" s="1"/>
      <c r="C42" s="173" t="s">
        <v>1099</v>
      </c>
      <c r="D42" s="484" t="s">
        <v>1307</v>
      </c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>
        <f>SUM(E42:N42)</f>
        <v>0</v>
      </c>
    </row>
    <row r="43" spans="1:15" s="135" customFormat="1" ht="12.75" customHeight="1" hidden="1">
      <c r="A43" s="1"/>
      <c r="B43" s="1"/>
      <c r="C43" s="274" t="s">
        <v>695</v>
      </c>
      <c r="D43" s="675" t="s">
        <v>1166</v>
      </c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>
        <f>SUM(E43:N43)</f>
        <v>0</v>
      </c>
    </row>
    <row r="44" spans="1:15" s="135" customFormat="1" ht="12.75" customHeight="1" hidden="1">
      <c r="A44" s="1"/>
      <c r="B44" s="1"/>
      <c r="C44" s="215" t="s">
        <v>1072</v>
      </c>
      <c r="D44" s="485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</row>
    <row r="45" spans="1:15" s="135" customFormat="1" ht="12.75" customHeight="1" hidden="1">
      <c r="A45" s="1"/>
      <c r="B45" s="1"/>
      <c r="C45" s="173" t="s">
        <v>1260</v>
      </c>
      <c r="D45" s="484" t="s">
        <v>1308</v>
      </c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>
        <f>SUM(E45:N45)</f>
        <v>0</v>
      </c>
    </row>
    <row r="46" spans="1:15" s="135" customFormat="1" ht="12.75" customHeight="1" hidden="1">
      <c r="A46" s="1"/>
      <c r="B46" s="1"/>
      <c r="C46" s="173" t="s">
        <v>575</v>
      </c>
      <c r="D46" s="484" t="s">
        <v>12</v>
      </c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>
        <f>SUM(E46:N46)</f>
        <v>0</v>
      </c>
    </row>
    <row r="47" spans="1:15" s="135" customFormat="1" ht="24.75" customHeight="1" hidden="1">
      <c r="A47" s="1"/>
      <c r="B47" s="1"/>
      <c r="C47" s="162" t="s">
        <v>67</v>
      </c>
      <c r="D47" s="48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</row>
    <row r="48" spans="1:16" s="135" customFormat="1" ht="33.75" customHeight="1" hidden="1">
      <c r="A48" s="1"/>
      <c r="B48" s="1"/>
      <c r="C48" s="275" t="s">
        <v>1336</v>
      </c>
      <c r="D48" s="487" t="s">
        <v>1309</v>
      </c>
      <c r="E48" s="136"/>
      <c r="F48" s="140"/>
      <c r="G48" s="140"/>
      <c r="H48" s="140"/>
      <c r="I48" s="140"/>
      <c r="J48" s="136"/>
      <c r="K48" s="136"/>
      <c r="L48" s="136"/>
      <c r="M48" s="136"/>
      <c r="N48" s="136"/>
      <c r="O48" s="136">
        <f>SUM(E48:N48)</f>
        <v>0</v>
      </c>
      <c r="P48" s="151"/>
    </row>
    <row r="49" spans="1:16" s="135" customFormat="1" ht="28.5" customHeight="1" hidden="1">
      <c r="A49" s="1"/>
      <c r="B49" s="1"/>
      <c r="C49" s="275" t="s">
        <v>1337</v>
      </c>
      <c r="D49" s="487" t="s">
        <v>1309</v>
      </c>
      <c r="E49" s="136"/>
      <c r="F49" s="140"/>
      <c r="G49" s="140"/>
      <c r="H49" s="140"/>
      <c r="I49" s="140"/>
      <c r="J49" s="136"/>
      <c r="K49" s="136"/>
      <c r="L49" s="136"/>
      <c r="M49" s="136"/>
      <c r="N49" s="136"/>
      <c r="O49" s="136">
        <f>SUM(E49:N49)</f>
        <v>0</v>
      </c>
      <c r="P49" s="151"/>
    </row>
    <row r="50" spans="1:16" s="135" customFormat="1" ht="28.5" customHeight="1" hidden="1">
      <c r="A50" s="1"/>
      <c r="B50" s="1"/>
      <c r="C50" s="275" t="s">
        <v>1438</v>
      </c>
      <c r="D50" s="487" t="s">
        <v>11</v>
      </c>
      <c r="E50" s="136"/>
      <c r="F50" s="140"/>
      <c r="G50" s="140"/>
      <c r="H50" s="140"/>
      <c r="I50" s="140"/>
      <c r="J50" s="136"/>
      <c r="K50" s="136"/>
      <c r="L50" s="136"/>
      <c r="M50" s="136"/>
      <c r="N50" s="136"/>
      <c r="O50" s="136">
        <f>SUM(E50:N50)</f>
        <v>0</v>
      </c>
      <c r="P50" s="151"/>
    </row>
    <row r="51" spans="1:16" s="135" customFormat="1" ht="17.25" customHeight="1" hidden="1">
      <c r="A51" s="1"/>
      <c r="B51" s="1"/>
      <c r="C51" s="275" t="s">
        <v>1167</v>
      </c>
      <c r="D51" s="487" t="s">
        <v>20</v>
      </c>
      <c r="E51" s="136"/>
      <c r="F51" s="140"/>
      <c r="G51" s="140"/>
      <c r="H51" s="140"/>
      <c r="I51" s="140"/>
      <c r="J51" s="136"/>
      <c r="K51" s="136"/>
      <c r="L51" s="136"/>
      <c r="M51" s="136"/>
      <c r="N51" s="136"/>
      <c r="O51" s="136">
        <f>SUM(E51:N51)</f>
        <v>0</v>
      </c>
      <c r="P51" s="151"/>
    </row>
    <row r="52" spans="1:16" s="135" customFormat="1" ht="24" customHeight="1" hidden="1">
      <c r="A52" s="1"/>
      <c r="B52" s="1"/>
      <c r="C52" s="275" t="s">
        <v>1432</v>
      </c>
      <c r="D52" s="487" t="s">
        <v>58</v>
      </c>
      <c r="E52" s="136"/>
      <c r="F52" s="140"/>
      <c r="G52" s="140"/>
      <c r="H52" s="140"/>
      <c r="I52" s="140"/>
      <c r="J52" s="136"/>
      <c r="K52" s="136"/>
      <c r="L52" s="136"/>
      <c r="M52" s="136"/>
      <c r="N52" s="136"/>
      <c r="O52" s="136">
        <f>SUM(E52:N52)</f>
        <v>0</v>
      </c>
      <c r="P52" s="151"/>
    </row>
    <row r="53" spans="1:16" s="135" customFormat="1" ht="24.75" customHeight="1" hidden="1">
      <c r="A53" s="1"/>
      <c r="B53" s="1"/>
      <c r="C53" s="193" t="s">
        <v>79</v>
      </c>
      <c r="D53" s="488"/>
      <c r="E53" s="136"/>
      <c r="F53" s="140"/>
      <c r="G53" s="136"/>
      <c r="H53" s="136"/>
      <c r="I53" s="136"/>
      <c r="J53" s="136"/>
      <c r="K53" s="136"/>
      <c r="L53" s="136"/>
      <c r="M53" s="136"/>
      <c r="N53" s="136"/>
      <c r="O53" s="136"/>
      <c r="P53" s="151"/>
    </row>
    <row r="54" spans="1:16" s="135" customFormat="1" ht="27" customHeight="1" hidden="1">
      <c r="A54" s="1"/>
      <c r="B54" s="1"/>
      <c r="C54" s="224" t="s">
        <v>579</v>
      </c>
      <c r="D54" s="489">
        <v>151701</v>
      </c>
      <c r="E54" s="136"/>
      <c r="F54" s="140"/>
      <c r="G54" s="136"/>
      <c r="H54" s="136"/>
      <c r="I54" s="136"/>
      <c r="J54" s="136"/>
      <c r="K54" s="136"/>
      <c r="L54" s="136"/>
      <c r="M54" s="136"/>
      <c r="N54" s="136"/>
      <c r="O54" s="136">
        <f>SUM(E54:N54)</f>
        <v>0</v>
      </c>
      <c r="P54" s="151"/>
    </row>
    <row r="55" spans="1:16" s="135" customFormat="1" ht="15" customHeight="1" hidden="1">
      <c r="A55" s="1"/>
      <c r="B55" s="1"/>
      <c r="C55" s="564" t="s">
        <v>821</v>
      </c>
      <c r="D55" s="489" t="s">
        <v>822</v>
      </c>
      <c r="E55" s="136"/>
      <c r="F55" s="140"/>
      <c r="G55" s="136"/>
      <c r="H55" s="136"/>
      <c r="I55" s="136"/>
      <c r="J55" s="136"/>
      <c r="K55" s="136"/>
      <c r="L55" s="136"/>
      <c r="M55" s="136"/>
      <c r="N55" s="136"/>
      <c r="O55" s="136">
        <f>SUM(E55:N55)</f>
        <v>0</v>
      </c>
      <c r="P55" s="151"/>
    </row>
    <row r="56" spans="1:15" s="135" customFormat="1" ht="24.75" customHeight="1">
      <c r="A56" s="1"/>
      <c r="B56" s="1"/>
      <c r="C56" s="162" t="s">
        <v>116</v>
      </c>
      <c r="D56" s="486"/>
      <c r="E56" s="144"/>
      <c r="F56" s="144"/>
      <c r="G56" s="136"/>
      <c r="H56" s="140"/>
      <c r="I56" s="140"/>
      <c r="J56" s="140"/>
      <c r="K56" s="140"/>
      <c r="L56" s="140"/>
      <c r="M56" s="140"/>
      <c r="N56" s="140"/>
      <c r="O56" s="136"/>
    </row>
    <row r="57" spans="1:15" s="135" customFormat="1" ht="24.75" customHeight="1">
      <c r="A57" s="1"/>
      <c r="B57" s="1"/>
      <c r="C57" s="217" t="s">
        <v>962</v>
      </c>
      <c r="D57" s="488" t="s">
        <v>1310</v>
      </c>
      <c r="E57" s="175"/>
      <c r="F57" s="144"/>
      <c r="G57" s="136"/>
      <c r="H57" s="140">
        <v>20000</v>
      </c>
      <c r="I57" s="140"/>
      <c r="J57" s="140"/>
      <c r="K57" s="140"/>
      <c r="L57" s="140"/>
      <c r="M57" s="140"/>
      <c r="N57" s="140"/>
      <c r="O57" s="136">
        <f>SUM(E57:N57)</f>
        <v>20000</v>
      </c>
    </row>
    <row r="58" spans="1:15" s="135" customFormat="1" ht="24.75" customHeight="1" hidden="1">
      <c r="A58" s="1"/>
      <c r="B58" s="1"/>
      <c r="C58" s="217" t="s">
        <v>823</v>
      </c>
      <c r="D58" s="488" t="s">
        <v>703</v>
      </c>
      <c r="E58" s="175"/>
      <c r="F58" s="144"/>
      <c r="G58" s="136"/>
      <c r="H58" s="140"/>
      <c r="I58" s="140"/>
      <c r="J58" s="140"/>
      <c r="K58" s="140"/>
      <c r="L58" s="140"/>
      <c r="M58" s="140"/>
      <c r="N58" s="140"/>
      <c r="O58" s="136">
        <f>SUM(E58:N58)</f>
        <v>0</v>
      </c>
    </row>
    <row r="59" spans="1:15" s="135" customFormat="1" ht="18.75" customHeight="1" hidden="1">
      <c r="A59" s="1"/>
      <c r="B59" s="1"/>
      <c r="C59" s="101" t="s">
        <v>83</v>
      </c>
      <c r="D59" s="488"/>
      <c r="E59" s="175"/>
      <c r="F59" s="144"/>
      <c r="G59" s="136"/>
      <c r="H59" s="140"/>
      <c r="I59" s="140"/>
      <c r="J59" s="140"/>
      <c r="K59" s="140"/>
      <c r="L59" s="140"/>
      <c r="M59" s="140"/>
      <c r="N59" s="140"/>
      <c r="O59" s="136"/>
    </row>
    <row r="60" spans="1:15" s="135" customFormat="1" ht="25.5" hidden="1">
      <c r="A60" s="1"/>
      <c r="B60" s="1"/>
      <c r="C60" s="217" t="s">
        <v>243</v>
      </c>
      <c r="D60" s="488" t="s">
        <v>1168</v>
      </c>
      <c r="E60" s="175"/>
      <c r="F60" s="144"/>
      <c r="G60" s="136"/>
      <c r="H60" s="140"/>
      <c r="I60" s="140"/>
      <c r="J60" s="140"/>
      <c r="K60" s="140"/>
      <c r="L60" s="140"/>
      <c r="M60" s="140"/>
      <c r="N60" s="140"/>
      <c r="O60" s="136">
        <f>SUM(E60:N60)</f>
        <v>0</v>
      </c>
    </row>
    <row r="61" spans="1:15" s="135" customFormat="1" ht="24.75" customHeight="1" hidden="1">
      <c r="A61" s="1"/>
      <c r="B61" s="1"/>
      <c r="C61" s="224" t="s">
        <v>1094</v>
      </c>
      <c r="D61" s="181"/>
      <c r="E61" s="175"/>
      <c r="F61" s="144"/>
      <c r="G61" s="136"/>
      <c r="H61" s="140"/>
      <c r="I61" s="140"/>
      <c r="J61" s="140"/>
      <c r="K61" s="140"/>
      <c r="L61" s="140"/>
      <c r="M61" s="140"/>
      <c r="N61" s="140"/>
      <c r="O61" s="136"/>
    </row>
    <row r="62" spans="1:15" s="135" customFormat="1" ht="42.75" customHeight="1" hidden="1">
      <c r="A62" s="1"/>
      <c r="B62" s="1"/>
      <c r="C62" s="224" t="s">
        <v>1187</v>
      </c>
      <c r="D62" s="63">
        <v>152915</v>
      </c>
      <c r="E62" s="175"/>
      <c r="F62" s="144"/>
      <c r="G62" s="136"/>
      <c r="H62" s="140"/>
      <c r="I62" s="140"/>
      <c r="J62" s="140"/>
      <c r="K62" s="140"/>
      <c r="L62" s="140"/>
      <c r="M62" s="140"/>
      <c r="N62" s="140"/>
      <c r="O62" s="136">
        <f>SUM(E62:N62)</f>
        <v>0</v>
      </c>
    </row>
    <row r="63" spans="1:15" s="135" customFormat="1" ht="17.25" customHeight="1">
      <c r="A63" s="1"/>
      <c r="B63" s="1"/>
      <c r="C63" s="224" t="s">
        <v>1440</v>
      </c>
      <c r="D63" s="488"/>
      <c r="E63" s="175"/>
      <c r="F63" s="144"/>
      <c r="G63" s="136"/>
      <c r="H63" s="140"/>
      <c r="I63" s="140"/>
      <c r="J63" s="140"/>
      <c r="K63" s="140"/>
      <c r="L63" s="140"/>
      <c r="M63" s="140"/>
      <c r="N63" s="140"/>
      <c r="O63" s="136"/>
    </row>
    <row r="64" spans="1:15" s="135" customFormat="1" ht="27.75" customHeight="1">
      <c r="A64" s="1"/>
      <c r="B64" s="1"/>
      <c r="C64" s="724" t="s">
        <v>1441</v>
      </c>
      <c r="D64" s="15">
        <v>154511</v>
      </c>
      <c r="E64" s="175">
        <v>574</v>
      </c>
      <c r="F64" s="144"/>
      <c r="G64" s="136"/>
      <c r="H64" s="140"/>
      <c r="I64" s="140"/>
      <c r="J64" s="140"/>
      <c r="K64" s="140"/>
      <c r="L64" s="140"/>
      <c r="M64" s="140"/>
      <c r="N64" s="140"/>
      <c r="O64" s="136">
        <f>SUM(E64:N64)</f>
        <v>574</v>
      </c>
    </row>
    <row r="65" spans="1:15" s="135" customFormat="1" ht="12.75" customHeight="1">
      <c r="A65" s="137"/>
      <c r="B65" s="137"/>
      <c r="C65" s="176" t="s">
        <v>1054</v>
      </c>
      <c r="D65" s="137"/>
      <c r="E65" s="138">
        <f>SUM(E39:E64)</f>
        <v>574</v>
      </c>
      <c r="F65" s="138">
        <f aca="true" t="shared" si="2" ref="F65:O65">SUM(F39:F64)</f>
        <v>0</v>
      </c>
      <c r="G65" s="138">
        <f t="shared" si="2"/>
        <v>0</v>
      </c>
      <c r="H65" s="138">
        <f t="shared" si="2"/>
        <v>20000</v>
      </c>
      <c r="I65" s="138">
        <f t="shared" si="2"/>
        <v>0</v>
      </c>
      <c r="J65" s="138">
        <f t="shared" si="2"/>
        <v>0</v>
      </c>
      <c r="K65" s="138">
        <f t="shared" si="2"/>
        <v>0</v>
      </c>
      <c r="L65" s="138">
        <f t="shared" si="2"/>
        <v>0</v>
      </c>
      <c r="M65" s="138">
        <f t="shared" si="2"/>
        <v>0</v>
      </c>
      <c r="N65" s="138">
        <f t="shared" si="2"/>
        <v>0</v>
      </c>
      <c r="O65" s="138">
        <f t="shared" si="2"/>
        <v>20574</v>
      </c>
    </row>
    <row r="66" spans="1:15" s="135" customFormat="1" ht="12.75" customHeight="1">
      <c r="A66" s="1">
        <v>1</v>
      </c>
      <c r="B66" s="1" t="s">
        <v>1269</v>
      </c>
      <c r="C66" s="430" t="s">
        <v>13</v>
      </c>
      <c r="D66" s="490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</row>
    <row r="67" spans="1:15" s="135" customFormat="1" ht="27" customHeight="1" hidden="1">
      <c r="A67" s="1"/>
      <c r="B67" s="1"/>
      <c r="C67" s="162" t="s">
        <v>1074</v>
      </c>
      <c r="D67" s="483"/>
      <c r="E67" s="443"/>
      <c r="F67" s="136"/>
      <c r="G67" s="136"/>
      <c r="H67" s="136"/>
      <c r="I67" s="136"/>
      <c r="J67" s="136"/>
      <c r="K67" s="136"/>
      <c r="L67" s="136"/>
      <c r="M67" s="136"/>
      <c r="N67" s="136"/>
      <c r="O67" s="136"/>
    </row>
    <row r="68" spans="1:15" s="135" customFormat="1" ht="15" customHeight="1" hidden="1">
      <c r="A68" s="1"/>
      <c r="B68" s="1"/>
      <c r="C68" s="174" t="s">
        <v>1013</v>
      </c>
      <c r="D68" s="497">
        <v>162104</v>
      </c>
      <c r="E68" s="144"/>
      <c r="F68" s="144"/>
      <c r="G68" s="136"/>
      <c r="H68" s="136"/>
      <c r="I68" s="136"/>
      <c r="J68" s="136"/>
      <c r="K68" s="140"/>
      <c r="L68" s="136"/>
      <c r="M68" s="136"/>
      <c r="N68" s="136"/>
      <c r="O68" s="136">
        <f aca="true" t="shared" si="3" ref="O68:O74">SUM(E68:N68)</f>
        <v>0</v>
      </c>
    </row>
    <row r="69" spans="1:15" s="135" customFormat="1" ht="23.25" customHeight="1" hidden="1">
      <c r="A69" s="1"/>
      <c r="B69" s="1"/>
      <c r="C69" s="174" t="s">
        <v>1437</v>
      </c>
      <c r="D69" s="498">
        <v>162104</v>
      </c>
      <c r="E69" s="144"/>
      <c r="F69" s="144"/>
      <c r="G69" s="136"/>
      <c r="H69" s="136"/>
      <c r="I69" s="136"/>
      <c r="J69" s="136"/>
      <c r="K69" s="140"/>
      <c r="L69" s="136"/>
      <c r="M69" s="136"/>
      <c r="N69" s="136"/>
      <c r="O69" s="136">
        <f t="shared" si="3"/>
        <v>0</v>
      </c>
    </row>
    <row r="70" spans="1:15" s="135" customFormat="1" ht="24.75" customHeight="1">
      <c r="A70" s="1"/>
      <c r="B70" s="1"/>
      <c r="C70" s="433" t="s">
        <v>1073</v>
      </c>
      <c r="D70" s="498"/>
      <c r="E70" s="136"/>
      <c r="F70" s="136"/>
      <c r="G70" s="136"/>
      <c r="H70" s="140"/>
      <c r="I70" s="140"/>
      <c r="J70" s="140"/>
      <c r="K70" s="140"/>
      <c r="L70" s="140"/>
      <c r="M70" s="140"/>
      <c r="N70" s="140"/>
      <c r="O70" s="136">
        <f t="shared" si="3"/>
        <v>0</v>
      </c>
    </row>
    <row r="71" spans="1:15" s="135" customFormat="1" ht="49.5" customHeight="1" hidden="1">
      <c r="A71" s="1"/>
      <c r="B71" s="1"/>
      <c r="C71" s="572" t="s">
        <v>889</v>
      </c>
      <c r="D71" s="573">
        <v>162671</v>
      </c>
      <c r="E71" s="136"/>
      <c r="F71" s="140"/>
      <c r="G71" s="136"/>
      <c r="H71" s="140"/>
      <c r="I71" s="140"/>
      <c r="J71" s="140"/>
      <c r="K71" s="140"/>
      <c r="L71" s="140"/>
      <c r="M71" s="140"/>
      <c r="N71" s="140"/>
      <c r="O71" s="136">
        <f t="shared" si="3"/>
        <v>0</v>
      </c>
    </row>
    <row r="72" spans="1:15" s="135" customFormat="1" ht="27.75" customHeight="1">
      <c r="A72" s="1"/>
      <c r="B72" s="1"/>
      <c r="C72" s="649" t="s">
        <v>890</v>
      </c>
      <c r="D72" s="500" t="s">
        <v>1442</v>
      </c>
      <c r="E72" s="136">
        <v>105605</v>
      </c>
      <c r="F72" s="140">
        <v>5300681</v>
      </c>
      <c r="G72" s="136"/>
      <c r="H72" s="140"/>
      <c r="I72" s="140"/>
      <c r="J72" s="140"/>
      <c r="K72" s="140"/>
      <c r="L72" s="140"/>
      <c r="M72" s="140"/>
      <c r="N72" s="140"/>
      <c r="O72" s="136">
        <f t="shared" si="3"/>
        <v>5406286</v>
      </c>
    </row>
    <row r="73" spans="1:15" s="135" customFormat="1" ht="15" customHeight="1" hidden="1">
      <c r="A73" s="1"/>
      <c r="B73" s="1"/>
      <c r="C73" s="705" t="s">
        <v>824</v>
      </c>
      <c r="D73" s="500">
        <v>162697</v>
      </c>
      <c r="E73" s="136"/>
      <c r="F73" s="140"/>
      <c r="G73" s="136"/>
      <c r="H73" s="140"/>
      <c r="I73" s="140"/>
      <c r="J73" s="140"/>
      <c r="K73" s="140"/>
      <c r="L73" s="140"/>
      <c r="M73" s="140"/>
      <c r="N73" s="140"/>
      <c r="O73" s="136">
        <f t="shared" si="3"/>
        <v>0</v>
      </c>
    </row>
    <row r="74" spans="1:15" s="135" customFormat="1" ht="15" customHeight="1" hidden="1">
      <c r="A74" s="1"/>
      <c r="B74" s="1"/>
      <c r="C74" s="714" t="s">
        <v>1417</v>
      </c>
      <c r="D74" s="500">
        <v>162698</v>
      </c>
      <c r="E74" s="136"/>
      <c r="F74" s="140"/>
      <c r="G74" s="136"/>
      <c r="H74" s="140"/>
      <c r="I74" s="140"/>
      <c r="J74" s="140"/>
      <c r="K74" s="140"/>
      <c r="L74" s="140"/>
      <c r="M74" s="140"/>
      <c r="N74" s="140"/>
      <c r="O74" s="136">
        <f t="shared" si="3"/>
        <v>0</v>
      </c>
    </row>
    <row r="75" spans="1:15" s="135" customFormat="1" ht="25.5">
      <c r="A75" s="1"/>
      <c r="B75" s="1"/>
      <c r="C75" s="162" t="s">
        <v>67</v>
      </c>
      <c r="D75" s="501"/>
      <c r="E75" s="144"/>
      <c r="F75" s="175"/>
      <c r="G75" s="136"/>
      <c r="H75" s="140"/>
      <c r="I75" s="140"/>
      <c r="J75" s="140"/>
      <c r="K75" s="140"/>
      <c r="L75" s="140"/>
      <c r="M75" s="140"/>
      <c r="N75" s="140"/>
      <c r="O75" s="136"/>
    </row>
    <row r="76" spans="1:15" s="135" customFormat="1" ht="37.5" customHeight="1" hidden="1">
      <c r="A76" s="1"/>
      <c r="B76" s="1"/>
      <c r="C76" s="410" t="s">
        <v>891</v>
      </c>
      <c r="D76" s="574">
        <v>161905</v>
      </c>
      <c r="E76" s="144"/>
      <c r="F76" s="175"/>
      <c r="G76" s="136"/>
      <c r="H76" s="140"/>
      <c r="I76" s="140"/>
      <c r="J76" s="140"/>
      <c r="K76" s="140"/>
      <c r="L76" s="140"/>
      <c r="M76" s="140"/>
      <c r="N76" s="140"/>
      <c r="O76" s="136">
        <f aca="true" t="shared" si="4" ref="O76:O84">SUM(E76:N76)</f>
        <v>0</v>
      </c>
    </row>
    <row r="77" spans="1:15" s="135" customFormat="1" ht="16.5" customHeight="1" hidden="1">
      <c r="A77" s="1"/>
      <c r="B77" s="1"/>
      <c r="C77" s="513" t="s">
        <v>576</v>
      </c>
      <c r="D77" s="445">
        <v>151916</v>
      </c>
      <c r="E77" s="144"/>
      <c r="F77" s="144"/>
      <c r="G77" s="136"/>
      <c r="H77" s="140"/>
      <c r="I77" s="140"/>
      <c r="J77" s="140"/>
      <c r="K77" s="140"/>
      <c r="L77" s="140"/>
      <c r="M77" s="140"/>
      <c r="N77" s="140"/>
      <c r="O77" s="136">
        <f t="shared" si="4"/>
        <v>0</v>
      </c>
    </row>
    <row r="78" spans="1:15" s="135" customFormat="1" ht="16.5" customHeight="1" hidden="1">
      <c r="A78" s="1"/>
      <c r="B78" s="1"/>
      <c r="C78" s="513" t="s">
        <v>1436</v>
      </c>
      <c r="D78" s="445">
        <v>162199</v>
      </c>
      <c r="E78" s="144"/>
      <c r="F78" s="144"/>
      <c r="G78" s="136"/>
      <c r="H78" s="140"/>
      <c r="I78" s="140"/>
      <c r="J78" s="140"/>
      <c r="K78" s="140"/>
      <c r="L78" s="140"/>
      <c r="M78" s="140"/>
      <c r="N78" s="140"/>
      <c r="O78" s="136">
        <f t="shared" si="4"/>
        <v>0</v>
      </c>
    </row>
    <row r="79" spans="1:15" s="135" customFormat="1" ht="28.5" customHeight="1" hidden="1">
      <c r="A79" s="1"/>
      <c r="B79" s="1"/>
      <c r="C79" s="513" t="s">
        <v>1169</v>
      </c>
      <c r="D79" s="445">
        <v>164910</v>
      </c>
      <c r="E79" s="144"/>
      <c r="F79" s="144"/>
      <c r="G79" s="136"/>
      <c r="H79" s="140"/>
      <c r="I79" s="140"/>
      <c r="J79" s="140"/>
      <c r="K79" s="140"/>
      <c r="L79" s="140"/>
      <c r="M79" s="140"/>
      <c r="N79" s="140"/>
      <c r="O79" s="136">
        <f t="shared" si="4"/>
        <v>0</v>
      </c>
    </row>
    <row r="80" spans="1:15" s="135" customFormat="1" ht="28.5" customHeight="1" hidden="1">
      <c r="A80" s="1"/>
      <c r="B80" s="1"/>
      <c r="C80" s="716" t="s">
        <v>1420</v>
      </c>
      <c r="D80" s="445">
        <v>162217</v>
      </c>
      <c r="E80" s="144"/>
      <c r="F80" s="144"/>
      <c r="G80" s="136"/>
      <c r="H80" s="140"/>
      <c r="I80" s="140"/>
      <c r="J80" s="140"/>
      <c r="K80" s="140"/>
      <c r="L80" s="140"/>
      <c r="M80" s="140"/>
      <c r="N80" s="140"/>
      <c r="O80" s="136">
        <f t="shared" si="4"/>
        <v>0</v>
      </c>
    </row>
    <row r="81" spans="1:15" s="135" customFormat="1" ht="27" customHeight="1" hidden="1">
      <c r="A81" s="1"/>
      <c r="B81" s="1"/>
      <c r="C81" s="706" t="s">
        <v>825</v>
      </c>
      <c r="D81" s="445">
        <v>162696</v>
      </c>
      <c r="E81" s="144"/>
      <c r="F81" s="144"/>
      <c r="G81" s="136"/>
      <c r="H81" s="140"/>
      <c r="I81" s="140"/>
      <c r="J81" s="140"/>
      <c r="K81" s="140"/>
      <c r="L81" s="140"/>
      <c r="M81" s="140"/>
      <c r="N81" s="140"/>
      <c r="O81" s="136">
        <f t="shared" si="4"/>
        <v>0</v>
      </c>
    </row>
    <row r="82" spans="1:15" s="135" customFormat="1" ht="27" customHeight="1">
      <c r="A82" s="1"/>
      <c r="B82" s="1"/>
      <c r="C82" s="197" t="s">
        <v>1443</v>
      </c>
      <c r="D82" s="445">
        <v>162602</v>
      </c>
      <c r="E82" s="144"/>
      <c r="F82" s="144"/>
      <c r="G82" s="136"/>
      <c r="H82" s="140">
        <v>225</v>
      </c>
      <c r="I82" s="140"/>
      <c r="J82" s="140"/>
      <c r="K82" s="140"/>
      <c r="L82" s="140"/>
      <c r="M82" s="140"/>
      <c r="N82" s="140"/>
      <c r="O82" s="136">
        <f t="shared" si="4"/>
        <v>225</v>
      </c>
    </row>
    <row r="83" spans="1:15" s="135" customFormat="1" ht="27" customHeight="1">
      <c r="A83" s="1"/>
      <c r="B83" s="1"/>
      <c r="C83" s="294" t="s">
        <v>66</v>
      </c>
      <c r="D83" s="445"/>
      <c r="E83" s="144"/>
      <c r="F83" s="144"/>
      <c r="G83" s="136"/>
      <c r="H83" s="140"/>
      <c r="I83" s="140"/>
      <c r="J83" s="140"/>
      <c r="K83" s="140"/>
      <c r="L83" s="140"/>
      <c r="M83" s="140"/>
      <c r="N83" s="140"/>
      <c r="O83" s="136"/>
    </row>
    <row r="84" spans="1:15" s="135" customFormat="1" ht="16.5" customHeight="1">
      <c r="A84" s="1"/>
      <c r="B84" s="1"/>
      <c r="C84" s="294" t="s">
        <v>1444</v>
      </c>
      <c r="D84" s="445">
        <v>162687</v>
      </c>
      <c r="E84" s="144"/>
      <c r="F84" s="144">
        <v>83000</v>
      </c>
      <c r="G84" s="136"/>
      <c r="H84" s="140"/>
      <c r="I84" s="140"/>
      <c r="J84" s="140"/>
      <c r="K84" s="140"/>
      <c r="L84" s="140"/>
      <c r="M84" s="140"/>
      <c r="N84" s="140"/>
      <c r="O84" s="136">
        <f t="shared" si="4"/>
        <v>83000</v>
      </c>
    </row>
    <row r="85" spans="1:15" s="135" customFormat="1" ht="12.75" customHeight="1">
      <c r="A85" s="137"/>
      <c r="B85" s="137"/>
      <c r="C85" s="176" t="s">
        <v>290</v>
      </c>
      <c r="D85" s="137"/>
      <c r="E85" s="138">
        <f>SUM(E67:E84)</f>
        <v>105605</v>
      </c>
      <c r="F85" s="138">
        <f aca="true" t="shared" si="5" ref="F85:O85">SUM(F67:F84)</f>
        <v>5383681</v>
      </c>
      <c r="G85" s="138">
        <f t="shared" si="5"/>
        <v>0</v>
      </c>
      <c r="H85" s="138">
        <f t="shared" si="5"/>
        <v>225</v>
      </c>
      <c r="I85" s="138">
        <f t="shared" si="5"/>
        <v>0</v>
      </c>
      <c r="J85" s="138">
        <f t="shared" si="5"/>
        <v>0</v>
      </c>
      <c r="K85" s="138">
        <f t="shared" si="5"/>
        <v>0</v>
      </c>
      <c r="L85" s="138">
        <f t="shared" si="5"/>
        <v>0</v>
      </c>
      <c r="M85" s="138">
        <f t="shared" si="5"/>
        <v>0</v>
      </c>
      <c r="N85" s="138">
        <f t="shared" si="5"/>
        <v>0</v>
      </c>
      <c r="O85" s="138">
        <f t="shared" si="5"/>
        <v>5489511</v>
      </c>
    </row>
    <row r="86" spans="1:15" s="135" customFormat="1" ht="12.75" customHeight="1">
      <c r="A86" s="1">
        <v>1</v>
      </c>
      <c r="B86" s="1">
        <v>17</v>
      </c>
      <c r="C86" s="430" t="s">
        <v>156</v>
      </c>
      <c r="D86" s="490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</row>
    <row r="87" spans="1:15" s="135" customFormat="1" ht="24" customHeight="1" hidden="1">
      <c r="A87" s="1"/>
      <c r="B87" s="1"/>
      <c r="C87" s="162" t="s">
        <v>67</v>
      </c>
      <c r="D87" s="483"/>
      <c r="E87" s="180"/>
      <c r="F87" s="136"/>
      <c r="G87" s="136"/>
      <c r="H87" s="136"/>
      <c r="I87" s="136"/>
      <c r="J87" s="136"/>
      <c r="K87" s="136"/>
      <c r="L87" s="136"/>
      <c r="M87" s="136"/>
      <c r="N87" s="136"/>
      <c r="O87" s="136"/>
    </row>
    <row r="88" spans="1:16" s="135" customFormat="1" ht="13.5" customHeight="1" hidden="1">
      <c r="A88" s="1"/>
      <c r="B88" s="1"/>
      <c r="C88" s="274" t="s">
        <v>1270</v>
      </c>
      <c r="D88" s="502">
        <v>171907</v>
      </c>
      <c r="E88" s="136"/>
      <c r="F88" s="136"/>
      <c r="G88" s="136"/>
      <c r="H88" s="140"/>
      <c r="I88" s="140"/>
      <c r="J88" s="136"/>
      <c r="K88" s="136"/>
      <c r="L88" s="136"/>
      <c r="M88" s="136"/>
      <c r="N88" s="136"/>
      <c r="O88" s="136">
        <f>SUM(E88:N88)</f>
        <v>0</v>
      </c>
      <c r="P88" s="151"/>
    </row>
    <row r="89" spans="1:15" s="135" customFormat="1" ht="25.5" customHeight="1" hidden="1">
      <c r="A89" s="1"/>
      <c r="B89" s="1"/>
      <c r="C89" s="174" t="s">
        <v>190</v>
      </c>
      <c r="D89" s="498"/>
      <c r="E89" s="136"/>
      <c r="F89" s="136"/>
      <c r="G89" s="136"/>
      <c r="H89" s="140"/>
      <c r="I89" s="140"/>
      <c r="J89" s="136"/>
      <c r="K89" s="136"/>
      <c r="L89" s="136"/>
      <c r="M89" s="136"/>
      <c r="N89" s="136"/>
      <c r="O89" s="136"/>
    </row>
    <row r="90" spans="1:15" s="135" customFormat="1" ht="13.5" customHeight="1" hidden="1">
      <c r="A90" s="1"/>
      <c r="B90" s="1"/>
      <c r="C90" s="434" t="s">
        <v>1272</v>
      </c>
      <c r="D90" s="503">
        <v>171980</v>
      </c>
      <c r="E90" s="136"/>
      <c r="F90" s="136"/>
      <c r="G90" s="136"/>
      <c r="H90" s="140"/>
      <c r="I90" s="140"/>
      <c r="J90" s="136"/>
      <c r="K90" s="136"/>
      <c r="L90" s="136"/>
      <c r="M90" s="136"/>
      <c r="N90" s="136"/>
      <c r="O90" s="136">
        <f>SUM(E90:N90)</f>
        <v>0</v>
      </c>
    </row>
    <row r="91" spans="1:15" s="135" customFormat="1" ht="26.25" customHeight="1">
      <c r="A91" s="145"/>
      <c r="B91" s="145"/>
      <c r="C91" s="162" t="s">
        <v>67</v>
      </c>
      <c r="D91" s="483"/>
      <c r="E91" s="136"/>
      <c r="F91" s="136"/>
      <c r="G91" s="136"/>
      <c r="H91" s="140"/>
      <c r="I91" s="140"/>
      <c r="J91" s="136"/>
      <c r="K91" s="136"/>
      <c r="L91" s="136"/>
      <c r="M91" s="136"/>
      <c r="N91" s="136"/>
      <c r="O91" s="136"/>
    </row>
    <row r="92" spans="1:15" s="135" customFormat="1" ht="29.25" customHeight="1">
      <c r="A92" s="1"/>
      <c r="B92" s="1"/>
      <c r="C92" s="516" t="s">
        <v>892</v>
      </c>
      <c r="D92" s="502">
        <v>171905</v>
      </c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>
        <f>SUM(E92:N92)</f>
        <v>0</v>
      </c>
    </row>
    <row r="93" spans="1:15" s="135" customFormat="1" ht="13.5" customHeight="1" hidden="1">
      <c r="A93" s="146"/>
      <c r="B93" s="146"/>
      <c r="C93" s="435" t="s">
        <v>1295</v>
      </c>
      <c r="D93" s="502">
        <v>171909</v>
      </c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>
        <f>SUM(E93:N93)</f>
        <v>0</v>
      </c>
    </row>
    <row r="94" spans="1:15" s="135" customFormat="1" ht="13.5" customHeight="1">
      <c r="A94" s="146"/>
      <c r="B94" s="146"/>
      <c r="C94" s="435" t="s">
        <v>1014</v>
      </c>
      <c r="D94" s="502">
        <v>171904</v>
      </c>
      <c r="E94" s="136"/>
      <c r="F94" s="136"/>
      <c r="G94" s="136"/>
      <c r="H94" s="136">
        <v>2000</v>
      </c>
      <c r="I94" s="136"/>
      <c r="J94" s="136"/>
      <c r="K94" s="136"/>
      <c r="L94" s="136"/>
      <c r="M94" s="136"/>
      <c r="N94" s="136"/>
      <c r="O94" s="136">
        <f>SUM(E94:N94)</f>
        <v>2000</v>
      </c>
    </row>
    <row r="95" spans="1:15" s="135" customFormat="1" ht="13.5" customHeight="1" hidden="1">
      <c r="A95" s="146"/>
      <c r="B95" s="146"/>
      <c r="C95" s="676" t="s">
        <v>1170</v>
      </c>
      <c r="D95" s="506">
        <v>172901</v>
      </c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>
        <f>SUM(E95:N95)</f>
        <v>0</v>
      </c>
    </row>
    <row r="96" spans="1:15" s="135" customFormat="1" ht="25.5" customHeight="1" hidden="1">
      <c r="A96" s="146"/>
      <c r="B96" s="146"/>
      <c r="C96" s="684" t="s">
        <v>316</v>
      </c>
      <c r="D96" s="506">
        <v>172908</v>
      </c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>
        <f>SUM(E96:N96)</f>
        <v>0</v>
      </c>
    </row>
    <row r="97" spans="1:15" s="135" customFormat="1" ht="24.75" customHeight="1">
      <c r="A97" s="146"/>
      <c r="B97" s="146"/>
      <c r="C97" s="433" t="s">
        <v>1073</v>
      </c>
      <c r="D97" s="498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</row>
    <row r="98" spans="1:15" s="135" customFormat="1" ht="15" customHeight="1" hidden="1">
      <c r="A98" s="146"/>
      <c r="B98" s="146"/>
      <c r="C98" s="173" t="s">
        <v>1271</v>
      </c>
      <c r="D98" s="502">
        <v>171901</v>
      </c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>
        <f>SUM(E98:N98)</f>
        <v>0</v>
      </c>
    </row>
    <row r="99" spans="1:15" s="135" customFormat="1" ht="15" customHeight="1">
      <c r="A99" s="146"/>
      <c r="B99" s="146"/>
      <c r="C99" s="725" t="s">
        <v>1445</v>
      </c>
      <c r="D99" s="505">
        <v>174906</v>
      </c>
      <c r="E99" s="136"/>
      <c r="F99" s="136"/>
      <c r="G99" s="136"/>
      <c r="H99" s="136">
        <v>5171</v>
      </c>
      <c r="I99" s="136"/>
      <c r="J99" s="136"/>
      <c r="K99" s="136"/>
      <c r="L99" s="136"/>
      <c r="M99" s="136"/>
      <c r="N99" s="136"/>
      <c r="O99" s="136">
        <f>SUM(E99:N99)</f>
        <v>5171</v>
      </c>
    </row>
    <row r="100" spans="1:15" s="135" customFormat="1" ht="24.75" customHeight="1" hidden="1">
      <c r="A100" s="1"/>
      <c r="B100" s="1"/>
      <c r="C100" s="436" t="s">
        <v>1094</v>
      </c>
      <c r="D100" s="504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</row>
    <row r="101" spans="1:15" s="135" customFormat="1" ht="18" customHeight="1" hidden="1">
      <c r="A101" s="1"/>
      <c r="B101" s="1"/>
      <c r="C101" s="437" t="s">
        <v>185</v>
      </c>
      <c r="D101" s="505">
        <v>171908</v>
      </c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>
        <f>SUM(E101:N101)</f>
        <v>0</v>
      </c>
    </row>
    <row r="102" spans="1:15" s="135" customFormat="1" ht="15.75" customHeight="1" hidden="1">
      <c r="A102" s="1"/>
      <c r="B102" s="1"/>
      <c r="C102" s="438" t="s">
        <v>1273</v>
      </c>
      <c r="D102" s="503">
        <v>171954</v>
      </c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</row>
    <row r="103" spans="1:15" s="135" customFormat="1" ht="20.25" customHeight="1" hidden="1">
      <c r="A103" s="1"/>
      <c r="B103" s="1"/>
      <c r="C103" s="206" t="s">
        <v>55</v>
      </c>
      <c r="D103" s="63"/>
      <c r="E103" s="160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</row>
    <row r="104" spans="1:15" s="135" customFormat="1" ht="24.75" customHeight="1" hidden="1">
      <c r="A104" s="1"/>
      <c r="B104" s="1"/>
      <c r="C104" s="174" t="s">
        <v>438</v>
      </c>
      <c r="D104" s="497">
        <v>121401</v>
      </c>
      <c r="E104" s="144"/>
      <c r="F104" s="175"/>
      <c r="G104" s="144"/>
      <c r="H104" s="136"/>
      <c r="I104" s="136"/>
      <c r="J104" s="136"/>
      <c r="K104" s="140"/>
      <c r="L104" s="140"/>
      <c r="M104" s="140"/>
      <c r="N104" s="140"/>
      <c r="O104" s="136">
        <f>SUM(E104:N104)</f>
        <v>0</v>
      </c>
    </row>
    <row r="105" spans="1:15" s="135" customFormat="1" ht="12.75" customHeight="1" hidden="1">
      <c r="A105" s="1"/>
      <c r="B105" s="1"/>
      <c r="C105" s="216" t="s">
        <v>191</v>
      </c>
      <c r="D105" s="491"/>
      <c r="E105" s="144"/>
      <c r="F105" s="175"/>
      <c r="G105" s="144"/>
      <c r="H105" s="136"/>
      <c r="I105" s="136"/>
      <c r="J105" s="136"/>
      <c r="K105" s="140"/>
      <c r="L105" s="140"/>
      <c r="M105" s="140"/>
      <c r="N105" s="140"/>
      <c r="O105" s="136"/>
    </row>
    <row r="106" spans="1:16" s="135" customFormat="1" ht="15" customHeight="1" hidden="1">
      <c r="A106" s="1"/>
      <c r="B106" s="1"/>
      <c r="C106" s="433" t="s">
        <v>759</v>
      </c>
      <c r="D106" s="497">
        <v>176902</v>
      </c>
      <c r="E106" s="144"/>
      <c r="F106" s="144"/>
      <c r="G106" s="144"/>
      <c r="H106" s="136"/>
      <c r="I106" s="136"/>
      <c r="J106" s="136"/>
      <c r="K106" s="140"/>
      <c r="L106" s="140"/>
      <c r="M106" s="140"/>
      <c r="N106" s="140"/>
      <c r="O106" s="136">
        <f>SUM(E106:N106)</f>
        <v>0</v>
      </c>
      <c r="P106" s="151"/>
    </row>
    <row r="107" spans="1:16" s="135" customFormat="1" ht="15" customHeight="1" hidden="1">
      <c r="A107" s="1"/>
      <c r="B107" s="1"/>
      <c r="C107" s="437" t="s">
        <v>826</v>
      </c>
      <c r="D107" s="505">
        <v>171954</v>
      </c>
      <c r="E107" s="144"/>
      <c r="F107" s="144"/>
      <c r="G107" s="144"/>
      <c r="H107" s="136"/>
      <c r="I107" s="136"/>
      <c r="J107" s="136"/>
      <c r="K107" s="140"/>
      <c r="L107" s="140"/>
      <c r="M107" s="140"/>
      <c r="N107" s="140"/>
      <c r="O107" s="136">
        <f>SUM(E107:N107)</f>
        <v>0</v>
      </c>
      <c r="P107" s="151"/>
    </row>
    <row r="108" spans="1:15" s="135" customFormat="1" ht="12" customHeight="1">
      <c r="A108" s="137"/>
      <c r="B108" s="137"/>
      <c r="C108" s="176" t="s">
        <v>1274</v>
      </c>
      <c r="D108" s="137"/>
      <c r="E108" s="138">
        <f>SUM(E86:E107)</f>
        <v>0</v>
      </c>
      <c r="F108" s="138">
        <f aca="true" t="shared" si="6" ref="F108:O108">SUM(F86:F107)</f>
        <v>0</v>
      </c>
      <c r="G108" s="138">
        <f t="shared" si="6"/>
        <v>0</v>
      </c>
      <c r="H108" s="138">
        <f t="shared" si="6"/>
        <v>7171</v>
      </c>
      <c r="I108" s="138">
        <f t="shared" si="6"/>
        <v>0</v>
      </c>
      <c r="J108" s="138">
        <f t="shared" si="6"/>
        <v>0</v>
      </c>
      <c r="K108" s="138">
        <f t="shared" si="6"/>
        <v>0</v>
      </c>
      <c r="L108" s="138">
        <f t="shared" si="6"/>
        <v>0</v>
      </c>
      <c r="M108" s="138">
        <f t="shared" si="6"/>
        <v>0</v>
      </c>
      <c r="N108" s="138">
        <f t="shared" si="6"/>
        <v>0</v>
      </c>
      <c r="O108" s="138">
        <f t="shared" si="6"/>
        <v>7171</v>
      </c>
    </row>
    <row r="109" spans="1:15" s="135" customFormat="1" ht="12" customHeight="1">
      <c r="A109" s="142">
        <v>1</v>
      </c>
      <c r="B109" s="142">
        <v>18</v>
      </c>
      <c r="C109" s="650" t="s">
        <v>1275</v>
      </c>
      <c r="D109" s="498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</row>
    <row r="110" spans="1:15" s="135" customFormat="1" ht="24.75" customHeight="1" hidden="1">
      <c r="A110" s="1"/>
      <c r="B110" s="1"/>
      <c r="C110" s="162" t="s">
        <v>67</v>
      </c>
      <c r="D110" s="483"/>
      <c r="E110" s="144"/>
      <c r="F110" s="144"/>
      <c r="G110" s="144"/>
      <c r="H110" s="136"/>
      <c r="I110" s="136"/>
      <c r="J110" s="136"/>
      <c r="K110" s="136"/>
      <c r="L110" s="136"/>
      <c r="M110" s="136"/>
      <c r="N110" s="136"/>
      <c r="O110" s="136"/>
    </row>
    <row r="111" spans="1:15" s="135" customFormat="1" ht="24.75" customHeight="1" hidden="1">
      <c r="A111" s="1"/>
      <c r="B111" s="1"/>
      <c r="C111" s="206" t="s">
        <v>485</v>
      </c>
      <c r="D111" s="63" t="s">
        <v>366</v>
      </c>
      <c r="E111" s="144"/>
      <c r="F111" s="144"/>
      <c r="G111" s="144"/>
      <c r="H111" s="136"/>
      <c r="I111" s="136"/>
      <c r="J111" s="136"/>
      <c r="K111" s="136"/>
      <c r="L111" s="136"/>
      <c r="M111" s="136"/>
      <c r="N111" s="136"/>
      <c r="O111" s="136">
        <f>SUM(E111:N111)</f>
        <v>0</v>
      </c>
    </row>
    <row r="112" spans="1:15" s="135" customFormat="1" ht="12" customHeight="1" hidden="1">
      <c r="A112" s="1"/>
      <c r="B112" s="1"/>
      <c r="C112" s="174" t="s">
        <v>349</v>
      </c>
      <c r="D112" s="497">
        <v>181905</v>
      </c>
      <c r="E112" s="144"/>
      <c r="F112" s="144"/>
      <c r="G112" s="144"/>
      <c r="H112" s="136"/>
      <c r="I112" s="136"/>
      <c r="J112" s="136"/>
      <c r="K112" s="136"/>
      <c r="L112" s="136"/>
      <c r="M112" s="136"/>
      <c r="N112" s="136"/>
      <c r="O112" s="136">
        <f>SUM(E112:N112)</f>
        <v>0</v>
      </c>
    </row>
    <row r="113" spans="1:15" s="135" customFormat="1" ht="15" customHeight="1" hidden="1">
      <c r="A113" s="1"/>
      <c r="B113" s="1"/>
      <c r="C113" s="162" t="s">
        <v>1100</v>
      </c>
      <c r="D113" s="483">
        <v>181903</v>
      </c>
      <c r="E113" s="443"/>
      <c r="F113" s="144"/>
      <c r="G113" s="175"/>
      <c r="H113" s="136"/>
      <c r="I113" s="136"/>
      <c r="J113" s="136"/>
      <c r="K113" s="136"/>
      <c r="L113" s="136"/>
      <c r="M113" s="136"/>
      <c r="N113" s="136"/>
      <c r="O113" s="136">
        <f>SUM(E113:N113)</f>
        <v>0</v>
      </c>
    </row>
    <row r="114" spans="1:15" s="135" customFormat="1" ht="27.75" customHeight="1" hidden="1">
      <c r="A114" s="1"/>
      <c r="B114" s="1"/>
      <c r="C114" s="162" t="s">
        <v>428</v>
      </c>
      <c r="D114" s="483">
        <v>181904</v>
      </c>
      <c r="E114" s="443"/>
      <c r="F114" s="144"/>
      <c r="G114" s="175"/>
      <c r="H114" s="136"/>
      <c r="I114" s="136"/>
      <c r="J114" s="136"/>
      <c r="K114" s="136"/>
      <c r="L114" s="136"/>
      <c r="M114" s="136"/>
      <c r="N114" s="136"/>
      <c r="O114" s="136">
        <f>SUM(E114:N114)</f>
        <v>0</v>
      </c>
    </row>
    <row r="115" spans="1:15" s="135" customFormat="1" ht="15" customHeight="1" hidden="1">
      <c r="A115" s="1" t="s">
        <v>1283</v>
      </c>
      <c r="B115" s="1"/>
      <c r="C115" s="174" t="s">
        <v>147</v>
      </c>
      <c r="D115" s="497">
        <v>181902</v>
      </c>
      <c r="E115" s="144"/>
      <c r="F115" s="144"/>
      <c r="G115" s="144"/>
      <c r="H115" s="136"/>
      <c r="I115" s="136"/>
      <c r="J115" s="136"/>
      <c r="K115" s="136"/>
      <c r="L115" s="136"/>
      <c r="M115" s="136"/>
      <c r="N115" s="136"/>
      <c r="O115" s="136">
        <f>SUM(E115:N115)</f>
        <v>0</v>
      </c>
    </row>
    <row r="116" spans="1:15" s="135" customFormat="1" ht="15" customHeight="1" hidden="1">
      <c r="A116" s="1"/>
      <c r="B116" s="1"/>
      <c r="C116" s="707" t="s">
        <v>57</v>
      </c>
      <c r="D116" s="505"/>
      <c r="E116" s="144"/>
      <c r="F116" s="144"/>
      <c r="G116" s="144"/>
      <c r="H116" s="136"/>
      <c r="I116" s="136"/>
      <c r="J116" s="136"/>
      <c r="K116" s="136"/>
      <c r="L116" s="136"/>
      <c r="M116" s="136"/>
      <c r="N116" s="136"/>
      <c r="O116" s="136"/>
    </row>
    <row r="117" spans="1:15" s="135" customFormat="1" ht="23.25" customHeight="1" hidden="1">
      <c r="A117" s="1"/>
      <c r="B117" s="1"/>
      <c r="C117" s="49" t="s">
        <v>437</v>
      </c>
      <c r="D117" s="100">
        <v>181907</v>
      </c>
      <c r="E117" s="144"/>
      <c r="F117" s="144"/>
      <c r="G117" s="144"/>
      <c r="H117" s="136"/>
      <c r="I117" s="136"/>
      <c r="J117" s="136"/>
      <c r="K117" s="136"/>
      <c r="L117" s="136"/>
      <c r="M117" s="136"/>
      <c r="N117" s="136"/>
      <c r="O117" s="136">
        <f>SUM(E117:N117)</f>
        <v>0</v>
      </c>
    </row>
    <row r="118" spans="1:15" s="135" customFormat="1" ht="14.25" customHeight="1">
      <c r="A118" s="137"/>
      <c r="B118" s="137"/>
      <c r="C118" s="176" t="s">
        <v>148</v>
      </c>
      <c r="D118" s="137"/>
      <c r="E118" s="149">
        <f>SUM(E111:E117)</f>
        <v>0</v>
      </c>
      <c r="F118" s="149">
        <f aca="true" t="shared" si="7" ref="F118:O118">SUM(F111:F117)</f>
        <v>0</v>
      </c>
      <c r="G118" s="149">
        <f t="shared" si="7"/>
        <v>0</v>
      </c>
      <c r="H118" s="149">
        <f t="shared" si="7"/>
        <v>0</v>
      </c>
      <c r="I118" s="149">
        <f t="shared" si="7"/>
        <v>0</v>
      </c>
      <c r="J118" s="149">
        <f t="shared" si="7"/>
        <v>0</v>
      </c>
      <c r="K118" s="149">
        <f t="shared" si="7"/>
        <v>0</v>
      </c>
      <c r="L118" s="149">
        <f t="shared" si="7"/>
        <v>0</v>
      </c>
      <c r="M118" s="149">
        <f t="shared" si="7"/>
        <v>0</v>
      </c>
      <c r="N118" s="149">
        <f t="shared" si="7"/>
        <v>0</v>
      </c>
      <c r="O118" s="149">
        <f t="shared" si="7"/>
        <v>0</v>
      </c>
    </row>
    <row r="119" spans="1:15" s="135" customFormat="1" ht="12" customHeight="1">
      <c r="A119" s="1">
        <v>1</v>
      </c>
      <c r="B119" s="1">
        <v>19</v>
      </c>
      <c r="C119" s="430" t="s">
        <v>1282</v>
      </c>
      <c r="D119" s="490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</row>
    <row r="120" spans="1:15" s="135" customFormat="1" ht="26.25" customHeight="1" hidden="1">
      <c r="A120" s="1"/>
      <c r="B120" s="1"/>
      <c r="C120" s="439" t="s">
        <v>98</v>
      </c>
      <c r="D120" s="504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</row>
    <row r="121" spans="1:16" s="135" customFormat="1" ht="24.75" customHeight="1" hidden="1">
      <c r="A121" s="1"/>
      <c r="B121" s="1"/>
      <c r="C121" s="217" t="s">
        <v>1113</v>
      </c>
      <c r="D121" s="505">
        <v>196911</v>
      </c>
      <c r="E121" s="144"/>
      <c r="F121" s="144"/>
      <c r="G121" s="144"/>
      <c r="H121" s="136"/>
      <c r="I121" s="136"/>
      <c r="J121" s="136"/>
      <c r="K121" s="136"/>
      <c r="L121" s="140"/>
      <c r="M121" s="140"/>
      <c r="N121" s="136"/>
      <c r="O121" s="136">
        <f>SUM(E121:N121)</f>
        <v>0</v>
      </c>
      <c r="P121" s="151"/>
    </row>
    <row r="122" spans="1:16" s="135" customFormat="1" ht="24.75" customHeight="1" hidden="1">
      <c r="A122" s="1"/>
      <c r="B122" s="1"/>
      <c r="C122" s="217" t="s">
        <v>619</v>
      </c>
      <c r="D122" s="505">
        <v>196912</v>
      </c>
      <c r="E122" s="144"/>
      <c r="F122" s="144"/>
      <c r="G122" s="144"/>
      <c r="H122" s="136"/>
      <c r="I122" s="136"/>
      <c r="J122" s="136"/>
      <c r="K122" s="136"/>
      <c r="L122" s="140"/>
      <c r="M122" s="140"/>
      <c r="N122" s="136"/>
      <c r="O122" s="136"/>
      <c r="P122" s="151"/>
    </row>
    <row r="123" spans="1:15" s="135" customFormat="1" ht="24.75" customHeight="1">
      <c r="A123" s="1"/>
      <c r="B123" s="1"/>
      <c r="C123" s="216" t="s">
        <v>57</v>
      </c>
      <c r="D123" s="491"/>
      <c r="E123" s="180"/>
      <c r="F123" s="144"/>
      <c r="G123" s="144"/>
      <c r="H123" s="136"/>
      <c r="I123" s="136"/>
      <c r="J123" s="136"/>
      <c r="K123" s="136"/>
      <c r="L123" s="140"/>
      <c r="M123" s="140"/>
      <c r="N123" s="136"/>
      <c r="O123" s="136"/>
    </row>
    <row r="124" spans="1:15" s="135" customFormat="1" ht="16.5" customHeight="1" hidden="1">
      <c r="A124" s="1" t="s">
        <v>1283</v>
      </c>
      <c r="B124" s="1"/>
      <c r="C124" s="173" t="s">
        <v>149</v>
      </c>
      <c r="D124" s="502">
        <v>191102</v>
      </c>
      <c r="E124" s="136"/>
      <c r="F124" s="136"/>
      <c r="G124" s="136"/>
      <c r="H124" s="136"/>
      <c r="I124" s="136"/>
      <c r="J124" s="136"/>
      <c r="K124" s="136"/>
      <c r="L124" s="140"/>
      <c r="M124" s="140"/>
      <c r="N124" s="136"/>
      <c r="O124" s="136">
        <f aca="true" t="shared" si="8" ref="O124:O130">SUM(E124:N124)</f>
        <v>0</v>
      </c>
    </row>
    <row r="125" spans="1:16" s="135" customFormat="1" ht="12.75">
      <c r="A125" s="1"/>
      <c r="B125" s="1"/>
      <c r="C125" s="274" t="s">
        <v>124</v>
      </c>
      <c r="D125" s="506">
        <v>191103</v>
      </c>
      <c r="E125" s="136"/>
      <c r="F125" s="136"/>
      <c r="G125" s="136"/>
      <c r="H125" s="140">
        <v>22440</v>
      </c>
      <c r="I125" s="136"/>
      <c r="J125" s="136"/>
      <c r="K125" s="136"/>
      <c r="L125" s="140"/>
      <c r="M125" s="140"/>
      <c r="N125" s="136"/>
      <c r="O125" s="136">
        <f t="shared" si="8"/>
        <v>22440</v>
      </c>
      <c r="P125" s="151"/>
    </row>
    <row r="126" spans="1:16" s="135" customFormat="1" ht="25.5" hidden="1">
      <c r="A126" s="1"/>
      <c r="B126" s="1"/>
      <c r="C126" s="174" t="s">
        <v>586</v>
      </c>
      <c r="D126" s="498">
        <v>191196</v>
      </c>
      <c r="E126" s="136"/>
      <c r="F126" s="136"/>
      <c r="G126" s="136"/>
      <c r="H126" s="136"/>
      <c r="I126" s="136"/>
      <c r="J126" s="136"/>
      <c r="K126" s="136"/>
      <c r="L126" s="140"/>
      <c r="M126" s="140"/>
      <c r="N126" s="136"/>
      <c r="O126" s="136">
        <f t="shared" si="8"/>
        <v>0</v>
      </c>
      <c r="P126" s="151"/>
    </row>
    <row r="127" spans="1:16" s="135" customFormat="1" ht="25.5" hidden="1">
      <c r="A127" s="1"/>
      <c r="B127" s="1"/>
      <c r="C127" s="174" t="s">
        <v>853</v>
      </c>
      <c r="D127" s="497">
        <v>191196</v>
      </c>
      <c r="E127" s="136"/>
      <c r="F127" s="136"/>
      <c r="G127" s="136"/>
      <c r="H127" s="136"/>
      <c r="I127" s="136"/>
      <c r="J127" s="136"/>
      <c r="K127" s="136"/>
      <c r="L127" s="140"/>
      <c r="M127" s="140"/>
      <c r="N127" s="136"/>
      <c r="O127" s="136">
        <f t="shared" si="8"/>
        <v>0</v>
      </c>
      <c r="P127" s="151"/>
    </row>
    <row r="128" spans="1:16" s="135" customFormat="1" ht="25.5" hidden="1">
      <c r="A128" s="1"/>
      <c r="B128" s="1"/>
      <c r="C128" s="174" t="s">
        <v>588</v>
      </c>
      <c r="D128" s="497">
        <v>191198</v>
      </c>
      <c r="E128" s="136"/>
      <c r="F128" s="136"/>
      <c r="G128" s="136"/>
      <c r="H128" s="136"/>
      <c r="I128" s="136"/>
      <c r="J128" s="136"/>
      <c r="K128" s="136"/>
      <c r="L128" s="136"/>
      <c r="M128" s="140"/>
      <c r="N128" s="136"/>
      <c r="O128" s="136">
        <f t="shared" si="8"/>
        <v>0</v>
      </c>
      <c r="P128" s="151"/>
    </row>
    <row r="129" spans="1:16" s="135" customFormat="1" ht="12.75" hidden="1">
      <c r="A129" s="1"/>
      <c r="B129" s="1"/>
      <c r="C129" s="217" t="s">
        <v>1171</v>
      </c>
      <c r="D129" s="505">
        <v>191193</v>
      </c>
      <c r="E129" s="136"/>
      <c r="F129" s="136"/>
      <c r="G129" s="136"/>
      <c r="H129" s="136"/>
      <c r="I129" s="136"/>
      <c r="J129" s="136"/>
      <c r="K129" s="136"/>
      <c r="L129" s="136"/>
      <c r="M129" s="140"/>
      <c r="N129" s="136"/>
      <c r="O129" s="136">
        <f t="shared" si="8"/>
        <v>0</v>
      </c>
      <c r="P129" s="151"/>
    </row>
    <row r="130" spans="1:16" s="135" customFormat="1" ht="12.75" hidden="1">
      <c r="A130" s="1"/>
      <c r="B130" s="1"/>
      <c r="C130" s="217" t="s">
        <v>1172</v>
      </c>
      <c r="D130" s="505">
        <v>191116</v>
      </c>
      <c r="E130" s="136"/>
      <c r="F130" s="136"/>
      <c r="G130" s="136"/>
      <c r="H130" s="136"/>
      <c r="I130" s="136"/>
      <c r="J130" s="136"/>
      <c r="K130" s="136"/>
      <c r="L130" s="136"/>
      <c r="M130" s="140"/>
      <c r="N130" s="136"/>
      <c r="O130" s="136">
        <f t="shared" si="8"/>
        <v>0</v>
      </c>
      <c r="P130" s="151"/>
    </row>
    <row r="131" spans="1:15" s="135" customFormat="1" ht="24.75" customHeight="1">
      <c r="A131" s="1"/>
      <c r="B131" s="1"/>
      <c r="C131" s="174" t="s">
        <v>1095</v>
      </c>
      <c r="D131" s="498"/>
      <c r="E131" s="136"/>
      <c r="F131" s="136"/>
      <c r="G131" s="136"/>
      <c r="H131" s="136"/>
      <c r="I131" s="136"/>
      <c r="J131" s="147"/>
      <c r="K131" s="136"/>
      <c r="L131" s="136"/>
      <c r="M131" s="136"/>
      <c r="N131" s="136"/>
      <c r="O131" s="136"/>
    </row>
    <row r="132" spans="1:15" s="135" customFormat="1" ht="25.5">
      <c r="A132" s="1"/>
      <c r="B132" s="1"/>
      <c r="C132" s="206" t="s">
        <v>462</v>
      </c>
      <c r="D132" s="63">
        <v>191901</v>
      </c>
      <c r="E132" s="140">
        <v>1</v>
      </c>
      <c r="F132" s="136"/>
      <c r="G132" s="136"/>
      <c r="H132" s="136"/>
      <c r="I132" s="136"/>
      <c r="J132" s="150"/>
      <c r="K132" s="136"/>
      <c r="L132" s="136"/>
      <c r="M132" s="136"/>
      <c r="N132" s="136"/>
      <c r="O132" s="136">
        <f aca="true" t="shared" si="9" ref="O132:O138">SUM(E132:N132)</f>
        <v>1</v>
      </c>
    </row>
    <row r="133" spans="1:15" s="135" customFormat="1" ht="25.5" hidden="1">
      <c r="A133" s="1"/>
      <c r="B133" s="1"/>
      <c r="C133" s="206" t="s">
        <v>463</v>
      </c>
      <c r="D133" s="63">
        <v>191901</v>
      </c>
      <c r="E133" s="140"/>
      <c r="F133" s="136"/>
      <c r="G133" s="136"/>
      <c r="H133" s="136"/>
      <c r="I133" s="136"/>
      <c r="J133" s="150"/>
      <c r="K133" s="136"/>
      <c r="L133" s="136"/>
      <c r="M133" s="136"/>
      <c r="N133" s="136"/>
      <c r="O133" s="136">
        <f t="shared" si="9"/>
        <v>0</v>
      </c>
    </row>
    <row r="134" spans="1:17" s="135" customFormat="1" ht="24" customHeight="1">
      <c r="A134" s="1"/>
      <c r="B134" s="1"/>
      <c r="C134" s="206" t="s">
        <v>464</v>
      </c>
      <c r="D134" s="63">
        <v>191901</v>
      </c>
      <c r="E134" s="140">
        <v>1610</v>
      </c>
      <c r="F134" s="136"/>
      <c r="G134" s="136"/>
      <c r="H134" s="136"/>
      <c r="I134" s="136"/>
      <c r="J134" s="136"/>
      <c r="K134" s="136"/>
      <c r="L134" s="136"/>
      <c r="M134" s="136"/>
      <c r="N134" s="136"/>
      <c r="O134" s="136">
        <f t="shared" si="9"/>
        <v>1610</v>
      </c>
      <c r="Q134" s="151"/>
    </row>
    <row r="135" spans="1:16" s="135" customFormat="1" ht="24" customHeight="1" hidden="1">
      <c r="A135" s="1"/>
      <c r="B135" s="1"/>
      <c r="C135" s="206" t="s">
        <v>465</v>
      </c>
      <c r="D135" s="63">
        <v>191901</v>
      </c>
      <c r="E135" s="140"/>
      <c r="F135" s="136"/>
      <c r="G135" s="136"/>
      <c r="H135" s="136"/>
      <c r="I135" s="136"/>
      <c r="J135" s="140"/>
      <c r="K135" s="136"/>
      <c r="L135" s="136"/>
      <c r="M135" s="136"/>
      <c r="N135" s="136"/>
      <c r="O135" s="136">
        <f t="shared" si="9"/>
        <v>0</v>
      </c>
      <c r="P135" s="151"/>
    </row>
    <row r="136" spans="1:16" s="135" customFormat="1" ht="24" customHeight="1">
      <c r="A136" s="1"/>
      <c r="B136" s="1"/>
      <c r="C136" s="206" t="s">
        <v>944</v>
      </c>
      <c r="D136" s="63">
        <v>191901</v>
      </c>
      <c r="E136" s="140">
        <v>1857</v>
      </c>
      <c r="F136" s="136"/>
      <c r="G136" s="136"/>
      <c r="H136" s="136"/>
      <c r="I136" s="136"/>
      <c r="J136" s="140"/>
      <c r="K136" s="136"/>
      <c r="L136" s="136"/>
      <c r="M136" s="136"/>
      <c r="N136" s="136"/>
      <c r="O136" s="136">
        <f t="shared" si="9"/>
        <v>1857</v>
      </c>
      <c r="P136" s="151"/>
    </row>
    <row r="137" spans="1:16" s="135" customFormat="1" ht="24" customHeight="1" hidden="1">
      <c r="A137" s="1"/>
      <c r="B137" s="1"/>
      <c r="C137" s="206" t="s">
        <v>1173</v>
      </c>
      <c r="D137" s="63">
        <v>191901</v>
      </c>
      <c r="E137" s="140"/>
      <c r="F137" s="136"/>
      <c r="G137" s="136"/>
      <c r="H137" s="136"/>
      <c r="I137" s="136"/>
      <c r="J137" s="140"/>
      <c r="K137" s="136"/>
      <c r="L137" s="136"/>
      <c r="M137" s="136"/>
      <c r="N137" s="136"/>
      <c r="O137" s="136">
        <f t="shared" si="9"/>
        <v>0</v>
      </c>
      <c r="P137" s="151"/>
    </row>
    <row r="138" spans="1:16" s="135" customFormat="1" ht="24" customHeight="1" hidden="1">
      <c r="A138" s="1"/>
      <c r="B138" s="1"/>
      <c r="C138" s="206" t="s">
        <v>827</v>
      </c>
      <c r="D138" s="63">
        <v>191901</v>
      </c>
      <c r="E138" s="140"/>
      <c r="F138" s="136"/>
      <c r="G138" s="136"/>
      <c r="H138" s="136"/>
      <c r="I138" s="136"/>
      <c r="J138" s="140"/>
      <c r="K138" s="136"/>
      <c r="L138" s="136"/>
      <c r="M138" s="136"/>
      <c r="N138" s="136"/>
      <c r="O138" s="136">
        <f t="shared" si="9"/>
        <v>0</v>
      </c>
      <c r="P138" s="151"/>
    </row>
    <row r="139" spans="1:16" s="135" customFormat="1" ht="28.5" customHeight="1" hidden="1">
      <c r="A139" s="1"/>
      <c r="B139" s="1"/>
      <c r="C139" s="174" t="s">
        <v>192</v>
      </c>
      <c r="D139" s="498"/>
      <c r="E139" s="136"/>
      <c r="F139" s="136"/>
      <c r="G139" s="136"/>
      <c r="H139" s="136"/>
      <c r="I139" s="136"/>
      <c r="J139" s="140"/>
      <c r="K139" s="136"/>
      <c r="L139" s="136"/>
      <c r="M139" s="136"/>
      <c r="N139" s="136"/>
      <c r="O139" s="136"/>
      <c r="P139" s="151"/>
    </row>
    <row r="140" spans="1:15" s="135" customFormat="1" ht="13.5" customHeight="1" hidden="1">
      <c r="A140" s="1"/>
      <c r="B140" s="1"/>
      <c r="C140" s="173" t="s">
        <v>120</v>
      </c>
      <c r="D140" s="502">
        <v>191901</v>
      </c>
      <c r="E140" s="136"/>
      <c r="F140" s="136"/>
      <c r="G140" s="140"/>
      <c r="H140" s="136"/>
      <c r="I140" s="136"/>
      <c r="J140" s="136"/>
      <c r="K140" s="136"/>
      <c r="L140" s="136"/>
      <c r="M140" s="136"/>
      <c r="N140" s="136"/>
      <c r="O140" s="136">
        <f aca="true" t="shared" si="10" ref="O140:O148">SUM(E140:N140)</f>
        <v>0</v>
      </c>
    </row>
    <row r="141" spans="1:15" s="135" customFormat="1" ht="13.5" customHeight="1" hidden="1">
      <c r="A141" s="1"/>
      <c r="B141" s="1"/>
      <c r="C141" s="173" t="s">
        <v>121</v>
      </c>
      <c r="D141" s="502">
        <v>191901</v>
      </c>
      <c r="E141" s="136"/>
      <c r="F141" s="136"/>
      <c r="G141" s="140"/>
      <c r="H141" s="136"/>
      <c r="I141" s="136"/>
      <c r="J141" s="136"/>
      <c r="K141" s="136"/>
      <c r="L141" s="136"/>
      <c r="M141" s="136"/>
      <c r="N141" s="136"/>
      <c r="O141" s="136">
        <f t="shared" si="10"/>
        <v>0</v>
      </c>
    </row>
    <row r="142" spans="1:15" s="135" customFormat="1" ht="13.5" customHeight="1" hidden="1">
      <c r="A142" s="1"/>
      <c r="B142" s="1"/>
      <c r="C142" s="173" t="s">
        <v>122</v>
      </c>
      <c r="D142" s="502">
        <v>191901</v>
      </c>
      <c r="E142" s="136"/>
      <c r="F142" s="136"/>
      <c r="G142" s="140"/>
      <c r="H142" s="136"/>
      <c r="I142" s="136"/>
      <c r="J142" s="136"/>
      <c r="K142" s="136"/>
      <c r="L142" s="136"/>
      <c r="M142" s="136"/>
      <c r="N142" s="136"/>
      <c r="O142" s="136">
        <f t="shared" si="10"/>
        <v>0</v>
      </c>
    </row>
    <row r="143" spans="1:15" s="135" customFormat="1" ht="13.5" customHeight="1" hidden="1">
      <c r="A143" s="1"/>
      <c r="B143" s="1"/>
      <c r="C143" s="173" t="s">
        <v>123</v>
      </c>
      <c r="D143" s="502">
        <v>191901</v>
      </c>
      <c r="E143" s="136"/>
      <c r="F143" s="136"/>
      <c r="G143" s="140"/>
      <c r="H143" s="136"/>
      <c r="I143" s="136"/>
      <c r="J143" s="136"/>
      <c r="K143" s="136"/>
      <c r="L143" s="136"/>
      <c r="M143" s="136"/>
      <c r="N143" s="136"/>
      <c r="O143" s="136">
        <f t="shared" si="10"/>
        <v>0</v>
      </c>
    </row>
    <row r="144" spans="1:15" s="135" customFormat="1" ht="13.5" customHeight="1" hidden="1">
      <c r="A144" s="1"/>
      <c r="B144" s="1"/>
      <c r="C144" s="173" t="s">
        <v>580</v>
      </c>
      <c r="D144" s="502">
        <v>191901</v>
      </c>
      <c r="E144" s="136"/>
      <c r="F144" s="136"/>
      <c r="G144" s="140"/>
      <c r="H144" s="136"/>
      <c r="I144" s="136"/>
      <c r="J144" s="136"/>
      <c r="K144" s="136"/>
      <c r="L144" s="136"/>
      <c r="M144" s="136"/>
      <c r="N144" s="136"/>
      <c r="O144" s="136">
        <f t="shared" si="10"/>
        <v>0</v>
      </c>
    </row>
    <row r="145" spans="1:15" s="135" customFormat="1" ht="13.5" customHeight="1" hidden="1">
      <c r="A145" s="1"/>
      <c r="B145" s="1"/>
      <c r="C145" s="173" t="s">
        <v>581</v>
      </c>
      <c r="D145" s="502">
        <v>191901</v>
      </c>
      <c r="E145" s="136"/>
      <c r="F145" s="136"/>
      <c r="G145" s="140"/>
      <c r="H145" s="136"/>
      <c r="I145" s="136"/>
      <c r="J145" s="136"/>
      <c r="K145" s="136"/>
      <c r="L145" s="136"/>
      <c r="M145" s="136"/>
      <c r="N145" s="136"/>
      <c r="O145" s="136">
        <f t="shared" si="10"/>
        <v>0</v>
      </c>
    </row>
    <row r="146" spans="1:15" s="135" customFormat="1" ht="13.5" customHeight="1" hidden="1">
      <c r="A146" s="1"/>
      <c r="B146" s="1"/>
      <c r="C146" s="274" t="s">
        <v>582</v>
      </c>
      <c r="D146" s="502">
        <v>191901</v>
      </c>
      <c r="E146" s="136"/>
      <c r="F146" s="136"/>
      <c r="G146" s="140"/>
      <c r="H146" s="136"/>
      <c r="I146" s="136"/>
      <c r="J146" s="136"/>
      <c r="K146" s="136"/>
      <c r="L146" s="136"/>
      <c r="M146" s="136"/>
      <c r="N146" s="136"/>
      <c r="O146" s="136">
        <f t="shared" si="10"/>
        <v>0</v>
      </c>
    </row>
    <row r="147" spans="1:15" s="135" customFormat="1" ht="24.75" customHeight="1" hidden="1">
      <c r="A147" s="1"/>
      <c r="B147" s="1"/>
      <c r="C147" s="224" t="s">
        <v>193</v>
      </c>
      <c r="D147" s="326"/>
      <c r="E147" s="15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>
        <f t="shared" si="10"/>
        <v>0</v>
      </c>
    </row>
    <row r="148" spans="1:15" s="135" customFormat="1" ht="33.75" customHeight="1" hidden="1">
      <c r="A148" s="1"/>
      <c r="B148" s="1"/>
      <c r="C148" s="193" t="s">
        <v>1098</v>
      </c>
      <c r="D148" s="326">
        <v>191158</v>
      </c>
      <c r="E148" s="304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>
        <f t="shared" si="10"/>
        <v>0</v>
      </c>
    </row>
    <row r="149" spans="1:15" s="135" customFormat="1" ht="18.75" customHeight="1" hidden="1">
      <c r="A149" s="1"/>
      <c r="B149" s="1"/>
      <c r="C149" s="193" t="s">
        <v>1046</v>
      </c>
      <c r="D149" s="326"/>
      <c r="E149" s="304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</row>
    <row r="150" spans="1:15" s="135" customFormat="1" ht="24.75" customHeight="1" hidden="1">
      <c r="A150" s="1"/>
      <c r="B150" s="1"/>
      <c r="C150" s="174" t="s">
        <v>587</v>
      </c>
      <c r="D150" s="498">
        <v>191906</v>
      </c>
      <c r="E150" s="140"/>
      <c r="F150" s="136"/>
      <c r="G150" s="136"/>
      <c r="H150" s="136"/>
      <c r="I150" s="136"/>
      <c r="J150" s="136"/>
      <c r="K150" s="136"/>
      <c r="L150" s="136"/>
      <c r="M150" s="136"/>
      <c r="N150" s="140"/>
      <c r="O150" s="136">
        <f>SUM(E150:N150)</f>
        <v>0</v>
      </c>
    </row>
    <row r="151" spans="1:15" s="135" customFormat="1" ht="16.5" customHeight="1" hidden="1">
      <c r="A151" s="1"/>
      <c r="B151" s="1"/>
      <c r="C151" s="217" t="s">
        <v>110</v>
      </c>
      <c r="D151" s="663"/>
      <c r="E151" s="140"/>
      <c r="F151" s="136"/>
      <c r="G151" s="136"/>
      <c r="H151" s="136"/>
      <c r="I151" s="136"/>
      <c r="J151" s="136"/>
      <c r="K151" s="136"/>
      <c r="L151" s="136"/>
      <c r="M151" s="136"/>
      <c r="N151" s="140"/>
      <c r="O151" s="136"/>
    </row>
    <row r="152" spans="1:15" s="135" customFormat="1" ht="24.75" customHeight="1" hidden="1">
      <c r="A152" s="1"/>
      <c r="B152" s="1"/>
      <c r="C152" s="217" t="s">
        <v>94</v>
      </c>
      <c r="D152" s="663">
        <v>191131</v>
      </c>
      <c r="E152" s="140"/>
      <c r="F152" s="136"/>
      <c r="G152" s="136"/>
      <c r="H152" s="136"/>
      <c r="I152" s="136"/>
      <c r="J152" s="136"/>
      <c r="K152" s="136"/>
      <c r="L152" s="136"/>
      <c r="M152" s="136"/>
      <c r="N152" s="140"/>
      <c r="O152" s="136">
        <f>SUM(E152:N152)</f>
        <v>0</v>
      </c>
    </row>
    <row r="153" spans="1:15" s="135" customFormat="1" ht="24.75" customHeight="1" hidden="1">
      <c r="A153" s="1"/>
      <c r="B153" s="1"/>
      <c r="C153" s="217" t="s">
        <v>828</v>
      </c>
      <c r="D153" s="663"/>
      <c r="E153" s="140"/>
      <c r="F153" s="136"/>
      <c r="G153" s="136"/>
      <c r="H153" s="136"/>
      <c r="I153" s="136"/>
      <c r="J153" s="136"/>
      <c r="K153" s="136"/>
      <c r="L153" s="136"/>
      <c r="M153" s="136"/>
      <c r="N153" s="140"/>
      <c r="O153" s="136"/>
    </row>
    <row r="154" spans="1:15" s="135" customFormat="1" ht="16.5" customHeight="1" hidden="1">
      <c r="A154" s="1"/>
      <c r="B154" s="1"/>
      <c r="C154" s="217" t="s">
        <v>829</v>
      </c>
      <c r="D154" s="663">
        <v>192909</v>
      </c>
      <c r="E154" s="140"/>
      <c r="F154" s="136"/>
      <c r="G154" s="136"/>
      <c r="H154" s="136"/>
      <c r="I154" s="136"/>
      <c r="J154" s="136"/>
      <c r="K154" s="136"/>
      <c r="L154" s="136"/>
      <c r="M154" s="136"/>
      <c r="N154" s="140"/>
      <c r="O154" s="136">
        <f>SUM(E154:N154)</f>
        <v>0</v>
      </c>
    </row>
    <row r="155" spans="1:15" s="135" customFormat="1" ht="15.75" customHeight="1">
      <c r="A155" s="2"/>
      <c r="B155" s="137"/>
      <c r="C155" s="176" t="s">
        <v>1284</v>
      </c>
      <c r="D155" s="137"/>
      <c r="E155" s="138">
        <f>SUM(E120:E154)</f>
        <v>3468</v>
      </c>
      <c r="F155" s="138">
        <f aca="true" t="shared" si="11" ref="F155:O155">SUM(F120:F154)</f>
        <v>0</v>
      </c>
      <c r="G155" s="138">
        <f t="shared" si="11"/>
        <v>0</v>
      </c>
      <c r="H155" s="138">
        <f t="shared" si="11"/>
        <v>22440</v>
      </c>
      <c r="I155" s="138">
        <f t="shared" si="11"/>
        <v>0</v>
      </c>
      <c r="J155" s="138">
        <f t="shared" si="11"/>
        <v>0</v>
      </c>
      <c r="K155" s="138">
        <f t="shared" si="11"/>
        <v>0</v>
      </c>
      <c r="L155" s="138">
        <f t="shared" si="11"/>
        <v>0</v>
      </c>
      <c r="M155" s="138">
        <f t="shared" si="11"/>
        <v>0</v>
      </c>
      <c r="N155" s="138">
        <f t="shared" si="11"/>
        <v>0</v>
      </c>
      <c r="O155" s="138">
        <f t="shared" si="11"/>
        <v>25908</v>
      </c>
    </row>
    <row r="156" spans="1:15" s="135" customFormat="1" ht="27.75" customHeight="1">
      <c r="A156" s="141">
        <v>1</v>
      </c>
      <c r="B156" s="142">
        <v>20</v>
      </c>
      <c r="C156" s="162" t="s">
        <v>67</v>
      </c>
      <c r="D156" s="483"/>
      <c r="E156" s="181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</row>
    <row r="157" spans="1:15" s="135" customFormat="1" ht="15" customHeight="1">
      <c r="A157" s="2"/>
      <c r="B157" s="137"/>
      <c r="C157" s="177" t="s">
        <v>36</v>
      </c>
      <c r="D157" s="517">
        <v>201901</v>
      </c>
      <c r="E157" s="446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>
        <f>SUM(E157:N157)</f>
        <v>0</v>
      </c>
    </row>
    <row r="158" spans="1:15" s="135" customFormat="1" ht="10.5" customHeight="1">
      <c r="A158" s="141">
        <v>1</v>
      </c>
      <c r="B158" s="142">
        <v>22</v>
      </c>
      <c r="C158" s="440" t="s">
        <v>902</v>
      </c>
      <c r="D158" s="142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</row>
    <row r="159" spans="1:15" s="135" customFormat="1" ht="24.75" customHeight="1" hidden="1">
      <c r="A159" s="141"/>
      <c r="B159" s="142"/>
      <c r="C159" s="216" t="s">
        <v>57</v>
      </c>
      <c r="D159" s="491"/>
      <c r="E159" s="160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</row>
    <row r="160" spans="1:15" s="135" customFormat="1" ht="15" customHeight="1" hidden="1">
      <c r="A160" s="141"/>
      <c r="B160" s="142"/>
      <c r="C160" s="256" t="s">
        <v>487</v>
      </c>
      <c r="D160" s="172">
        <v>221903</v>
      </c>
      <c r="E160" s="64"/>
      <c r="F160" s="143"/>
      <c r="G160" s="143"/>
      <c r="H160" s="143"/>
      <c r="I160" s="143"/>
      <c r="J160" s="140"/>
      <c r="K160" s="143"/>
      <c r="L160" s="143"/>
      <c r="M160" s="143"/>
      <c r="N160" s="143"/>
      <c r="O160" s="140">
        <f>SUM(E160:N160)</f>
        <v>0</v>
      </c>
    </row>
    <row r="161" spans="1:15" s="135" customFormat="1" ht="15" customHeight="1" hidden="1">
      <c r="A161" s="141"/>
      <c r="B161" s="142"/>
      <c r="C161" s="16" t="s">
        <v>413</v>
      </c>
      <c r="D161" s="632">
        <v>221934</v>
      </c>
      <c r="E161" s="64"/>
      <c r="F161" s="143"/>
      <c r="G161" s="143"/>
      <c r="H161" s="143"/>
      <c r="I161" s="143"/>
      <c r="J161" s="140"/>
      <c r="K161" s="143"/>
      <c r="L161" s="143"/>
      <c r="M161" s="143"/>
      <c r="N161" s="143"/>
      <c r="O161" s="140">
        <f>SUM(E161:N161)</f>
        <v>0</v>
      </c>
    </row>
    <row r="162" spans="1:15" s="135" customFormat="1" ht="15" customHeight="1" hidden="1">
      <c r="A162" s="141"/>
      <c r="B162" s="142"/>
      <c r="C162" s="16" t="s">
        <v>1174</v>
      </c>
      <c r="D162" s="172">
        <v>191110</v>
      </c>
      <c r="E162" s="64"/>
      <c r="F162" s="143"/>
      <c r="G162" s="143"/>
      <c r="H162" s="143"/>
      <c r="I162" s="143"/>
      <c r="J162" s="140"/>
      <c r="K162" s="143"/>
      <c r="L162" s="143"/>
      <c r="M162" s="143"/>
      <c r="N162" s="143"/>
      <c r="O162" s="140">
        <f>SUM(E162:N162)</f>
        <v>0</v>
      </c>
    </row>
    <row r="163" spans="1:15" s="135" customFormat="1" ht="15" customHeight="1" hidden="1">
      <c r="A163" s="141"/>
      <c r="B163" s="142"/>
      <c r="C163" s="197" t="s">
        <v>830</v>
      </c>
      <c r="D163" s="172">
        <v>222911</v>
      </c>
      <c r="E163" s="64"/>
      <c r="F163" s="143"/>
      <c r="G163" s="143"/>
      <c r="H163" s="143"/>
      <c r="I163" s="140"/>
      <c r="J163" s="140"/>
      <c r="K163" s="143"/>
      <c r="L163" s="143"/>
      <c r="M163" s="143"/>
      <c r="N163" s="143"/>
      <c r="O163" s="140">
        <f>SUM(E163:N163)</f>
        <v>0</v>
      </c>
    </row>
    <row r="164" spans="1:15" s="135" customFormat="1" ht="22.5" customHeight="1" hidden="1">
      <c r="A164" s="141"/>
      <c r="B164" s="142"/>
      <c r="C164" s="193" t="s">
        <v>79</v>
      </c>
      <c r="D164" s="172"/>
      <c r="E164" s="64"/>
      <c r="F164" s="143"/>
      <c r="G164" s="143"/>
      <c r="H164" s="143"/>
      <c r="I164" s="143"/>
      <c r="J164" s="140"/>
      <c r="K164" s="143"/>
      <c r="L164" s="143"/>
      <c r="M164" s="143"/>
      <c r="N164" s="143"/>
      <c r="O164" s="140"/>
    </row>
    <row r="165" spans="1:15" s="135" customFormat="1" ht="15" customHeight="1" hidden="1">
      <c r="A165" s="141"/>
      <c r="B165" s="142"/>
      <c r="C165" s="16" t="s">
        <v>1175</v>
      </c>
      <c r="D165" s="172">
        <v>151508</v>
      </c>
      <c r="E165" s="64"/>
      <c r="F165" s="143"/>
      <c r="G165" s="143"/>
      <c r="H165" s="140"/>
      <c r="I165" s="140"/>
      <c r="J165" s="140"/>
      <c r="K165" s="140"/>
      <c r="L165" s="143"/>
      <c r="M165" s="143"/>
      <c r="N165" s="143"/>
      <c r="O165" s="140">
        <f>SUM(E165:N165)</f>
        <v>0</v>
      </c>
    </row>
    <row r="166" spans="1:15" s="135" customFormat="1" ht="15" customHeight="1" hidden="1">
      <c r="A166" s="141"/>
      <c r="B166" s="142"/>
      <c r="C166" s="16" t="s">
        <v>1176</v>
      </c>
      <c r="D166" s="172" t="s">
        <v>1097</v>
      </c>
      <c r="E166" s="64"/>
      <c r="F166" s="143"/>
      <c r="G166" s="143"/>
      <c r="H166" s="677"/>
      <c r="I166" s="143"/>
      <c r="J166" s="140"/>
      <c r="K166" s="143"/>
      <c r="L166" s="143"/>
      <c r="M166" s="143"/>
      <c r="N166" s="143"/>
      <c r="O166" s="140">
        <f>SUM(E166:N166)</f>
        <v>0</v>
      </c>
    </row>
    <row r="167" spans="1:15" s="135" customFormat="1" ht="12" customHeight="1">
      <c r="A167" s="2"/>
      <c r="B167" s="137"/>
      <c r="C167" s="176" t="s">
        <v>559</v>
      </c>
      <c r="D167" s="137"/>
      <c r="E167" s="138">
        <f>SUM(E158:E166)</f>
        <v>0</v>
      </c>
      <c r="F167" s="138">
        <f aca="true" t="shared" si="12" ref="F167:O167">SUM(F158:F166)</f>
        <v>0</v>
      </c>
      <c r="G167" s="138">
        <f t="shared" si="12"/>
        <v>0</v>
      </c>
      <c r="H167" s="138">
        <f t="shared" si="12"/>
        <v>0</v>
      </c>
      <c r="I167" s="138">
        <f t="shared" si="12"/>
        <v>0</v>
      </c>
      <c r="J167" s="138">
        <f t="shared" si="12"/>
        <v>0</v>
      </c>
      <c r="K167" s="138">
        <f t="shared" si="12"/>
        <v>0</v>
      </c>
      <c r="L167" s="138">
        <f t="shared" si="12"/>
        <v>0</v>
      </c>
      <c r="M167" s="138">
        <f t="shared" si="12"/>
        <v>0</v>
      </c>
      <c r="N167" s="138">
        <f t="shared" si="12"/>
        <v>0</v>
      </c>
      <c r="O167" s="138">
        <f t="shared" si="12"/>
        <v>0</v>
      </c>
    </row>
    <row r="168" spans="1:15" s="135" customFormat="1" ht="24.75" customHeight="1">
      <c r="A168" s="137"/>
      <c r="B168" s="137"/>
      <c r="C168" s="441" t="s">
        <v>284</v>
      </c>
      <c r="D168" s="507"/>
      <c r="E168" s="138">
        <f aca="true" t="shared" si="13" ref="E168:O168">SUM(E11+E31+E37+E65+E85+E108+E118+E155+E157+E167)</f>
        <v>109647</v>
      </c>
      <c r="F168" s="138">
        <f t="shared" si="13"/>
        <v>5383681</v>
      </c>
      <c r="G168" s="138">
        <f t="shared" si="13"/>
        <v>0</v>
      </c>
      <c r="H168" s="138">
        <f t="shared" si="13"/>
        <v>51964</v>
      </c>
      <c r="I168" s="138">
        <f t="shared" si="13"/>
        <v>0</v>
      </c>
      <c r="J168" s="138">
        <f t="shared" si="13"/>
        <v>0</v>
      </c>
      <c r="K168" s="138">
        <f t="shared" si="13"/>
        <v>0</v>
      </c>
      <c r="L168" s="138">
        <f t="shared" si="13"/>
        <v>0</v>
      </c>
      <c r="M168" s="138">
        <f t="shared" si="13"/>
        <v>0</v>
      </c>
      <c r="N168" s="138">
        <f t="shared" si="13"/>
        <v>0</v>
      </c>
      <c r="O168" s="138">
        <f t="shared" si="13"/>
        <v>5545292</v>
      </c>
    </row>
    <row r="169" spans="1:15" s="135" customFormat="1" ht="15.75" customHeight="1">
      <c r="A169" s="1">
        <v>2</v>
      </c>
      <c r="B169" s="1"/>
      <c r="C169" s="518" t="s">
        <v>454</v>
      </c>
      <c r="D169" s="71"/>
      <c r="E169" s="136">
        <f>'táj.3'!C22</f>
        <v>20753</v>
      </c>
      <c r="F169" s="136">
        <f>'táj.3'!D22</f>
        <v>1943</v>
      </c>
      <c r="G169" s="136">
        <f>'táj.3'!E22</f>
        <v>0</v>
      </c>
      <c r="H169" s="136">
        <f>'táj.3'!F22</f>
        <v>22800</v>
      </c>
      <c r="I169" s="136">
        <f>'táj.3'!G22</f>
        <v>0</v>
      </c>
      <c r="J169" s="136">
        <f>'táj.3'!H22</f>
        <v>30</v>
      </c>
      <c r="K169" s="136">
        <f>'táj.3'!I22</f>
        <v>0</v>
      </c>
      <c r="L169" s="136"/>
      <c r="M169" s="136">
        <f>'táj.3'!J22</f>
        <v>0</v>
      </c>
      <c r="N169" s="136">
        <f>'táj.3'!L22</f>
        <v>0</v>
      </c>
      <c r="O169" s="136">
        <f>SUM(E169:N169)</f>
        <v>45526</v>
      </c>
    </row>
    <row r="170" spans="1:15" s="135" customFormat="1" ht="15.75" customHeight="1">
      <c r="A170" s="137"/>
      <c r="B170" s="137"/>
      <c r="C170" s="519" t="s">
        <v>440</v>
      </c>
      <c r="D170" s="137"/>
      <c r="E170" s="138">
        <f>SUM(E168:E169)</f>
        <v>130400</v>
      </c>
      <c r="F170" s="138">
        <f>SUM(F168:F169)</f>
        <v>5385624</v>
      </c>
      <c r="G170" s="138">
        <f aca="true" t="shared" si="14" ref="G170:O170">SUM(G168:G169)+G156</f>
        <v>0</v>
      </c>
      <c r="H170" s="138">
        <f t="shared" si="14"/>
        <v>74764</v>
      </c>
      <c r="I170" s="138">
        <f t="shared" si="14"/>
        <v>0</v>
      </c>
      <c r="J170" s="138">
        <f t="shared" si="14"/>
        <v>30</v>
      </c>
      <c r="K170" s="138">
        <f t="shared" si="14"/>
        <v>0</v>
      </c>
      <c r="L170" s="138">
        <f t="shared" si="14"/>
        <v>0</v>
      </c>
      <c r="M170" s="138">
        <f t="shared" si="14"/>
        <v>0</v>
      </c>
      <c r="N170" s="138">
        <f t="shared" si="14"/>
        <v>0</v>
      </c>
      <c r="O170" s="138">
        <f t="shared" si="14"/>
        <v>5590818</v>
      </c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80" r:id="rId1"/>
  <headerFooter alignWithMargins="0">
    <oddHeader>&amp;C&amp;"Times New Roman,Félkövér dőlt" ZMJV ÖNKORMÁNYZATA
2016. ÉVI BEVÉTELI ELŐIRÁNYZATAINAK MÓDOSÍTÁSA &amp;R&amp;"Times New Roman,Félkövér dőlt"1. tájékoztató tábla
Adatok ezer Ft-ban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N812"/>
  <sheetViews>
    <sheetView zoomScale="105" zoomScaleNormal="105" zoomScaleSheetLayoutView="120" zoomScalePageLayoutView="0" workbookViewId="0" topLeftCell="B1">
      <pane ySplit="2" topLeftCell="BM640" activePane="bottomLeft" state="frozen"/>
      <selection pane="topLeft" activeCell="A1" sqref="A1"/>
      <selection pane="bottomLeft" activeCell="G610" sqref="G610:N610"/>
    </sheetView>
  </sheetViews>
  <sheetFormatPr defaultColWidth="9.00390625" defaultRowHeight="12.75"/>
  <cols>
    <col min="1" max="1" width="4.50390625" style="4" customWidth="1"/>
    <col min="2" max="2" width="5.125" style="4" customWidth="1"/>
    <col min="3" max="3" width="6.50390625" style="4" customWidth="1"/>
    <col min="4" max="4" width="48.125" style="4" customWidth="1"/>
    <col min="5" max="5" width="3.125" style="4" customWidth="1"/>
    <col min="6" max="6" width="8.625" style="4" customWidth="1"/>
    <col min="7" max="7" width="9.875" style="4" customWidth="1"/>
    <col min="8" max="8" width="11.00390625" style="4" bestFit="1" customWidth="1"/>
    <col min="9" max="9" width="10.50390625" style="4" customWidth="1"/>
    <col min="10" max="10" width="11.00390625" style="4" customWidth="1"/>
    <col min="11" max="11" width="10.125" style="4" customWidth="1"/>
    <col min="12" max="12" width="10.125" style="4" bestFit="1" customWidth="1"/>
    <col min="13" max="13" width="11.00390625" style="4" customWidth="1"/>
    <col min="14" max="14" width="10.125" style="4" customWidth="1"/>
    <col min="15" max="15" width="7.875" style="4" customWidth="1"/>
    <col min="16" max="16" width="8.50390625" style="4" customWidth="1"/>
    <col min="17" max="17" width="10.625" style="4" customWidth="1"/>
    <col min="18" max="16384" width="9.375" style="4" customWidth="1"/>
  </cols>
  <sheetData>
    <row r="1" spans="1:18" ht="36.75" customHeight="1" thickBot="1">
      <c r="A1" s="753" t="s">
        <v>1285</v>
      </c>
      <c r="B1" s="753" t="s">
        <v>1286</v>
      </c>
      <c r="C1" s="753" t="s">
        <v>1025</v>
      </c>
      <c r="D1" s="772" t="s">
        <v>151</v>
      </c>
      <c r="E1" s="774" t="s">
        <v>527</v>
      </c>
      <c r="F1" s="753" t="s">
        <v>573</v>
      </c>
      <c r="G1" s="777" t="s">
        <v>163</v>
      </c>
      <c r="H1" s="777"/>
      <c r="I1" s="777"/>
      <c r="J1" s="777"/>
      <c r="K1" s="777"/>
      <c r="L1" s="777"/>
      <c r="M1" s="777"/>
      <c r="N1" s="777"/>
      <c r="O1" s="751" t="s">
        <v>1022</v>
      </c>
      <c r="P1" s="752"/>
      <c r="Q1" s="630" t="s">
        <v>153</v>
      </c>
      <c r="R1" s="786" t="s">
        <v>955</v>
      </c>
    </row>
    <row r="2" spans="1:18" ht="57.75" customHeight="1" thickBot="1">
      <c r="A2" s="771"/>
      <c r="B2" s="771"/>
      <c r="C2" s="771"/>
      <c r="D2" s="773"/>
      <c r="E2" s="775"/>
      <c r="F2" s="788"/>
      <c r="G2" s="698" t="s">
        <v>1</v>
      </c>
      <c r="H2" s="184" t="s">
        <v>537</v>
      </c>
      <c r="I2" s="184" t="s">
        <v>529</v>
      </c>
      <c r="J2" s="184" t="s">
        <v>1020</v>
      </c>
      <c r="K2" s="184" t="s">
        <v>1116</v>
      </c>
      <c r="L2" s="184" t="s">
        <v>1104</v>
      </c>
      <c r="M2" s="184" t="s">
        <v>1103</v>
      </c>
      <c r="N2" s="184" t="s">
        <v>1021</v>
      </c>
      <c r="O2" s="222" t="s">
        <v>167</v>
      </c>
      <c r="P2" s="223" t="s">
        <v>172</v>
      </c>
      <c r="Q2" s="631"/>
      <c r="R2" s="787"/>
    </row>
    <row r="3" spans="1:18" ht="16.5" customHeight="1">
      <c r="A3" s="201">
        <v>1</v>
      </c>
      <c r="B3" s="5"/>
      <c r="C3" s="299"/>
      <c r="D3" s="97" t="s">
        <v>453</v>
      </c>
      <c r="E3" s="202"/>
      <c r="F3" s="530"/>
      <c r="G3" s="6"/>
      <c r="H3" s="6"/>
      <c r="I3" s="6"/>
      <c r="J3" s="6"/>
      <c r="K3" s="6"/>
      <c r="L3" s="6"/>
      <c r="M3" s="6"/>
      <c r="N3" s="6"/>
      <c r="O3" s="6"/>
      <c r="P3" s="6"/>
      <c r="Q3" s="639"/>
      <c r="R3" s="646"/>
    </row>
    <row r="4" spans="1:18" ht="12.75" customHeight="1">
      <c r="A4" s="5">
        <v>1</v>
      </c>
      <c r="B4" s="5">
        <v>1</v>
      </c>
      <c r="C4" s="5"/>
      <c r="D4" s="97" t="s">
        <v>812</v>
      </c>
      <c r="E4" s="18"/>
      <c r="F4" s="113"/>
      <c r="G4" s="6"/>
      <c r="H4" s="6"/>
      <c r="I4" s="6"/>
      <c r="J4" s="6"/>
      <c r="K4" s="6"/>
      <c r="L4" s="6"/>
      <c r="M4" s="6"/>
      <c r="N4" s="6"/>
      <c r="O4" s="6"/>
      <c r="P4" s="6"/>
      <c r="Q4" s="639"/>
      <c r="R4" s="646"/>
    </row>
    <row r="5" spans="1:18" ht="12">
      <c r="A5" s="10">
        <v>1</v>
      </c>
      <c r="B5" s="10">
        <v>12</v>
      </c>
      <c r="C5" s="10"/>
      <c r="D5" s="290" t="s">
        <v>1485</v>
      </c>
      <c r="E5" s="300"/>
      <c r="F5" s="168"/>
      <c r="G5" s="99"/>
      <c r="H5" s="99"/>
      <c r="I5" s="99"/>
      <c r="J5" s="99"/>
      <c r="K5" s="99"/>
      <c r="L5" s="99"/>
      <c r="M5" s="99"/>
      <c r="N5" s="99"/>
      <c r="O5" s="99"/>
      <c r="P5" s="99"/>
      <c r="Q5" s="14"/>
      <c r="R5" s="646"/>
    </row>
    <row r="6" spans="1:18" ht="14.25" customHeight="1" hidden="1">
      <c r="A6" s="10"/>
      <c r="B6" s="10"/>
      <c r="C6" s="242"/>
      <c r="D6" s="220" t="s">
        <v>53</v>
      </c>
      <c r="E6" s="301"/>
      <c r="F6" s="522"/>
      <c r="G6" s="99"/>
      <c r="H6" s="99"/>
      <c r="I6" s="99"/>
      <c r="J6" s="99"/>
      <c r="K6" s="99"/>
      <c r="L6" s="152"/>
      <c r="M6" s="152"/>
      <c r="N6" s="152"/>
      <c r="O6" s="152"/>
      <c r="P6" s="152"/>
      <c r="Q6" s="14"/>
      <c r="R6" s="646"/>
    </row>
    <row r="7" spans="1:18" ht="14.25" customHeight="1" hidden="1">
      <c r="A7" s="10"/>
      <c r="B7" s="10"/>
      <c r="C7" s="242"/>
      <c r="D7" s="14" t="s">
        <v>995</v>
      </c>
      <c r="E7" s="302">
        <v>2</v>
      </c>
      <c r="F7" s="10">
        <v>121103</v>
      </c>
      <c r="G7" s="99"/>
      <c r="H7" s="99"/>
      <c r="I7" s="99"/>
      <c r="J7" s="99"/>
      <c r="K7" s="99"/>
      <c r="L7" s="152"/>
      <c r="M7" s="152"/>
      <c r="N7" s="152"/>
      <c r="O7" s="152"/>
      <c r="P7" s="152"/>
      <c r="Q7" s="14">
        <f>SUM(G7:P7)</f>
        <v>0</v>
      </c>
      <c r="R7" s="646"/>
    </row>
    <row r="8" spans="1:18" ht="14.25" customHeight="1">
      <c r="A8" s="10"/>
      <c r="B8" s="10"/>
      <c r="C8" s="242"/>
      <c r="D8" s="14" t="s">
        <v>54</v>
      </c>
      <c r="E8" s="302"/>
      <c r="F8" s="10"/>
      <c r="G8" s="99"/>
      <c r="H8" s="99"/>
      <c r="I8" s="99"/>
      <c r="J8" s="99"/>
      <c r="K8" s="99"/>
      <c r="L8" s="152"/>
      <c r="M8" s="152"/>
      <c r="N8" s="152"/>
      <c r="O8" s="152"/>
      <c r="P8" s="152"/>
      <c r="Q8" s="14"/>
      <c r="R8" s="646"/>
    </row>
    <row r="9" spans="1:18" ht="14.25" customHeight="1">
      <c r="A9" s="10"/>
      <c r="B9" s="10"/>
      <c r="C9" s="242"/>
      <c r="D9" s="14" t="s">
        <v>22</v>
      </c>
      <c r="E9" s="302">
        <v>2</v>
      </c>
      <c r="F9" s="10">
        <v>121114</v>
      </c>
      <c r="G9" s="99"/>
      <c r="H9" s="99"/>
      <c r="I9" s="99"/>
      <c r="J9" s="99">
        <v>69</v>
      </c>
      <c r="K9" s="99"/>
      <c r="L9" s="152"/>
      <c r="M9" s="152"/>
      <c r="N9" s="152"/>
      <c r="O9" s="152"/>
      <c r="P9" s="152"/>
      <c r="Q9" s="14">
        <f>SUM(G9:P9)</f>
        <v>69</v>
      </c>
      <c r="R9" s="646" t="s">
        <v>1178</v>
      </c>
    </row>
    <row r="10" spans="1:18" ht="14.25" customHeight="1" hidden="1">
      <c r="A10" s="10"/>
      <c r="B10" s="10"/>
      <c r="C10" s="242"/>
      <c r="D10" s="14" t="s">
        <v>589</v>
      </c>
      <c r="E10" s="302">
        <v>2</v>
      </c>
      <c r="F10" s="10">
        <v>121104</v>
      </c>
      <c r="G10" s="99"/>
      <c r="H10" s="99"/>
      <c r="I10" s="99"/>
      <c r="J10" s="99"/>
      <c r="K10" s="99"/>
      <c r="L10" s="152"/>
      <c r="M10" s="152"/>
      <c r="N10" s="152"/>
      <c r="O10" s="152"/>
      <c r="P10" s="152"/>
      <c r="Q10" s="14">
        <f>SUM(G10:P10)</f>
        <v>0</v>
      </c>
      <c r="R10" s="646"/>
    </row>
    <row r="11" spans="1:18" ht="14.25" customHeight="1" hidden="1">
      <c r="A11" s="10"/>
      <c r="B11" s="10"/>
      <c r="C11" s="242"/>
      <c r="D11" s="14" t="s">
        <v>304</v>
      </c>
      <c r="E11" s="302"/>
      <c r="F11" s="10">
        <v>121106</v>
      </c>
      <c r="G11" s="99"/>
      <c r="H11" s="99"/>
      <c r="I11" s="99"/>
      <c r="J11" s="99"/>
      <c r="K11" s="99"/>
      <c r="L11" s="152"/>
      <c r="M11" s="152"/>
      <c r="N11" s="152"/>
      <c r="O11" s="152"/>
      <c r="P11" s="152"/>
      <c r="Q11" s="14">
        <f>SUM(G11:P11)</f>
        <v>0</v>
      </c>
      <c r="R11" s="646"/>
    </row>
    <row r="12" spans="1:18" ht="14.25" customHeight="1">
      <c r="A12" s="10"/>
      <c r="B12" s="10"/>
      <c r="C12" s="242"/>
      <c r="D12" s="14" t="s">
        <v>1263</v>
      </c>
      <c r="E12" s="302"/>
      <c r="F12" s="10"/>
      <c r="G12" s="99"/>
      <c r="H12" s="99"/>
      <c r="I12" s="99"/>
      <c r="J12" s="99"/>
      <c r="K12" s="99"/>
      <c r="L12" s="152"/>
      <c r="M12" s="152"/>
      <c r="N12" s="152"/>
      <c r="O12" s="152"/>
      <c r="P12" s="152"/>
      <c r="Q12" s="14"/>
      <c r="R12" s="646"/>
    </row>
    <row r="13" spans="1:18" ht="14.25" customHeight="1" hidden="1">
      <c r="A13" s="10"/>
      <c r="B13" s="10"/>
      <c r="C13" s="242"/>
      <c r="D13" s="14" t="s">
        <v>158</v>
      </c>
      <c r="E13" s="302">
        <v>2</v>
      </c>
      <c r="F13" s="10">
        <v>121110</v>
      </c>
      <c r="G13" s="99"/>
      <c r="H13" s="99"/>
      <c r="I13" s="99"/>
      <c r="J13" s="99"/>
      <c r="K13" s="99"/>
      <c r="L13" s="152"/>
      <c r="M13" s="152"/>
      <c r="N13" s="152"/>
      <c r="O13" s="152"/>
      <c r="P13" s="152"/>
      <c r="Q13" s="14">
        <f aca="true" t="shared" si="0" ref="Q13:Q19">SUM(G13:P13)</f>
        <v>0</v>
      </c>
      <c r="R13" s="646"/>
    </row>
    <row r="14" spans="1:18" ht="14.25" customHeight="1" hidden="1">
      <c r="A14" s="10"/>
      <c r="B14" s="10"/>
      <c r="C14" s="242"/>
      <c r="D14" s="14" t="s">
        <v>996</v>
      </c>
      <c r="E14" s="302">
        <v>2</v>
      </c>
      <c r="F14" s="10">
        <v>121111</v>
      </c>
      <c r="G14" s="99"/>
      <c r="H14" s="99"/>
      <c r="I14" s="99"/>
      <c r="J14" s="99"/>
      <c r="K14" s="99"/>
      <c r="L14" s="152"/>
      <c r="M14" s="152"/>
      <c r="N14" s="152"/>
      <c r="O14" s="152"/>
      <c r="P14" s="152"/>
      <c r="Q14" s="14">
        <f t="shared" si="0"/>
        <v>0</v>
      </c>
      <c r="R14" s="646"/>
    </row>
    <row r="15" spans="1:18" ht="14.25" customHeight="1" hidden="1">
      <c r="A15" s="10"/>
      <c r="B15" s="10"/>
      <c r="C15" s="242"/>
      <c r="D15" s="14" t="s">
        <v>590</v>
      </c>
      <c r="E15" s="302">
        <v>2</v>
      </c>
      <c r="F15" s="10">
        <v>121115</v>
      </c>
      <c r="G15" s="99"/>
      <c r="H15" s="99"/>
      <c r="I15" s="99"/>
      <c r="J15" s="99"/>
      <c r="K15" s="99"/>
      <c r="L15" s="152"/>
      <c r="M15" s="152"/>
      <c r="N15" s="152"/>
      <c r="O15" s="152"/>
      <c r="P15" s="152"/>
      <c r="Q15" s="14">
        <f t="shared" si="0"/>
        <v>0</v>
      </c>
      <c r="R15" s="646"/>
    </row>
    <row r="16" spans="1:18" ht="14.25" customHeight="1" hidden="1">
      <c r="A16" s="10"/>
      <c r="B16" s="10"/>
      <c r="C16" s="242"/>
      <c r="D16" s="14" t="s">
        <v>593</v>
      </c>
      <c r="E16" s="302">
        <v>2</v>
      </c>
      <c r="F16" s="632">
        <v>121127</v>
      </c>
      <c r="G16" s="99"/>
      <c r="H16" s="99"/>
      <c r="I16" s="99"/>
      <c r="J16" s="99"/>
      <c r="K16" s="99"/>
      <c r="L16" s="152"/>
      <c r="M16" s="152"/>
      <c r="N16" s="152"/>
      <c r="O16" s="152"/>
      <c r="P16" s="152"/>
      <c r="Q16" s="14">
        <f t="shared" si="0"/>
        <v>0</v>
      </c>
      <c r="R16" s="646"/>
    </row>
    <row r="17" spans="1:18" ht="14.25" customHeight="1">
      <c r="A17" s="10"/>
      <c r="B17" s="10"/>
      <c r="C17" s="242"/>
      <c r="D17" s="14" t="s">
        <v>591</v>
      </c>
      <c r="E17" s="302">
        <v>2</v>
      </c>
      <c r="F17" s="632">
        <v>121128</v>
      </c>
      <c r="G17" s="99"/>
      <c r="H17" s="99"/>
      <c r="I17" s="99"/>
      <c r="J17" s="99">
        <v>148</v>
      </c>
      <c r="K17" s="99"/>
      <c r="L17" s="152"/>
      <c r="M17" s="152"/>
      <c r="N17" s="152"/>
      <c r="O17" s="152"/>
      <c r="P17" s="152"/>
      <c r="Q17" s="14">
        <f t="shared" si="0"/>
        <v>148</v>
      </c>
      <c r="R17" s="646" t="s">
        <v>1178</v>
      </c>
    </row>
    <row r="18" spans="1:18" ht="14.25" customHeight="1">
      <c r="A18" s="10"/>
      <c r="B18" s="10"/>
      <c r="C18" s="242"/>
      <c r="D18" s="14" t="s">
        <v>376</v>
      </c>
      <c r="E18" s="302">
        <v>2</v>
      </c>
      <c r="F18" s="632">
        <v>121129</v>
      </c>
      <c r="G18" s="99"/>
      <c r="H18" s="99"/>
      <c r="I18" s="99"/>
      <c r="J18" s="99">
        <v>1112</v>
      </c>
      <c r="K18" s="99">
        <v>-925</v>
      </c>
      <c r="L18" s="152"/>
      <c r="M18" s="152"/>
      <c r="N18" s="152"/>
      <c r="O18" s="152"/>
      <c r="P18" s="152"/>
      <c r="Q18" s="14">
        <f t="shared" si="0"/>
        <v>187</v>
      </c>
      <c r="R18" s="646" t="s">
        <v>1178</v>
      </c>
    </row>
    <row r="19" spans="1:18" ht="14.25" customHeight="1" hidden="1">
      <c r="A19" s="10"/>
      <c r="B19" s="10"/>
      <c r="C19" s="242"/>
      <c r="D19" s="11" t="s">
        <v>929</v>
      </c>
      <c r="E19" s="311">
        <v>1</v>
      </c>
      <c r="F19" s="632">
        <v>121124</v>
      </c>
      <c r="G19" s="99"/>
      <c r="H19" s="99"/>
      <c r="I19" s="99"/>
      <c r="J19" s="99"/>
      <c r="K19" s="99"/>
      <c r="L19" s="152"/>
      <c r="M19" s="152"/>
      <c r="N19" s="152"/>
      <c r="O19" s="152"/>
      <c r="P19" s="152"/>
      <c r="Q19" s="14">
        <f t="shared" si="0"/>
        <v>0</v>
      </c>
      <c r="R19" s="646"/>
    </row>
    <row r="20" spans="1:18" ht="27" customHeight="1" hidden="1">
      <c r="A20" s="10"/>
      <c r="B20" s="10"/>
      <c r="C20" s="242"/>
      <c r="D20" s="447" t="s">
        <v>1507</v>
      </c>
      <c r="E20" s="302"/>
      <c r="F20" s="632"/>
      <c r="G20" s="99"/>
      <c r="H20" s="99"/>
      <c r="I20" s="99"/>
      <c r="J20" s="99"/>
      <c r="K20" s="99"/>
      <c r="L20" s="152"/>
      <c r="M20" s="152"/>
      <c r="N20" s="152"/>
      <c r="O20" s="152"/>
      <c r="P20" s="152"/>
      <c r="Q20" s="14"/>
      <c r="R20" s="646"/>
    </row>
    <row r="21" spans="1:18" ht="14.25" customHeight="1" hidden="1">
      <c r="A21" s="10"/>
      <c r="B21" s="10"/>
      <c r="C21" s="242"/>
      <c r="D21" s="14" t="s">
        <v>592</v>
      </c>
      <c r="E21" s="302">
        <v>2</v>
      </c>
      <c r="F21" s="632">
        <v>121131</v>
      </c>
      <c r="G21" s="99"/>
      <c r="H21" s="99"/>
      <c r="I21" s="99"/>
      <c r="J21" s="99"/>
      <c r="K21" s="99"/>
      <c r="L21" s="152"/>
      <c r="M21" s="152"/>
      <c r="N21" s="152"/>
      <c r="O21" s="152"/>
      <c r="P21" s="152"/>
      <c r="Q21" s="14">
        <f>SUM(G21:P21)</f>
        <v>0</v>
      </c>
      <c r="R21" s="646"/>
    </row>
    <row r="22" spans="1:18" ht="14.25" customHeight="1" hidden="1">
      <c r="A22" s="10"/>
      <c r="B22" s="10"/>
      <c r="C22" s="242"/>
      <c r="D22" s="14" t="s">
        <v>54</v>
      </c>
      <c r="E22" s="302"/>
      <c r="F22" s="632"/>
      <c r="G22" s="99"/>
      <c r="H22" s="99"/>
      <c r="I22" s="99"/>
      <c r="J22" s="99"/>
      <c r="K22" s="99"/>
      <c r="L22" s="152"/>
      <c r="M22" s="152"/>
      <c r="N22" s="152"/>
      <c r="O22" s="152"/>
      <c r="P22" s="152"/>
      <c r="Q22" s="14"/>
      <c r="R22" s="646"/>
    </row>
    <row r="23" spans="1:18" ht="14.25" customHeight="1" hidden="1">
      <c r="A23" s="10"/>
      <c r="B23" s="10"/>
      <c r="C23" s="242"/>
      <c r="D23" s="14" t="s">
        <v>377</v>
      </c>
      <c r="E23" s="302">
        <v>1</v>
      </c>
      <c r="F23" s="10">
        <v>121201</v>
      </c>
      <c r="G23" s="99"/>
      <c r="H23" s="99"/>
      <c r="I23" s="99"/>
      <c r="J23" s="99"/>
      <c r="K23" s="99"/>
      <c r="L23" s="152"/>
      <c r="M23" s="152"/>
      <c r="N23" s="152"/>
      <c r="O23" s="152"/>
      <c r="P23" s="152"/>
      <c r="Q23" s="14">
        <f>SUM(G23:P23)</f>
        <v>0</v>
      </c>
      <c r="R23" s="646"/>
    </row>
    <row r="24" spans="1:18" ht="14.25" customHeight="1" hidden="1">
      <c r="A24" s="10"/>
      <c r="B24" s="10"/>
      <c r="C24" s="242"/>
      <c r="D24" s="14" t="s">
        <v>378</v>
      </c>
      <c r="E24" s="302">
        <v>2</v>
      </c>
      <c r="F24" s="10">
        <v>121105</v>
      </c>
      <c r="G24" s="99"/>
      <c r="H24" s="99"/>
      <c r="I24" s="99"/>
      <c r="J24" s="99"/>
      <c r="K24" s="99"/>
      <c r="L24" s="152"/>
      <c r="M24" s="152"/>
      <c r="N24" s="152"/>
      <c r="O24" s="152"/>
      <c r="P24" s="152"/>
      <c r="Q24" s="14">
        <f>SUM(G24:P24)</f>
        <v>0</v>
      </c>
      <c r="R24" s="646"/>
    </row>
    <row r="25" spans="1:18" ht="14.25" customHeight="1" hidden="1">
      <c r="A25" s="10"/>
      <c r="B25" s="10"/>
      <c r="C25" s="242"/>
      <c r="D25" s="14" t="s">
        <v>1034</v>
      </c>
      <c r="E25" s="302">
        <v>2</v>
      </c>
      <c r="F25" s="632">
        <v>121130</v>
      </c>
      <c r="G25" s="99"/>
      <c r="H25" s="99"/>
      <c r="I25" s="99"/>
      <c r="J25" s="99"/>
      <c r="K25" s="99"/>
      <c r="L25" s="152"/>
      <c r="M25" s="152"/>
      <c r="N25" s="152"/>
      <c r="O25" s="152"/>
      <c r="P25" s="152"/>
      <c r="Q25" s="14">
        <f>SUM(G25:P25)</f>
        <v>0</v>
      </c>
      <c r="R25" s="646"/>
    </row>
    <row r="26" spans="1:18" ht="14.25" customHeight="1">
      <c r="A26" s="10"/>
      <c r="B26" s="10"/>
      <c r="C26" s="242"/>
      <c r="D26" s="14" t="s">
        <v>1263</v>
      </c>
      <c r="E26" s="302">
        <v>0</v>
      </c>
      <c r="F26" s="632"/>
      <c r="G26" s="99"/>
      <c r="H26" s="99"/>
      <c r="I26" s="99"/>
      <c r="J26" s="99"/>
      <c r="K26" s="99"/>
      <c r="L26" s="152"/>
      <c r="M26" s="152"/>
      <c r="N26" s="152"/>
      <c r="O26" s="152"/>
      <c r="P26" s="152"/>
      <c r="Q26" s="14"/>
      <c r="R26" s="646"/>
    </row>
    <row r="27" spans="1:18" ht="14.25" customHeight="1" hidden="1">
      <c r="A27" s="10"/>
      <c r="B27" s="10"/>
      <c r="C27" s="242"/>
      <c r="D27" s="14" t="s">
        <v>997</v>
      </c>
      <c r="E27" s="302">
        <v>1</v>
      </c>
      <c r="F27" s="10">
        <v>121204</v>
      </c>
      <c r="G27" s="99"/>
      <c r="H27" s="99"/>
      <c r="I27" s="99"/>
      <c r="J27" s="99"/>
      <c r="K27" s="99"/>
      <c r="L27" s="152"/>
      <c r="M27" s="152"/>
      <c r="N27" s="152"/>
      <c r="O27" s="152"/>
      <c r="P27" s="152"/>
      <c r="Q27" s="14">
        <f>SUM(G27:P27)</f>
        <v>0</v>
      </c>
      <c r="R27" s="646"/>
    </row>
    <row r="28" spans="1:18" ht="14.25" customHeight="1">
      <c r="A28" s="10"/>
      <c r="B28" s="10"/>
      <c r="C28" s="242"/>
      <c r="D28" s="101" t="s">
        <v>186</v>
      </c>
      <c r="E28" s="302">
        <v>1</v>
      </c>
      <c r="F28" s="10">
        <v>121203</v>
      </c>
      <c r="G28" s="99"/>
      <c r="H28" s="99"/>
      <c r="I28" s="99">
        <v>83</v>
      </c>
      <c r="J28" s="99">
        <v>-83</v>
      </c>
      <c r="K28" s="99"/>
      <c r="L28" s="152"/>
      <c r="M28" s="152"/>
      <c r="N28" s="152"/>
      <c r="O28" s="152"/>
      <c r="P28" s="152"/>
      <c r="Q28" s="14">
        <f>SUM(G28:P28)</f>
        <v>0</v>
      </c>
      <c r="R28" s="646" t="s">
        <v>1178</v>
      </c>
    </row>
    <row r="29" spans="1:18" ht="14.25" customHeight="1" hidden="1">
      <c r="A29" s="10"/>
      <c r="B29" s="10"/>
      <c r="C29" s="242"/>
      <c r="D29" s="16" t="s">
        <v>109</v>
      </c>
      <c r="E29" s="302"/>
      <c r="F29" s="100"/>
      <c r="G29" s="15"/>
      <c r="H29" s="15"/>
      <c r="I29" s="11"/>
      <c r="J29" s="11"/>
      <c r="K29" s="99"/>
      <c r="L29" s="154"/>
      <c r="M29" s="154"/>
      <c r="N29" s="154"/>
      <c r="O29" s="154"/>
      <c r="P29" s="153"/>
      <c r="Q29" s="14"/>
      <c r="R29" s="646"/>
    </row>
    <row r="30" spans="1:18" ht="14.25" customHeight="1" hidden="1">
      <c r="A30" s="10"/>
      <c r="B30" s="10"/>
      <c r="C30" s="242"/>
      <c r="D30" s="14" t="s">
        <v>157</v>
      </c>
      <c r="E30" s="302">
        <v>2</v>
      </c>
      <c r="F30" s="10">
        <v>121504</v>
      </c>
      <c r="G30" s="99"/>
      <c r="H30" s="99"/>
      <c r="I30" s="99"/>
      <c r="J30" s="11"/>
      <c r="K30" s="99"/>
      <c r="L30" s="154"/>
      <c r="M30" s="154"/>
      <c r="N30" s="154"/>
      <c r="O30" s="154"/>
      <c r="P30" s="153"/>
      <c r="Q30" s="14">
        <f>SUM(G30:P30)</f>
        <v>0</v>
      </c>
      <c r="R30" s="646"/>
    </row>
    <row r="31" spans="1:18" ht="14.25" customHeight="1" hidden="1">
      <c r="A31" s="10"/>
      <c r="B31" s="10"/>
      <c r="C31" s="242"/>
      <c r="D31" s="14" t="s">
        <v>55</v>
      </c>
      <c r="E31" s="302"/>
      <c r="F31" s="10"/>
      <c r="G31" s="11"/>
      <c r="H31" s="11"/>
      <c r="I31" s="11"/>
      <c r="J31" s="154"/>
      <c r="K31" s="99"/>
      <c r="L31" s="154"/>
      <c r="M31" s="154"/>
      <c r="N31" s="154"/>
      <c r="O31" s="154"/>
      <c r="P31" s="153"/>
      <c r="Q31" s="14"/>
      <c r="R31" s="646"/>
    </row>
    <row r="32" spans="1:18" ht="12" customHeight="1" hidden="1">
      <c r="A32" s="100"/>
      <c r="B32" s="103"/>
      <c r="C32" s="243"/>
      <c r="D32" s="15" t="s">
        <v>160</v>
      </c>
      <c r="E32" s="302">
        <v>1</v>
      </c>
      <c r="F32" s="100">
        <v>121403</v>
      </c>
      <c r="G32" s="15"/>
      <c r="H32" s="15"/>
      <c r="I32" s="15"/>
      <c r="J32" s="155"/>
      <c r="K32" s="15"/>
      <c r="L32" s="155"/>
      <c r="M32" s="155"/>
      <c r="N32" s="155"/>
      <c r="O32" s="155"/>
      <c r="P32" s="155"/>
      <c r="Q32" s="14">
        <f>SUM(G32:P32)</f>
        <v>0</v>
      </c>
      <c r="R32" s="646"/>
    </row>
    <row r="33" spans="1:18" ht="12" customHeight="1" hidden="1">
      <c r="A33" s="100"/>
      <c r="B33" s="103"/>
      <c r="C33" s="243"/>
      <c r="D33" s="15" t="s">
        <v>56</v>
      </c>
      <c r="E33" s="15"/>
      <c r="F33" s="100"/>
      <c r="G33" s="15"/>
      <c r="H33" s="15"/>
      <c r="I33" s="15"/>
      <c r="J33" s="155"/>
      <c r="K33" s="15"/>
      <c r="L33" s="155"/>
      <c r="M33" s="155"/>
      <c r="N33" s="155"/>
      <c r="O33" s="155"/>
      <c r="P33" s="155"/>
      <c r="Q33" s="14"/>
      <c r="R33" s="646"/>
    </row>
    <row r="34" spans="1:18" ht="12" customHeight="1" hidden="1">
      <c r="A34" s="100"/>
      <c r="B34" s="100"/>
      <c r="C34" s="244"/>
      <c r="D34" s="16" t="s">
        <v>161</v>
      </c>
      <c r="E34" s="15">
        <v>1</v>
      </c>
      <c r="F34" s="100">
        <v>121301</v>
      </c>
      <c r="G34" s="15"/>
      <c r="H34" s="15"/>
      <c r="I34" s="15"/>
      <c r="J34" s="15"/>
      <c r="K34" s="15"/>
      <c r="L34" s="15"/>
      <c r="M34" s="155"/>
      <c r="N34" s="155"/>
      <c r="O34" s="155"/>
      <c r="P34" s="155"/>
      <c r="Q34" s="14">
        <f>SUM(G34:P34)</f>
        <v>0</v>
      </c>
      <c r="R34" s="646"/>
    </row>
    <row r="35" spans="1:18" ht="12" customHeight="1">
      <c r="A35" s="100"/>
      <c r="B35" s="100"/>
      <c r="C35" s="244"/>
      <c r="D35" s="235" t="s">
        <v>57</v>
      </c>
      <c r="E35" s="302"/>
      <c r="F35" s="100"/>
      <c r="G35" s="15"/>
      <c r="H35" s="15"/>
      <c r="I35" s="15"/>
      <c r="J35" s="155"/>
      <c r="K35" s="15"/>
      <c r="L35" s="155"/>
      <c r="M35" s="155"/>
      <c r="N35" s="155"/>
      <c r="O35" s="155"/>
      <c r="P35" s="15"/>
      <c r="Q35" s="14"/>
      <c r="R35" s="646"/>
    </row>
    <row r="36" spans="1:18" ht="12" customHeight="1">
      <c r="A36" s="100"/>
      <c r="B36" s="100"/>
      <c r="C36" s="244"/>
      <c r="D36" s="124" t="s">
        <v>1302</v>
      </c>
      <c r="E36" s="302">
        <v>2</v>
      </c>
      <c r="F36" s="100">
        <v>221902</v>
      </c>
      <c r="G36" s="15"/>
      <c r="H36" s="15"/>
      <c r="I36" s="15">
        <v>1724</v>
      </c>
      <c r="J36" s="155"/>
      <c r="K36" s="15"/>
      <c r="L36" s="155"/>
      <c r="M36" s="155"/>
      <c r="N36" s="155"/>
      <c r="O36" s="155"/>
      <c r="P36" s="15"/>
      <c r="Q36" s="14">
        <f>SUM(G36:P36)</f>
        <v>1724</v>
      </c>
      <c r="R36" s="646" t="s">
        <v>1178</v>
      </c>
    </row>
    <row r="37" spans="1:18" ht="12" customHeight="1">
      <c r="A37" s="100"/>
      <c r="B37" s="100"/>
      <c r="C37" s="244"/>
      <c r="D37" s="129" t="s">
        <v>1303</v>
      </c>
      <c r="E37" s="302">
        <v>2</v>
      </c>
      <c r="F37" s="100" t="s">
        <v>707</v>
      </c>
      <c r="G37" s="100"/>
      <c r="H37" s="15">
        <v>185</v>
      </c>
      <c r="I37" s="15">
        <v>-300</v>
      </c>
      <c r="J37" s="15">
        <v>115</v>
      </c>
      <c r="K37" s="15"/>
      <c r="L37" s="155"/>
      <c r="M37" s="155"/>
      <c r="N37" s="155"/>
      <c r="O37" s="155"/>
      <c r="P37" s="15"/>
      <c r="Q37" s="14">
        <f>SUM(G37:P37)</f>
        <v>0</v>
      </c>
      <c r="R37" s="646" t="s">
        <v>1178</v>
      </c>
    </row>
    <row r="38" spans="1:18" ht="13.5" customHeight="1" hidden="1">
      <c r="A38" s="100"/>
      <c r="B38" s="100"/>
      <c r="C38" s="244"/>
      <c r="D38" s="241" t="s">
        <v>775</v>
      </c>
      <c r="E38" s="302"/>
      <c r="F38" s="100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4"/>
      <c r="R38" s="646"/>
    </row>
    <row r="39" spans="1:18" ht="13.5" customHeight="1" hidden="1">
      <c r="A39" s="100"/>
      <c r="B39" s="100"/>
      <c r="C39" s="244"/>
      <c r="D39" s="17" t="s">
        <v>436</v>
      </c>
      <c r="E39" s="302">
        <v>1</v>
      </c>
      <c r="F39" s="100">
        <v>121601</v>
      </c>
      <c r="G39" s="18"/>
      <c r="H39" s="18"/>
      <c r="I39" s="15"/>
      <c r="J39" s="15"/>
      <c r="K39" s="15"/>
      <c r="L39" s="15"/>
      <c r="M39" s="18"/>
      <c r="N39" s="18"/>
      <c r="O39" s="18"/>
      <c r="P39" s="18"/>
      <c r="Q39" s="17">
        <f>SUM(G39:P39)</f>
        <v>0</v>
      </c>
      <c r="R39" s="646"/>
    </row>
    <row r="40" spans="1:18" ht="13.5" customHeight="1" hidden="1">
      <c r="A40" s="100"/>
      <c r="B40" s="100"/>
      <c r="C40" s="244"/>
      <c r="D40" s="224" t="s">
        <v>114</v>
      </c>
      <c r="E40" s="158"/>
      <c r="F40" s="545"/>
      <c r="G40" s="18"/>
      <c r="H40" s="18"/>
      <c r="I40" s="15"/>
      <c r="J40" s="15"/>
      <c r="K40" s="15"/>
      <c r="L40" s="15"/>
      <c r="M40" s="18"/>
      <c r="N40" s="18"/>
      <c r="O40" s="18"/>
      <c r="P40" s="18"/>
      <c r="Q40" s="17"/>
      <c r="R40" s="646"/>
    </row>
    <row r="41" spans="1:18" ht="13.5" customHeight="1" hidden="1">
      <c r="A41" s="100"/>
      <c r="B41" s="100"/>
      <c r="C41" s="244"/>
      <c r="D41" s="16" t="s">
        <v>25</v>
      </c>
      <c r="E41" s="180">
        <v>2</v>
      </c>
      <c r="F41" s="172">
        <v>121517</v>
      </c>
      <c r="G41" s="15"/>
      <c r="H41" s="15"/>
      <c r="I41" s="15"/>
      <c r="J41" s="155"/>
      <c r="K41" s="15"/>
      <c r="L41" s="155"/>
      <c r="M41" s="155"/>
      <c r="N41" s="155"/>
      <c r="O41" s="155"/>
      <c r="P41" s="15"/>
      <c r="Q41" s="14">
        <f>SUM(G41:P41)</f>
        <v>0</v>
      </c>
      <c r="R41" s="646"/>
    </row>
    <row r="42" spans="1:18" ht="13.5">
      <c r="A42" s="104"/>
      <c r="B42" s="104"/>
      <c r="C42" s="245"/>
      <c r="D42" s="106" t="s">
        <v>1490</v>
      </c>
      <c r="E42" s="107"/>
      <c r="F42" s="532"/>
      <c r="G42" s="108">
        <f aca="true" t="shared" si="1" ref="G42:Q42">SUM(G5:G41)</f>
        <v>0</v>
      </c>
      <c r="H42" s="108">
        <f t="shared" si="1"/>
        <v>185</v>
      </c>
      <c r="I42" s="108">
        <f t="shared" si="1"/>
        <v>1507</v>
      </c>
      <c r="J42" s="108">
        <f t="shared" si="1"/>
        <v>1361</v>
      </c>
      <c r="K42" s="108">
        <f t="shared" si="1"/>
        <v>-925</v>
      </c>
      <c r="L42" s="108">
        <f t="shared" si="1"/>
        <v>0</v>
      </c>
      <c r="M42" s="108">
        <f t="shared" si="1"/>
        <v>0</v>
      </c>
      <c r="N42" s="108">
        <f t="shared" si="1"/>
        <v>0</v>
      </c>
      <c r="O42" s="108">
        <f t="shared" si="1"/>
        <v>0</v>
      </c>
      <c r="P42" s="108">
        <f t="shared" si="1"/>
        <v>0</v>
      </c>
      <c r="Q42" s="177">
        <f t="shared" si="1"/>
        <v>2128</v>
      </c>
      <c r="R42" s="646"/>
    </row>
    <row r="43" spans="1:18" ht="12">
      <c r="A43" s="100"/>
      <c r="B43" s="100"/>
      <c r="C43" s="244"/>
      <c r="D43" s="16" t="s">
        <v>231</v>
      </c>
      <c r="E43" s="102"/>
      <c r="F43" s="328"/>
      <c r="G43" s="15"/>
      <c r="H43" s="15"/>
      <c r="I43" s="15"/>
      <c r="J43" s="15"/>
      <c r="K43" s="15"/>
      <c r="L43" s="15"/>
      <c r="M43" s="15"/>
      <c r="N43" s="105"/>
      <c r="O43" s="105"/>
      <c r="P43" s="105"/>
      <c r="Q43" s="16">
        <f aca="true" t="shared" si="2" ref="Q43:Q48">SUM(G43:P43)</f>
        <v>0</v>
      </c>
      <c r="R43" s="646"/>
    </row>
    <row r="44" spans="1:18" ht="28.5" customHeight="1" hidden="1">
      <c r="A44" s="100"/>
      <c r="B44" s="100"/>
      <c r="C44" s="244" t="s">
        <v>1328</v>
      </c>
      <c r="D44" s="253" t="s">
        <v>1048</v>
      </c>
      <c r="E44" s="15"/>
      <c r="F44" s="100">
        <v>121401</v>
      </c>
      <c r="G44" s="15"/>
      <c r="H44" s="15"/>
      <c r="I44" s="15"/>
      <c r="J44" s="15"/>
      <c r="K44" s="15"/>
      <c r="L44" s="15"/>
      <c r="M44" s="15"/>
      <c r="N44" s="15"/>
      <c r="O44" s="105"/>
      <c r="P44" s="105"/>
      <c r="Q44" s="16">
        <f t="shared" si="2"/>
        <v>0</v>
      </c>
      <c r="R44" s="646"/>
    </row>
    <row r="45" spans="1:18" ht="15.75" customHeight="1" hidden="1">
      <c r="A45" s="100"/>
      <c r="B45" s="100"/>
      <c r="C45" s="244" t="s">
        <v>1341</v>
      </c>
      <c r="D45" s="656" t="s">
        <v>305</v>
      </c>
      <c r="E45" s="15"/>
      <c r="F45" s="100">
        <v>121405</v>
      </c>
      <c r="G45" s="15"/>
      <c r="H45" s="15"/>
      <c r="I45" s="15"/>
      <c r="J45" s="15"/>
      <c r="K45" s="15"/>
      <c r="L45" s="15"/>
      <c r="M45" s="15"/>
      <c r="N45" s="15"/>
      <c r="O45" s="105"/>
      <c r="P45" s="105"/>
      <c r="Q45" s="16">
        <f t="shared" si="2"/>
        <v>0</v>
      </c>
      <c r="R45" s="646"/>
    </row>
    <row r="46" spans="1:18" ht="12" hidden="1">
      <c r="A46" s="100"/>
      <c r="B46" s="100"/>
      <c r="C46" s="244"/>
      <c r="D46" s="16" t="s">
        <v>350</v>
      </c>
      <c r="E46" s="15"/>
      <c r="F46" s="100"/>
      <c r="G46" s="15"/>
      <c r="H46" s="15"/>
      <c r="I46" s="15"/>
      <c r="J46" s="15"/>
      <c r="K46" s="15"/>
      <c r="L46" s="15"/>
      <c r="M46" s="15"/>
      <c r="N46" s="15"/>
      <c r="O46" s="105"/>
      <c r="P46" s="105"/>
      <c r="Q46" s="16">
        <f t="shared" si="2"/>
        <v>0</v>
      </c>
      <c r="R46" s="646"/>
    </row>
    <row r="47" spans="1:18" ht="24" hidden="1">
      <c r="A47" s="100"/>
      <c r="B47" s="100"/>
      <c r="C47" s="244" t="s">
        <v>1060</v>
      </c>
      <c r="D47" s="210" t="s">
        <v>1125</v>
      </c>
      <c r="E47" s="15"/>
      <c r="F47" s="100">
        <v>121402</v>
      </c>
      <c r="G47" s="15"/>
      <c r="H47" s="15"/>
      <c r="I47" s="15"/>
      <c r="J47" s="15"/>
      <c r="K47" s="15"/>
      <c r="L47" s="15"/>
      <c r="M47" s="15"/>
      <c r="N47" s="15"/>
      <c r="O47" s="105"/>
      <c r="P47" s="105"/>
      <c r="Q47" s="16">
        <f t="shared" si="2"/>
        <v>0</v>
      </c>
      <c r="R47" s="646"/>
    </row>
    <row r="48" spans="1:18" ht="25.5" hidden="1">
      <c r="A48" s="100"/>
      <c r="B48" s="100"/>
      <c r="C48" s="244" t="s">
        <v>1061</v>
      </c>
      <c r="D48" s="575" t="s">
        <v>1127</v>
      </c>
      <c r="E48" s="15"/>
      <c r="F48" s="100">
        <v>121404</v>
      </c>
      <c r="G48" s="15"/>
      <c r="H48" s="15"/>
      <c r="I48" s="15"/>
      <c r="J48" s="15"/>
      <c r="K48" s="15"/>
      <c r="L48" s="15"/>
      <c r="M48" s="15"/>
      <c r="N48" s="15"/>
      <c r="O48" s="105"/>
      <c r="P48" s="105"/>
      <c r="Q48" s="16">
        <f t="shared" si="2"/>
        <v>0</v>
      </c>
      <c r="R48" s="646"/>
    </row>
    <row r="49" spans="1:18" ht="13.5">
      <c r="A49" s="104"/>
      <c r="B49" s="104"/>
      <c r="C49" s="245"/>
      <c r="D49" s="106" t="s">
        <v>1489</v>
      </c>
      <c r="E49" s="107"/>
      <c r="F49" s="532"/>
      <c r="G49" s="108">
        <f aca="true" t="shared" si="3" ref="G49:N49">SUM(G42:G48)</f>
        <v>0</v>
      </c>
      <c r="H49" s="108">
        <f t="shared" si="3"/>
        <v>185</v>
      </c>
      <c r="I49" s="108">
        <f t="shared" si="3"/>
        <v>1507</v>
      </c>
      <c r="J49" s="108">
        <f t="shared" si="3"/>
        <v>1361</v>
      </c>
      <c r="K49" s="108">
        <f t="shared" si="3"/>
        <v>-925</v>
      </c>
      <c r="L49" s="108">
        <f t="shared" si="3"/>
        <v>0</v>
      </c>
      <c r="M49" s="108">
        <f t="shared" si="3"/>
        <v>0</v>
      </c>
      <c r="N49" s="108">
        <f t="shared" si="3"/>
        <v>0</v>
      </c>
      <c r="O49" s="108"/>
      <c r="P49" s="108">
        <f>SUM(P42:P48)</f>
        <v>0</v>
      </c>
      <c r="Q49" s="177">
        <f>SUM(Q42:Q48)</f>
        <v>2128</v>
      </c>
      <c r="R49" s="646"/>
    </row>
    <row r="50" spans="1:18" ht="12">
      <c r="A50" s="100">
        <v>1</v>
      </c>
      <c r="B50" s="100">
        <v>13</v>
      </c>
      <c r="C50" s="100"/>
      <c r="D50" s="290" t="s">
        <v>1486</v>
      </c>
      <c r="E50" s="105" t="s">
        <v>999</v>
      </c>
      <c r="F50" s="112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228"/>
      <c r="R50" s="646"/>
    </row>
    <row r="51" spans="1:18" ht="12">
      <c r="A51" s="100"/>
      <c r="B51" s="100"/>
      <c r="C51" s="244"/>
      <c r="D51" s="182" t="s">
        <v>1114</v>
      </c>
      <c r="E51" s="105"/>
      <c r="F51" s="112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228"/>
      <c r="R51" s="646"/>
    </row>
    <row r="52" spans="1:18" ht="12">
      <c r="A52" s="100"/>
      <c r="B52" s="100"/>
      <c r="C52" s="244"/>
      <c r="D52" s="101" t="s">
        <v>110</v>
      </c>
      <c r="E52" s="302"/>
      <c r="F52" s="52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6"/>
      <c r="R52" s="646"/>
    </row>
    <row r="53" spans="1:18" ht="15" customHeight="1" hidden="1">
      <c r="A53" s="100"/>
      <c r="B53" s="100"/>
      <c r="C53" s="244"/>
      <c r="D53" s="16" t="s">
        <v>1280</v>
      </c>
      <c r="E53" s="15">
        <v>2</v>
      </c>
      <c r="F53" s="100">
        <v>131112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6">
        <f>SUM(G53:P53)</f>
        <v>0</v>
      </c>
      <c r="R53" s="646"/>
    </row>
    <row r="54" spans="1:18" ht="21.75" customHeight="1" hidden="1">
      <c r="A54" s="100"/>
      <c r="B54" s="100"/>
      <c r="C54" s="244"/>
      <c r="D54" s="193" t="s">
        <v>2</v>
      </c>
      <c r="E54" s="15">
        <v>2</v>
      </c>
      <c r="F54" s="100">
        <v>131123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6">
        <f>SUM(G54:P54)</f>
        <v>0</v>
      </c>
      <c r="R54" s="646"/>
    </row>
    <row r="55" spans="1:18" ht="15" customHeight="1" hidden="1">
      <c r="A55" s="100"/>
      <c r="B55" s="100"/>
      <c r="C55" s="244"/>
      <c r="D55" s="193" t="s">
        <v>1009</v>
      </c>
      <c r="E55" s="15">
        <v>2</v>
      </c>
      <c r="F55" s="100">
        <v>131122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6">
        <f>SUM(G55:P55)</f>
        <v>0</v>
      </c>
      <c r="R55" s="646"/>
    </row>
    <row r="56" spans="1:18" ht="15" customHeight="1" hidden="1">
      <c r="A56" s="100"/>
      <c r="B56" s="100"/>
      <c r="C56" s="244"/>
      <c r="D56" s="193" t="s">
        <v>776</v>
      </c>
      <c r="E56" s="15"/>
      <c r="F56" s="100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6"/>
      <c r="R56" s="646"/>
    </row>
    <row r="57" spans="1:18" ht="24.75" customHeight="1" hidden="1">
      <c r="A57" s="100"/>
      <c r="B57" s="100"/>
      <c r="C57" s="244"/>
      <c r="D57" s="193" t="s">
        <v>129</v>
      </c>
      <c r="E57" s="15">
        <v>2</v>
      </c>
      <c r="F57" s="100">
        <v>131110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6">
        <f>SUM(G57:P57)</f>
        <v>0</v>
      </c>
      <c r="R57" s="646"/>
    </row>
    <row r="58" spans="1:18" ht="12" customHeight="1" hidden="1">
      <c r="A58" s="100"/>
      <c r="B58" s="100"/>
      <c r="C58" s="244"/>
      <c r="D58" s="193" t="s">
        <v>110</v>
      </c>
      <c r="E58" s="15"/>
      <c r="F58" s="100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6"/>
      <c r="R58" s="646"/>
    </row>
    <row r="59" spans="1:18" ht="14.25" customHeight="1" hidden="1">
      <c r="A59" s="100"/>
      <c r="B59" s="100"/>
      <c r="C59" s="244"/>
      <c r="D59" s="17" t="s">
        <v>264</v>
      </c>
      <c r="E59" s="15">
        <v>2</v>
      </c>
      <c r="F59" s="100">
        <v>131107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7">
        <f>SUM(G59:P59)</f>
        <v>0</v>
      </c>
      <c r="R59" s="646"/>
    </row>
    <row r="60" spans="1:18" ht="14.25" customHeight="1" hidden="1">
      <c r="A60" s="100"/>
      <c r="B60" s="100"/>
      <c r="C60" s="244"/>
      <c r="D60" s="17" t="s">
        <v>109</v>
      </c>
      <c r="E60" s="15"/>
      <c r="F60" s="100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7"/>
      <c r="R60" s="646"/>
    </row>
    <row r="61" spans="1:18" ht="13.5" customHeight="1" hidden="1">
      <c r="A61" s="100"/>
      <c r="B61" s="100"/>
      <c r="C61" s="244"/>
      <c r="D61" s="233" t="s">
        <v>379</v>
      </c>
      <c r="E61" s="15">
        <v>2</v>
      </c>
      <c r="F61" s="100">
        <v>131115</v>
      </c>
      <c r="G61" s="18"/>
      <c r="H61" s="18"/>
      <c r="I61" s="18"/>
      <c r="J61" s="15"/>
      <c r="K61" s="15"/>
      <c r="L61" s="18"/>
      <c r="M61" s="18"/>
      <c r="N61" s="18"/>
      <c r="O61" s="18"/>
      <c r="P61" s="18"/>
      <c r="Q61" s="17">
        <f aca="true" t="shared" si="4" ref="Q61:Q67">SUM(G61:P61)</f>
        <v>0</v>
      </c>
      <c r="R61" s="646"/>
    </row>
    <row r="62" spans="1:18" ht="13.5" customHeight="1" hidden="1">
      <c r="A62" s="100"/>
      <c r="B62" s="100"/>
      <c r="C62" s="244"/>
      <c r="D62" s="193" t="s">
        <v>110</v>
      </c>
      <c r="E62" s="48"/>
      <c r="F62" s="100"/>
      <c r="G62" s="18"/>
      <c r="H62" s="18"/>
      <c r="I62" s="18"/>
      <c r="J62" s="15"/>
      <c r="K62" s="15"/>
      <c r="L62" s="18"/>
      <c r="M62" s="18"/>
      <c r="N62" s="18"/>
      <c r="O62" s="18"/>
      <c r="P62" s="18"/>
      <c r="Q62" s="17"/>
      <c r="R62" s="646"/>
    </row>
    <row r="63" spans="1:18" ht="13.5" customHeight="1" hidden="1">
      <c r="A63" s="100"/>
      <c r="B63" s="100"/>
      <c r="C63" s="244"/>
      <c r="D63" s="318" t="s">
        <v>380</v>
      </c>
      <c r="E63" s="319">
        <v>2</v>
      </c>
      <c r="F63" s="100">
        <v>131108</v>
      </c>
      <c r="G63" s="18"/>
      <c r="H63" s="18"/>
      <c r="I63" s="18"/>
      <c r="J63" s="15"/>
      <c r="K63" s="15"/>
      <c r="L63" s="18"/>
      <c r="M63" s="18"/>
      <c r="N63" s="18"/>
      <c r="O63" s="18"/>
      <c r="P63" s="18"/>
      <c r="Q63" s="17">
        <f t="shared" si="4"/>
        <v>0</v>
      </c>
      <c r="R63" s="646"/>
    </row>
    <row r="64" spans="1:18" ht="13.5" customHeight="1" hidden="1">
      <c r="A64" s="100"/>
      <c r="B64" s="100"/>
      <c r="C64" s="244"/>
      <c r="D64" s="318" t="s">
        <v>381</v>
      </c>
      <c r="E64" s="319">
        <v>2</v>
      </c>
      <c r="F64" s="100">
        <v>131109</v>
      </c>
      <c r="G64" s="18"/>
      <c r="H64" s="18"/>
      <c r="I64" s="18"/>
      <c r="J64" s="15"/>
      <c r="K64" s="15"/>
      <c r="L64" s="18"/>
      <c r="M64" s="18"/>
      <c r="N64" s="18"/>
      <c r="O64" s="18"/>
      <c r="P64" s="18"/>
      <c r="Q64" s="17">
        <f t="shared" si="4"/>
        <v>0</v>
      </c>
      <c r="R64" s="646"/>
    </row>
    <row r="65" spans="1:18" ht="24.75" customHeight="1" hidden="1">
      <c r="A65" s="100"/>
      <c r="B65" s="100"/>
      <c r="C65" s="244"/>
      <c r="D65" s="318" t="s">
        <v>382</v>
      </c>
      <c r="E65" s="319">
        <v>1</v>
      </c>
      <c r="F65" s="100">
        <v>131111</v>
      </c>
      <c r="G65" s="18"/>
      <c r="H65" s="18"/>
      <c r="I65" s="18"/>
      <c r="J65" s="15"/>
      <c r="K65" s="15"/>
      <c r="L65" s="18"/>
      <c r="M65" s="18"/>
      <c r="N65" s="18"/>
      <c r="O65" s="18"/>
      <c r="P65" s="18"/>
      <c r="Q65" s="17">
        <f t="shared" si="4"/>
        <v>0</v>
      </c>
      <c r="R65" s="646"/>
    </row>
    <row r="66" spans="1:18" ht="13.5" customHeight="1" hidden="1">
      <c r="A66" s="100"/>
      <c r="B66" s="100"/>
      <c r="C66" s="244"/>
      <c r="D66" s="318" t="s">
        <v>1035</v>
      </c>
      <c r="E66" s="319">
        <v>2</v>
      </c>
      <c r="F66" s="100">
        <v>131113</v>
      </c>
      <c r="G66" s="18"/>
      <c r="H66" s="18"/>
      <c r="I66" s="18"/>
      <c r="J66" s="15"/>
      <c r="K66" s="15"/>
      <c r="L66" s="18"/>
      <c r="M66" s="18"/>
      <c r="N66" s="18"/>
      <c r="O66" s="18"/>
      <c r="P66" s="18"/>
      <c r="Q66" s="17">
        <f t="shared" si="4"/>
        <v>0</v>
      </c>
      <c r="R66" s="646"/>
    </row>
    <row r="67" spans="1:18" ht="13.5" customHeight="1" hidden="1">
      <c r="A67" s="100"/>
      <c r="B67" s="100"/>
      <c r="C67" s="244"/>
      <c r="D67" s="318" t="s">
        <v>384</v>
      </c>
      <c r="E67" s="319">
        <v>2</v>
      </c>
      <c r="F67" s="100">
        <v>131114</v>
      </c>
      <c r="G67" s="18"/>
      <c r="H67" s="18"/>
      <c r="I67" s="18"/>
      <c r="J67" s="15"/>
      <c r="K67" s="15"/>
      <c r="L67" s="18"/>
      <c r="M67" s="18"/>
      <c r="N67" s="18"/>
      <c r="O67" s="18"/>
      <c r="P67" s="18"/>
      <c r="Q67" s="17">
        <f t="shared" si="4"/>
        <v>0</v>
      </c>
      <c r="R67" s="646"/>
    </row>
    <row r="68" spans="1:18" ht="13.5" customHeight="1">
      <c r="A68" s="100"/>
      <c r="B68" s="100"/>
      <c r="C68" s="244"/>
      <c r="D68" s="234" t="s">
        <v>1115</v>
      </c>
      <c r="E68" s="454"/>
      <c r="F68" s="533"/>
      <c r="G68" s="18"/>
      <c r="H68" s="18"/>
      <c r="I68" s="18"/>
      <c r="J68" s="15"/>
      <c r="K68" s="15"/>
      <c r="L68" s="18"/>
      <c r="M68" s="18"/>
      <c r="N68" s="18"/>
      <c r="O68" s="18"/>
      <c r="P68" s="18"/>
      <c r="Q68" s="17"/>
      <c r="R68" s="646"/>
    </row>
    <row r="69" spans="1:18" ht="24.75" customHeight="1">
      <c r="A69" s="100"/>
      <c r="B69" s="100"/>
      <c r="C69" s="244"/>
      <c r="D69" s="193" t="s">
        <v>777</v>
      </c>
      <c r="E69" s="303"/>
      <c r="F69" s="534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6"/>
      <c r="R69" s="646"/>
    </row>
    <row r="70" spans="1:18" ht="15" customHeight="1" hidden="1">
      <c r="A70" s="100"/>
      <c r="B70" s="100"/>
      <c r="C70" s="244"/>
      <c r="D70" s="16" t="s">
        <v>808</v>
      </c>
      <c r="E70" s="15">
        <v>2</v>
      </c>
      <c r="F70" s="100">
        <v>131201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6">
        <f aca="true" t="shared" si="5" ref="Q70:Q75">SUM(G70:P70)</f>
        <v>0</v>
      </c>
      <c r="R70" s="646"/>
    </row>
    <row r="71" spans="1:18" ht="15" customHeight="1">
      <c r="A71" s="100"/>
      <c r="B71" s="100"/>
      <c r="C71" s="244"/>
      <c r="D71" s="16" t="s">
        <v>130</v>
      </c>
      <c r="E71" s="15">
        <v>2</v>
      </c>
      <c r="F71" s="100">
        <v>131202</v>
      </c>
      <c r="G71" s="15">
        <v>89</v>
      </c>
      <c r="H71" s="15"/>
      <c r="I71" s="15">
        <v>-89</v>
      </c>
      <c r="J71" s="15"/>
      <c r="K71" s="15"/>
      <c r="L71" s="15"/>
      <c r="M71" s="15"/>
      <c r="N71" s="15"/>
      <c r="O71" s="15"/>
      <c r="P71" s="15"/>
      <c r="Q71" s="16">
        <f t="shared" si="5"/>
        <v>0</v>
      </c>
      <c r="R71" s="646" t="s">
        <v>1178</v>
      </c>
    </row>
    <row r="72" spans="1:18" ht="15" customHeight="1" hidden="1">
      <c r="A72" s="100"/>
      <c r="B72" s="100"/>
      <c r="C72" s="244"/>
      <c r="D72" s="16" t="s">
        <v>1401</v>
      </c>
      <c r="E72" s="15">
        <v>2</v>
      </c>
      <c r="F72" s="100">
        <v>131205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6">
        <f t="shared" si="5"/>
        <v>0</v>
      </c>
      <c r="R72" s="646"/>
    </row>
    <row r="73" spans="1:18" ht="15" customHeight="1" hidden="1">
      <c r="A73" s="100"/>
      <c r="B73" s="100"/>
      <c r="C73" s="244"/>
      <c r="D73" s="16" t="s">
        <v>131</v>
      </c>
      <c r="E73" s="15">
        <v>2</v>
      </c>
      <c r="F73" s="100">
        <v>131206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6">
        <f t="shared" si="5"/>
        <v>0</v>
      </c>
      <c r="R73" s="646"/>
    </row>
    <row r="74" spans="1:18" ht="15" customHeight="1">
      <c r="A74" s="100"/>
      <c r="B74" s="100"/>
      <c r="C74" s="244"/>
      <c r="D74" s="101" t="s">
        <v>552</v>
      </c>
      <c r="E74" s="15">
        <v>2</v>
      </c>
      <c r="F74" s="100">
        <v>131209</v>
      </c>
      <c r="G74" s="15"/>
      <c r="H74" s="15">
        <v>61</v>
      </c>
      <c r="I74" s="15">
        <v>-61</v>
      </c>
      <c r="J74" s="15"/>
      <c r="K74" s="15"/>
      <c r="L74" s="15"/>
      <c r="M74" s="15"/>
      <c r="N74" s="15"/>
      <c r="O74" s="15"/>
      <c r="P74" s="15"/>
      <c r="Q74" s="16">
        <f t="shared" si="5"/>
        <v>0</v>
      </c>
      <c r="R74" s="646" t="s">
        <v>1178</v>
      </c>
    </row>
    <row r="75" spans="1:18" ht="27" customHeight="1" hidden="1">
      <c r="A75" s="100"/>
      <c r="B75" s="100"/>
      <c r="C75" s="244"/>
      <c r="D75" s="193" t="s">
        <v>1399</v>
      </c>
      <c r="E75" s="15">
        <v>2</v>
      </c>
      <c r="F75" s="100">
        <v>131210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6">
        <f t="shared" si="5"/>
        <v>0</v>
      </c>
      <c r="R75" s="646"/>
    </row>
    <row r="76" spans="1:18" ht="13.5" customHeight="1" hidden="1">
      <c r="A76" s="100"/>
      <c r="B76" s="100"/>
      <c r="C76" s="244"/>
      <c r="D76" s="16" t="s">
        <v>109</v>
      </c>
      <c r="E76" s="15"/>
      <c r="F76" s="100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6"/>
      <c r="R76" s="646"/>
    </row>
    <row r="77" spans="1:18" ht="13.5" customHeight="1" hidden="1">
      <c r="A77" s="100"/>
      <c r="B77" s="100"/>
      <c r="C77" s="244"/>
      <c r="D77" s="101" t="s">
        <v>451</v>
      </c>
      <c r="E77" s="15">
        <v>2</v>
      </c>
      <c r="F77" s="100">
        <v>131101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6">
        <f>SUM(G77:P77)</f>
        <v>0</v>
      </c>
      <c r="R77" s="646"/>
    </row>
    <row r="78" spans="1:18" ht="13.5" customHeight="1" hidden="1">
      <c r="A78" s="100"/>
      <c r="B78" s="100"/>
      <c r="C78" s="244"/>
      <c r="D78" s="101" t="s">
        <v>111</v>
      </c>
      <c r="E78" s="15"/>
      <c r="F78" s="100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6"/>
      <c r="R78" s="646"/>
    </row>
    <row r="79" spans="1:18" ht="13.5" customHeight="1" hidden="1">
      <c r="A79" s="100"/>
      <c r="B79" s="100"/>
      <c r="C79" s="244"/>
      <c r="D79" s="16" t="s">
        <v>553</v>
      </c>
      <c r="E79" s="15">
        <v>2</v>
      </c>
      <c r="F79" s="100">
        <v>131120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6">
        <f>SUM(G79:P79)</f>
        <v>0</v>
      </c>
      <c r="R79" s="646"/>
    </row>
    <row r="80" spans="1:18" ht="13.5" customHeight="1">
      <c r="A80" s="100"/>
      <c r="B80" s="100"/>
      <c r="C80" s="244"/>
      <c r="D80" s="16" t="s">
        <v>112</v>
      </c>
      <c r="E80" s="302"/>
      <c r="F80" s="522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6"/>
      <c r="R80" s="646"/>
    </row>
    <row r="81" spans="1:18" ht="13.5" customHeight="1" hidden="1">
      <c r="A81" s="100"/>
      <c r="B81" s="100"/>
      <c r="C81" s="244"/>
      <c r="D81" s="16" t="s">
        <v>790</v>
      </c>
      <c r="E81" s="15">
        <v>1</v>
      </c>
      <c r="F81" s="100">
        <v>131303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6">
        <f aca="true" t="shared" si="6" ref="Q81:Q104">SUM(G81:P81)</f>
        <v>0</v>
      </c>
      <c r="R81" s="646" t="s">
        <v>1178</v>
      </c>
    </row>
    <row r="82" spans="1:18" ht="13.5" customHeight="1" hidden="1">
      <c r="A82" s="100"/>
      <c r="B82" s="100"/>
      <c r="C82" s="244"/>
      <c r="D82" s="16" t="s">
        <v>1276</v>
      </c>
      <c r="E82" s="15">
        <v>2</v>
      </c>
      <c r="F82" s="100">
        <v>131302</v>
      </c>
      <c r="G82" s="15"/>
      <c r="H82" s="15"/>
      <c r="I82" s="15"/>
      <c r="J82" s="15"/>
      <c r="K82" s="227"/>
      <c r="L82" s="15"/>
      <c r="M82" s="15"/>
      <c r="N82" s="15"/>
      <c r="O82" s="15"/>
      <c r="P82" s="15"/>
      <c r="Q82" s="16">
        <f t="shared" si="6"/>
        <v>0</v>
      </c>
      <c r="R82" s="646"/>
    </row>
    <row r="83" spans="1:18" ht="13.5" customHeight="1" hidden="1">
      <c r="A83" s="100"/>
      <c r="B83" s="100"/>
      <c r="C83" s="244"/>
      <c r="D83" s="16" t="s">
        <v>1400</v>
      </c>
      <c r="E83" s="15">
        <v>2</v>
      </c>
      <c r="F83" s="100">
        <v>131305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6">
        <f t="shared" si="6"/>
        <v>0</v>
      </c>
      <c r="R83" s="646"/>
    </row>
    <row r="84" spans="1:18" ht="13.5" customHeight="1" hidden="1">
      <c r="A84" s="100"/>
      <c r="B84" s="100"/>
      <c r="C84" s="244"/>
      <c r="D84" s="224" t="s">
        <v>1064</v>
      </c>
      <c r="E84" s="15">
        <v>2</v>
      </c>
      <c r="F84" s="100">
        <v>131325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6">
        <f t="shared" si="6"/>
        <v>0</v>
      </c>
      <c r="R84" s="646"/>
    </row>
    <row r="85" spans="1:18" ht="24" customHeight="1" hidden="1">
      <c r="A85" s="100"/>
      <c r="B85" s="100"/>
      <c r="C85" s="244"/>
      <c r="D85" s="224" t="s">
        <v>560</v>
      </c>
      <c r="E85" s="15">
        <v>2</v>
      </c>
      <c r="F85" s="100">
        <v>131308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6">
        <f t="shared" si="6"/>
        <v>0</v>
      </c>
      <c r="R85" s="646"/>
    </row>
    <row r="86" spans="1:18" ht="13.5" customHeight="1" hidden="1">
      <c r="A86" s="100"/>
      <c r="B86" s="100"/>
      <c r="C86" s="244"/>
      <c r="D86" s="16" t="s">
        <v>1277</v>
      </c>
      <c r="E86" s="15">
        <v>2</v>
      </c>
      <c r="F86" s="100">
        <v>131306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6">
        <f t="shared" si="6"/>
        <v>0</v>
      </c>
      <c r="R86" s="646"/>
    </row>
    <row r="87" spans="1:18" ht="13.5" customHeight="1" hidden="1">
      <c r="A87" s="100"/>
      <c r="B87" s="100"/>
      <c r="C87" s="244"/>
      <c r="D87" s="224" t="s">
        <v>1015</v>
      </c>
      <c r="E87" s="15">
        <v>2</v>
      </c>
      <c r="F87" s="100">
        <v>131321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6">
        <f t="shared" si="6"/>
        <v>0</v>
      </c>
      <c r="R87" s="646" t="s">
        <v>1179</v>
      </c>
    </row>
    <row r="88" spans="1:18" ht="13.5" customHeight="1" hidden="1">
      <c r="A88" s="100"/>
      <c r="B88" s="100"/>
      <c r="C88" s="244"/>
      <c r="D88" s="193" t="s">
        <v>555</v>
      </c>
      <c r="E88" s="15">
        <v>2</v>
      </c>
      <c r="F88" s="100">
        <v>131501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6">
        <f t="shared" si="6"/>
        <v>0</v>
      </c>
      <c r="R88" s="646"/>
    </row>
    <row r="89" spans="1:18" ht="13.5" customHeight="1" hidden="1">
      <c r="A89" s="100"/>
      <c r="B89" s="100"/>
      <c r="C89" s="244"/>
      <c r="D89" s="193" t="s">
        <v>132</v>
      </c>
      <c r="E89" s="15">
        <v>2</v>
      </c>
      <c r="F89" s="100">
        <v>131307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6">
        <f t="shared" si="6"/>
        <v>0</v>
      </c>
      <c r="R89" s="646"/>
    </row>
    <row r="90" spans="1:18" ht="13.5" customHeight="1" hidden="1">
      <c r="A90" s="100"/>
      <c r="B90" s="100"/>
      <c r="C90" s="244"/>
      <c r="D90" s="224" t="s">
        <v>554</v>
      </c>
      <c r="E90" s="15">
        <v>1</v>
      </c>
      <c r="F90" s="100">
        <v>131322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6">
        <f t="shared" si="6"/>
        <v>0</v>
      </c>
      <c r="R90" s="646"/>
    </row>
    <row r="91" spans="1:18" ht="13.5" customHeight="1" hidden="1">
      <c r="A91" s="100"/>
      <c r="B91" s="100"/>
      <c r="C91" s="244"/>
      <c r="D91" s="224" t="s">
        <v>958</v>
      </c>
      <c r="E91" s="15">
        <v>2</v>
      </c>
      <c r="F91" s="100">
        <v>131323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6">
        <f t="shared" si="6"/>
        <v>0</v>
      </c>
      <c r="R91" s="646"/>
    </row>
    <row r="92" spans="1:18" ht="13.5" customHeight="1" hidden="1">
      <c r="A92" s="100"/>
      <c r="B92" s="100"/>
      <c r="C92" s="244"/>
      <c r="D92" s="193" t="s">
        <v>387</v>
      </c>
      <c r="E92" s="15">
        <v>2</v>
      </c>
      <c r="F92" s="100">
        <v>131319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6">
        <f t="shared" si="6"/>
        <v>0</v>
      </c>
      <c r="R92" s="646"/>
    </row>
    <row r="93" spans="1:18" ht="13.5" customHeight="1" hidden="1">
      <c r="A93" s="100"/>
      <c r="B93" s="100"/>
      <c r="C93" s="244"/>
      <c r="D93" s="193" t="s">
        <v>386</v>
      </c>
      <c r="E93" s="15">
        <v>2</v>
      </c>
      <c r="F93" s="100">
        <v>131328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6">
        <f t="shared" si="6"/>
        <v>0</v>
      </c>
      <c r="R93" s="646"/>
    </row>
    <row r="94" spans="1:18" ht="13.5" customHeight="1" hidden="1">
      <c r="A94" s="100"/>
      <c r="B94" s="100"/>
      <c r="C94" s="244"/>
      <c r="D94" s="309" t="s">
        <v>388</v>
      </c>
      <c r="E94" s="15">
        <v>2</v>
      </c>
      <c r="F94" s="100">
        <v>131340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6">
        <f t="shared" si="6"/>
        <v>0</v>
      </c>
      <c r="R94" s="646"/>
    </row>
    <row r="95" spans="1:18" ht="13.5" customHeight="1" hidden="1">
      <c r="A95" s="100"/>
      <c r="B95" s="100"/>
      <c r="C95" s="244"/>
      <c r="D95" s="309" t="s">
        <v>389</v>
      </c>
      <c r="E95" s="15">
        <v>2</v>
      </c>
      <c r="F95" s="100">
        <v>131341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6">
        <f t="shared" si="6"/>
        <v>0</v>
      </c>
      <c r="R95" s="646"/>
    </row>
    <row r="96" spans="1:18" ht="13.5" customHeight="1" hidden="1">
      <c r="A96" s="100"/>
      <c r="B96" s="100"/>
      <c r="C96" s="244"/>
      <c r="D96" s="309" t="s">
        <v>390</v>
      </c>
      <c r="E96" s="15">
        <v>2</v>
      </c>
      <c r="F96" s="100">
        <v>131342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6">
        <f t="shared" si="6"/>
        <v>0</v>
      </c>
      <c r="R96" s="646" t="s">
        <v>1178</v>
      </c>
    </row>
    <row r="97" spans="1:18" ht="13.5" customHeight="1" hidden="1">
      <c r="A97" s="100"/>
      <c r="B97" s="100"/>
      <c r="C97" s="244"/>
      <c r="D97" s="309" t="s">
        <v>1230</v>
      </c>
      <c r="E97" s="15">
        <v>2</v>
      </c>
      <c r="F97" s="100">
        <v>131343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6">
        <f t="shared" si="6"/>
        <v>0</v>
      </c>
      <c r="R97" s="646"/>
    </row>
    <row r="98" spans="1:18" ht="13.5" customHeight="1" hidden="1">
      <c r="A98" s="100"/>
      <c r="B98" s="100"/>
      <c r="C98" s="244"/>
      <c r="D98" s="309" t="s">
        <v>391</v>
      </c>
      <c r="E98" s="15">
        <v>2</v>
      </c>
      <c r="F98" s="100">
        <v>131344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6">
        <f t="shared" si="6"/>
        <v>0</v>
      </c>
      <c r="R98" s="646"/>
    </row>
    <row r="99" spans="1:18" ht="23.25" customHeight="1" hidden="1">
      <c r="A99" s="100"/>
      <c r="B99" s="100"/>
      <c r="C99" s="244"/>
      <c r="D99" s="309" t="s">
        <v>368</v>
      </c>
      <c r="E99" s="15">
        <v>2</v>
      </c>
      <c r="F99" s="100">
        <v>131345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6">
        <f t="shared" si="6"/>
        <v>0</v>
      </c>
      <c r="R99" s="646"/>
    </row>
    <row r="100" spans="1:18" ht="13.5" customHeight="1">
      <c r="A100" s="100"/>
      <c r="B100" s="100"/>
      <c r="C100" s="244"/>
      <c r="D100" s="309" t="s">
        <v>392</v>
      </c>
      <c r="E100" s="15">
        <v>2</v>
      </c>
      <c r="F100" s="100">
        <v>131146</v>
      </c>
      <c r="G100" s="15"/>
      <c r="H100" s="15">
        <v>-8</v>
      </c>
      <c r="I100" s="15">
        <v>8</v>
      </c>
      <c r="J100" s="15"/>
      <c r="K100" s="15"/>
      <c r="L100" s="15"/>
      <c r="M100" s="15"/>
      <c r="N100" s="15"/>
      <c r="O100" s="15"/>
      <c r="P100" s="15"/>
      <c r="Q100" s="16">
        <f t="shared" si="6"/>
        <v>0</v>
      </c>
      <c r="R100" s="646" t="s">
        <v>1178</v>
      </c>
    </row>
    <row r="101" spans="1:18" ht="13.5" customHeight="1" hidden="1">
      <c r="A101" s="100"/>
      <c r="B101" s="100"/>
      <c r="C101" s="244"/>
      <c r="D101" s="193" t="s">
        <v>1010</v>
      </c>
      <c r="E101" s="15">
        <v>2</v>
      </c>
      <c r="F101" s="100">
        <v>131335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6">
        <f t="shared" si="6"/>
        <v>0</v>
      </c>
      <c r="R101" s="646"/>
    </row>
    <row r="102" spans="1:18" ht="13.5" customHeight="1" hidden="1">
      <c r="A102" s="100"/>
      <c r="B102" s="100"/>
      <c r="C102" s="244"/>
      <c r="D102" s="193" t="s">
        <v>1011</v>
      </c>
      <c r="E102" s="15">
        <v>2</v>
      </c>
      <c r="F102" s="100">
        <v>131336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6">
        <f t="shared" si="6"/>
        <v>0</v>
      </c>
      <c r="R102" s="646"/>
    </row>
    <row r="103" spans="1:18" ht="13.5" customHeight="1" hidden="1">
      <c r="A103" s="100"/>
      <c r="B103" s="100"/>
      <c r="C103" s="244"/>
      <c r="D103" s="193" t="s">
        <v>467</v>
      </c>
      <c r="E103" s="15">
        <v>2</v>
      </c>
      <c r="F103" s="100">
        <v>131337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6">
        <f t="shared" si="6"/>
        <v>0</v>
      </c>
      <c r="R103" s="646"/>
    </row>
    <row r="104" spans="1:18" ht="13.5" customHeight="1" hidden="1">
      <c r="A104" s="100"/>
      <c r="B104" s="100"/>
      <c r="C104" s="244"/>
      <c r="D104" s="193" t="s">
        <v>1000</v>
      </c>
      <c r="E104" s="15">
        <v>2</v>
      </c>
      <c r="F104" s="100">
        <v>131338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6">
        <f t="shared" si="6"/>
        <v>0</v>
      </c>
      <c r="R104" s="646"/>
    </row>
    <row r="105" spans="1:18" ht="13.5" customHeight="1" hidden="1">
      <c r="A105" s="100"/>
      <c r="B105" s="100"/>
      <c r="C105" s="244"/>
      <c r="D105" s="16" t="s">
        <v>970</v>
      </c>
      <c r="E105" s="302"/>
      <c r="F105" s="522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6"/>
      <c r="R105" s="646"/>
    </row>
    <row r="106" spans="1:18" ht="24.75" customHeight="1" hidden="1">
      <c r="A106" s="100"/>
      <c r="B106" s="100"/>
      <c r="C106" s="244"/>
      <c r="D106" s="224" t="s">
        <v>1278</v>
      </c>
      <c r="E106" s="302">
        <v>2</v>
      </c>
      <c r="F106" s="113">
        <v>131401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6">
        <f aca="true" t="shared" si="7" ref="Q106:Q113">SUM(G106:P106)</f>
        <v>0</v>
      </c>
      <c r="R106" s="646"/>
    </row>
    <row r="107" spans="1:18" ht="13.5" customHeight="1" hidden="1">
      <c r="A107" s="100"/>
      <c r="B107" s="100"/>
      <c r="C107" s="246"/>
      <c r="D107" s="110" t="s">
        <v>1279</v>
      </c>
      <c r="E107" s="302">
        <v>2</v>
      </c>
      <c r="F107" s="113">
        <v>131402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6">
        <f t="shared" si="7"/>
        <v>0</v>
      </c>
      <c r="R107" s="646"/>
    </row>
    <row r="108" spans="1:18" ht="13.5" customHeight="1" hidden="1">
      <c r="A108" s="100"/>
      <c r="B108" s="100"/>
      <c r="C108" s="244"/>
      <c r="D108" s="16" t="s">
        <v>809</v>
      </c>
      <c r="E108" s="302">
        <v>2</v>
      </c>
      <c r="F108" s="113">
        <v>131403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6">
        <f t="shared" si="7"/>
        <v>0</v>
      </c>
      <c r="R108" s="646"/>
    </row>
    <row r="109" spans="1:18" ht="13.5" customHeight="1" hidden="1">
      <c r="A109" s="100"/>
      <c r="B109" s="100"/>
      <c r="C109" s="244"/>
      <c r="D109" s="16" t="s">
        <v>810</v>
      </c>
      <c r="E109" s="302">
        <v>2</v>
      </c>
      <c r="F109" s="113">
        <v>131404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6">
        <f t="shared" si="7"/>
        <v>0</v>
      </c>
      <c r="R109" s="646"/>
    </row>
    <row r="110" spans="1:18" ht="13.5" customHeight="1" hidden="1">
      <c r="A110" s="100"/>
      <c r="B110" s="100"/>
      <c r="C110" s="244"/>
      <c r="D110" s="16" t="s">
        <v>1304</v>
      </c>
      <c r="E110" s="302">
        <v>2</v>
      </c>
      <c r="F110" s="113">
        <v>131330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6">
        <f t="shared" si="7"/>
        <v>0</v>
      </c>
      <c r="R110" s="646"/>
    </row>
    <row r="111" spans="1:18" ht="13.5" customHeight="1" hidden="1">
      <c r="A111" s="100"/>
      <c r="B111" s="100"/>
      <c r="C111" s="244"/>
      <c r="D111" s="16" t="s">
        <v>23</v>
      </c>
      <c r="E111" s="302">
        <v>2</v>
      </c>
      <c r="F111" s="113">
        <v>131507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6">
        <f t="shared" si="7"/>
        <v>0</v>
      </c>
      <c r="R111" s="646"/>
    </row>
    <row r="112" spans="1:18" ht="13.5" customHeight="1" hidden="1">
      <c r="A112" s="100"/>
      <c r="B112" s="100"/>
      <c r="C112" s="244"/>
      <c r="D112" s="320" t="s">
        <v>385</v>
      </c>
      <c r="E112" s="302">
        <v>2</v>
      </c>
      <c r="F112" s="113">
        <v>171943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6">
        <f t="shared" si="7"/>
        <v>0</v>
      </c>
      <c r="R112" s="646"/>
    </row>
    <row r="113" spans="1:18" ht="13.5" customHeight="1" hidden="1">
      <c r="A113" s="100"/>
      <c r="B113" s="100"/>
      <c r="C113" s="244"/>
      <c r="D113" s="193" t="s">
        <v>945</v>
      </c>
      <c r="E113" s="304">
        <v>2</v>
      </c>
      <c r="F113" s="326">
        <v>131301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6">
        <f t="shared" si="7"/>
        <v>0</v>
      </c>
      <c r="R113" s="646" t="s">
        <v>1178</v>
      </c>
    </row>
    <row r="114" spans="1:18" ht="13.5" customHeight="1" hidden="1">
      <c r="A114" s="100"/>
      <c r="B114" s="100"/>
      <c r="C114" s="244"/>
      <c r="D114" s="193" t="s">
        <v>113</v>
      </c>
      <c r="E114" s="303"/>
      <c r="F114" s="534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6"/>
      <c r="R114" s="646"/>
    </row>
    <row r="115" spans="1:18" ht="13.5" customHeight="1" hidden="1">
      <c r="A115" s="100"/>
      <c r="B115" s="100"/>
      <c r="C115" s="244"/>
      <c r="D115" s="193" t="s">
        <v>811</v>
      </c>
      <c r="E115" s="304">
        <v>2</v>
      </c>
      <c r="F115" s="326">
        <v>131502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6">
        <f>SUM(G115:P115)</f>
        <v>0</v>
      </c>
      <c r="R115" s="646"/>
    </row>
    <row r="116" spans="1:18" ht="13.5" customHeight="1">
      <c r="A116" s="100"/>
      <c r="B116" s="100"/>
      <c r="C116" s="244"/>
      <c r="D116" s="183" t="s">
        <v>439</v>
      </c>
      <c r="E116" s="305"/>
      <c r="F116" s="53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6"/>
      <c r="R116" s="646"/>
    </row>
    <row r="117" spans="1:18" ht="13.5" customHeight="1" hidden="1">
      <c r="A117" s="100"/>
      <c r="B117" s="100"/>
      <c r="C117" s="244"/>
      <c r="D117" s="16" t="s">
        <v>59</v>
      </c>
      <c r="E117" s="302"/>
      <c r="F117" s="522"/>
      <c r="G117" s="15"/>
      <c r="H117" s="15"/>
      <c r="I117" s="15"/>
      <c r="J117" s="155"/>
      <c r="K117" s="15"/>
      <c r="L117" s="155"/>
      <c r="M117" s="155"/>
      <c r="N117" s="155"/>
      <c r="O117" s="155"/>
      <c r="P117" s="155"/>
      <c r="Q117" s="14"/>
      <c r="R117" s="646"/>
    </row>
    <row r="118" spans="1:18" ht="13.5" customHeight="1" hidden="1">
      <c r="A118" s="100"/>
      <c r="B118" s="100"/>
      <c r="C118" s="244"/>
      <c r="D118" s="16" t="s">
        <v>128</v>
      </c>
      <c r="E118" s="15">
        <v>2</v>
      </c>
      <c r="F118" s="100">
        <v>131701</v>
      </c>
      <c r="G118" s="15"/>
      <c r="H118" s="15"/>
      <c r="I118" s="15"/>
      <c r="J118" s="155"/>
      <c r="K118" s="15"/>
      <c r="L118" s="155"/>
      <c r="M118" s="155"/>
      <c r="N118" s="155"/>
      <c r="O118" s="155"/>
      <c r="P118" s="155"/>
      <c r="Q118" s="14">
        <f>SUM(G118:P118)</f>
        <v>0</v>
      </c>
      <c r="R118" s="646" t="s">
        <v>1178</v>
      </c>
    </row>
    <row r="119" spans="1:18" ht="13.5" customHeight="1" hidden="1">
      <c r="A119" s="100"/>
      <c r="B119" s="100"/>
      <c r="C119" s="244"/>
      <c r="D119" s="16" t="s">
        <v>970</v>
      </c>
      <c r="E119" s="179"/>
      <c r="F119" s="172"/>
      <c r="G119" s="15"/>
      <c r="H119" s="15"/>
      <c r="I119" s="15"/>
      <c r="J119" s="155"/>
      <c r="K119" s="15"/>
      <c r="L119" s="155"/>
      <c r="M119" s="155"/>
      <c r="N119" s="155"/>
      <c r="O119" s="155"/>
      <c r="P119" s="155"/>
      <c r="Q119" s="14"/>
      <c r="R119" s="646"/>
    </row>
    <row r="120" spans="1:18" ht="13.5" customHeight="1" hidden="1">
      <c r="A120" s="100"/>
      <c r="B120" s="100"/>
      <c r="C120" s="244"/>
      <c r="D120" s="224" t="s">
        <v>455</v>
      </c>
      <c r="E120" s="306">
        <v>2</v>
      </c>
      <c r="F120" s="326">
        <v>131708</v>
      </c>
      <c r="G120" s="15"/>
      <c r="H120" s="15"/>
      <c r="I120" s="15"/>
      <c r="J120" s="155"/>
      <c r="K120" s="15"/>
      <c r="L120" s="155"/>
      <c r="M120" s="155"/>
      <c r="N120" s="155"/>
      <c r="O120" s="155"/>
      <c r="P120" s="155"/>
      <c r="Q120" s="14">
        <f>SUM(G120:P120)</f>
        <v>0</v>
      </c>
      <c r="R120" s="646"/>
    </row>
    <row r="121" spans="1:18" ht="13.5" customHeight="1" hidden="1">
      <c r="A121" s="100"/>
      <c r="B121" s="100"/>
      <c r="C121" s="244"/>
      <c r="D121" s="14" t="s">
        <v>60</v>
      </c>
      <c r="E121" s="302"/>
      <c r="F121" s="522"/>
      <c r="G121" s="15"/>
      <c r="H121" s="15"/>
      <c r="I121" s="15"/>
      <c r="J121" s="155"/>
      <c r="K121" s="15"/>
      <c r="L121" s="155"/>
      <c r="M121" s="155"/>
      <c r="N121" s="155"/>
      <c r="O121" s="155"/>
      <c r="P121" s="155"/>
      <c r="Q121" s="14"/>
      <c r="R121" s="646"/>
    </row>
    <row r="122" spans="1:18" ht="13.5" customHeight="1" hidden="1">
      <c r="A122" s="100"/>
      <c r="B122" s="100"/>
      <c r="C122" s="244"/>
      <c r="D122" s="14" t="s">
        <v>1504</v>
      </c>
      <c r="E122" s="302">
        <v>1</v>
      </c>
      <c r="F122" s="113">
        <v>131703</v>
      </c>
      <c r="G122" s="15"/>
      <c r="H122" s="15"/>
      <c r="I122" s="15"/>
      <c r="J122" s="155"/>
      <c r="K122" s="15"/>
      <c r="L122" s="155"/>
      <c r="M122" s="155"/>
      <c r="N122" s="155"/>
      <c r="O122" s="155"/>
      <c r="P122" s="155"/>
      <c r="Q122" s="14">
        <f>SUM(G122:P122)</f>
        <v>0</v>
      </c>
      <c r="R122" s="646"/>
    </row>
    <row r="123" spans="1:18" ht="15" customHeight="1" hidden="1">
      <c r="A123" s="100"/>
      <c r="B123" s="100"/>
      <c r="C123" s="244"/>
      <c r="D123" s="101" t="s">
        <v>24</v>
      </c>
      <c r="E123" s="302">
        <v>1</v>
      </c>
      <c r="F123" s="113">
        <v>121319</v>
      </c>
      <c r="G123" s="15"/>
      <c r="H123" s="15"/>
      <c r="I123" s="15"/>
      <c r="J123" s="155"/>
      <c r="K123" s="15"/>
      <c r="L123" s="155"/>
      <c r="M123" s="155"/>
      <c r="N123" s="155"/>
      <c r="O123" s="155"/>
      <c r="P123" s="155"/>
      <c r="Q123" s="14">
        <f>SUM(G123:P123)</f>
        <v>0</v>
      </c>
      <c r="R123" s="646"/>
    </row>
    <row r="124" spans="1:18" ht="15" customHeight="1" hidden="1">
      <c r="A124" s="100"/>
      <c r="B124" s="100"/>
      <c r="C124" s="244"/>
      <c r="D124" s="321" t="s">
        <v>393</v>
      </c>
      <c r="E124" s="302">
        <v>2</v>
      </c>
      <c r="F124" s="522">
        <v>131711</v>
      </c>
      <c r="G124" s="15"/>
      <c r="H124" s="15"/>
      <c r="I124" s="15"/>
      <c r="J124" s="155"/>
      <c r="K124" s="15"/>
      <c r="L124" s="155"/>
      <c r="M124" s="155"/>
      <c r="N124" s="155"/>
      <c r="O124" s="155"/>
      <c r="P124" s="155"/>
      <c r="Q124" s="14">
        <f>SUM(G124:P124)</f>
        <v>0</v>
      </c>
      <c r="R124" s="646"/>
    </row>
    <row r="125" spans="1:18" ht="27" customHeight="1">
      <c r="A125" s="100"/>
      <c r="B125" s="100"/>
      <c r="C125" s="244"/>
      <c r="D125" s="712" t="s">
        <v>189</v>
      </c>
      <c r="E125" s="15"/>
      <c r="F125" s="100"/>
      <c r="G125" s="15"/>
      <c r="H125" s="15"/>
      <c r="I125" s="11"/>
      <c r="J125" s="11"/>
      <c r="K125" s="99"/>
      <c r="L125" s="154"/>
      <c r="M125" s="154"/>
      <c r="N125" s="154"/>
      <c r="O125" s="154"/>
      <c r="P125" s="153"/>
      <c r="Q125" s="14"/>
      <c r="R125" s="646"/>
    </row>
    <row r="126" spans="1:18" ht="14.25" customHeight="1">
      <c r="A126" s="100"/>
      <c r="B126" s="100"/>
      <c r="C126" s="244"/>
      <c r="D126" s="712" t="s">
        <v>900</v>
      </c>
      <c r="E126" s="15">
        <v>2</v>
      </c>
      <c r="F126" s="100">
        <v>131506</v>
      </c>
      <c r="G126" s="15"/>
      <c r="H126" s="15">
        <v>63</v>
      </c>
      <c r="I126" s="15">
        <v>-63</v>
      </c>
      <c r="J126" s="11"/>
      <c r="K126" s="99"/>
      <c r="L126" s="154"/>
      <c r="M126" s="154"/>
      <c r="N126" s="154"/>
      <c r="O126" s="154"/>
      <c r="P126" s="153"/>
      <c r="Q126" s="14">
        <f aca="true" t="shared" si="8" ref="Q126:Q131">SUM(G126:P126)</f>
        <v>0</v>
      </c>
      <c r="R126" s="646" t="s">
        <v>1178</v>
      </c>
    </row>
    <row r="127" spans="1:18" ht="15" customHeight="1" hidden="1">
      <c r="A127" s="100"/>
      <c r="B127" s="100"/>
      <c r="C127" s="244"/>
      <c r="D127" s="16" t="s">
        <v>62</v>
      </c>
      <c r="E127" s="15"/>
      <c r="F127" s="100"/>
      <c r="G127" s="15"/>
      <c r="H127" s="15"/>
      <c r="I127" s="11"/>
      <c r="J127" s="11"/>
      <c r="K127" s="99"/>
      <c r="L127" s="154"/>
      <c r="M127" s="154"/>
      <c r="N127" s="154"/>
      <c r="O127" s="154"/>
      <c r="P127" s="153"/>
      <c r="Q127" s="14">
        <f t="shared" si="8"/>
        <v>0</v>
      </c>
      <c r="R127" s="646"/>
    </row>
    <row r="128" spans="1:18" ht="15" customHeight="1" hidden="1">
      <c r="A128" s="100"/>
      <c r="B128" s="100"/>
      <c r="C128" s="244"/>
      <c r="D128" s="16" t="s">
        <v>792</v>
      </c>
      <c r="E128" s="15">
        <v>2</v>
      </c>
      <c r="F128" s="100">
        <v>131707</v>
      </c>
      <c r="G128" s="15"/>
      <c r="H128" s="15"/>
      <c r="I128" s="11"/>
      <c r="J128" s="11"/>
      <c r="K128" s="99"/>
      <c r="L128" s="154"/>
      <c r="M128" s="154"/>
      <c r="N128" s="154"/>
      <c r="O128" s="154"/>
      <c r="P128" s="153"/>
      <c r="Q128" s="14">
        <f t="shared" si="8"/>
        <v>0</v>
      </c>
      <c r="R128" s="646"/>
    </row>
    <row r="129" spans="1:18" ht="16.5" customHeight="1">
      <c r="A129" s="100"/>
      <c r="B129" s="100"/>
      <c r="C129" s="244"/>
      <c r="D129" s="224" t="s">
        <v>114</v>
      </c>
      <c r="E129" s="181"/>
      <c r="F129" s="536"/>
      <c r="G129" s="15"/>
      <c r="H129" s="15"/>
      <c r="I129" s="15"/>
      <c r="J129" s="155"/>
      <c r="K129" s="15"/>
      <c r="L129" s="155"/>
      <c r="M129" s="155"/>
      <c r="N129" s="155"/>
      <c r="O129" s="155"/>
      <c r="P129" s="15"/>
      <c r="Q129" s="14"/>
      <c r="R129" s="646"/>
    </row>
    <row r="130" spans="1:18" ht="15" customHeight="1">
      <c r="A130" s="100"/>
      <c r="B130" s="100"/>
      <c r="C130" s="244"/>
      <c r="D130" s="16" t="s">
        <v>556</v>
      </c>
      <c r="E130" s="180">
        <v>2</v>
      </c>
      <c r="F130" s="521">
        <v>131706</v>
      </c>
      <c r="G130" s="15"/>
      <c r="H130" s="15">
        <v>134</v>
      </c>
      <c r="I130" s="15">
        <v>-134</v>
      </c>
      <c r="J130" s="155"/>
      <c r="K130" s="15"/>
      <c r="L130" s="155"/>
      <c r="M130" s="155"/>
      <c r="N130" s="155"/>
      <c r="O130" s="155"/>
      <c r="P130" s="15"/>
      <c r="Q130" s="14">
        <f t="shared" si="8"/>
        <v>0</v>
      </c>
      <c r="R130" s="646" t="s">
        <v>1178</v>
      </c>
    </row>
    <row r="131" spans="1:18" ht="15" customHeight="1" hidden="1">
      <c r="A131" s="100"/>
      <c r="B131" s="100"/>
      <c r="C131" s="244"/>
      <c r="D131" s="16" t="s">
        <v>946</v>
      </c>
      <c r="E131" s="179">
        <v>2</v>
      </c>
      <c r="F131" s="172">
        <v>131712</v>
      </c>
      <c r="G131" s="15"/>
      <c r="H131" s="15"/>
      <c r="I131" s="15"/>
      <c r="J131" s="155"/>
      <c r="K131" s="15"/>
      <c r="L131" s="155"/>
      <c r="M131" s="155"/>
      <c r="N131" s="155"/>
      <c r="O131" s="155"/>
      <c r="P131" s="15"/>
      <c r="Q131" s="14">
        <f t="shared" si="8"/>
        <v>0</v>
      </c>
      <c r="R131" s="646" t="s">
        <v>1178</v>
      </c>
    </row>
    <row r="132" spans="1:18" ht="15" customHeight="1" hidden="1">
      <c r="A132" s="100"/>
      <c r="B132" s="100"/>
      <c r="C132" s="244"/>
      <c r="D132" s="16" t="s">
        <v>970</v>
      </c>
      <c r="E132" s="179"/>
      <c r="F132" s="172"/>
      <c r="G132" s="15"/>
      <c r="H132" s="15"/>
      <c r="I132" s="15"/>
      <c r="J132" s="155"/>
      <c r="K132" s="15"/>
      <c r="L132" s="155"/>
      <c r="M132" s="155"/>
      <c r="N132" s="155"/>
      <c r="O132" s="155"/>
      <c r="P132" s="15"/>
      <c r="Q132" s="14"/>
      <c r="R132" s="646"/>
    </row>
    <row r="133" spans="1:18" ht="15" customHeight="1" hidden="1">
      <c r="A133" s="100"/>
      <c r="B133" s="100"/>
      <c r="C133" s="244"/>
      <c r="D133" s="16" t="s">
        <v>947</v>
      </c>
      <c r="E133" s="179">
        <v>2</v>
      </c>
      <c r="F133" s="172">
        <v>128901</v>
      </c>
      <c r="G133" s="15"/>
      <c r="H133" s="15"/>
      <c r="I133" s="15"/>
      <c r="J133" s="155"/>
      <c r="K133" s="15"/>
      <c r="L133" s="155"/>
      <c r="M133" s="155"/>
      <c r="N133" s="155"/>
      <c r="O133" s="155"/>
      <c r="P133" s="15"/>
      <c r="Q133" s="14">
        <f>SUM(G133:P133)</f>
        <v>0</v>
      </c>
      <c r="R133" s="646" t="s">
        <v>1185</v>
      </c>
    </row>
    <row r="134" spans="1:18" ht="15" customHeight="1" hidden="1">
      <c r="A134" s="100"/>
      <c r="B134" s="100"/>
      <c r="C134" s="244"/>
      <c r="D134" s="14" t="s">
        <v>1263</v>
      </c>
      <c r="E134" s="180"/>
      <c r="F134" s="537"/>
      <c r="G134" s="15"/>
      <c r="H134" s="15"/>
      <c r="I134" s="15"/>
      <c r="J134" s="155"/>
      <c r="K134" s="15"/>
      <c r="L134" s="155"/>
      <c r="M134" s="155"/>
      <c r="N134" s="155"/>
      <c r="O134" s="155"/>
      <c r="P134" s="15"/>
      <c r="Q134" s="14"/>
      <c r="R134" s="646"/>
    </row>
    <row r="135" spans="1:18" ht="15" customHeight="1" hidden="1">
      <c r="A135" s="100"/>
      <c r="B135" s="100"/>
      <c r="C135" s="244"/>
      <c r="D135" s="16" t="s">
        <v>420</v>
      </c>
      <c r="E135" s="180">
        <v>1</v>
      </c>
      <c r="F135" s="521">
        <v>131710</v>
      </c>
      <c r="G135" s="15"/>
      <c r="H135" s="15"/>
      <c r="I135" s="15"/>
      <c r="J135" s="155"/>
      <c r="K135" s="15"/>
      <c r="L135" s="155"/>
      <c r="M135" s="155"/>
      <c r="N135" s="155"/>
      <c r="O135" s="155"/>
      <c r="P135" s="15"/>
      <c r="Q135" s="14">
        <f>SUM(G135:P135)</f>
        <v>0</v>
      </c>
      <c r="R135" s="646"/>
    </row>
    <row r="136" spans="1:18" ht="15" customHeight="1">
      <c r="A136" s="100"/>
      <c r="B136" s="100"/>
      <c r="C136" s="244"/>
      <c r="D136" s="183" t="s">
        <v>1065</v>
      </c>
      <c r="E136" s="15"/>
      <c r="F136" s="100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6"/>
      <c r="R136" s="646"/>
    </row>
    <row r="137" spans="1:18" ht="15" customHeight="1" hidden="1">
      <c r="A137" s="100"/>
      <c r="B137" s="100"/>
      <c r="C137" s="244"/>
      <c r="D137" s="101" t="s">
        <v>63</v>
      </c>
      <c r="E137" s="302"/>
      <c r="F137" s="522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6"/>
      <c r="R137" s="646"/>
    </row>
    <row r="138" spans="1:18" ht="15" customHeight="1" hidden="1">
      <c r="A138" s="100"/>
      <c r="B138" s="100"/>
      <c r="C138" s="244"/>
      <c r="D138" s="16" t="s">
        <v>904</v>
      </c>
      <c r="E138" s="15">
        <v>2</v>
      </c>
      <c r="F138" s="100">
        <v>131803</v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6">
        <f>SUM(G138:P138)</f>
        <v>0</v>
      </c>
      <c r="R138" s="646"/>
    </row>
    <row r="139" spans="1:18" ht="15" customHeight="1" hidden="1">
      <c r="A139" s="100"/>
      <c r="B139" s="100"/>
      <c r="C139" s="244"/>
      <c r="D139" s="16" t="s">
        <v>490</v>
      </c>
      <c r="E139" s="15">
        <v>2</v>
      </c>
      <c r="F139" s="100">
        <v>131804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6">
        <f>SUM(G139:P139)</f>
        <v>0</v>
      </c>
      <c r="R139" s="646"/>
    </row>
    <row r="140" spans="1:18" ht="15" customHeight="1" hidden="1">
      <c r="A140" s="100"/>
      <c r="B140" s="100"/>
      <c r="C140" s="244"/>
      <c r="D140" s="16" t="s">
        <v>1066</v>
      </c>
      <c r="E140" s="15">
        <v>2</v>
      </c>
      <c r="F140" s="100">
        <v>131805</v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6">
        <f>SUM(G140:P140)</f>
        <v>0</v>
      </c>
      <c r="R140" s="646"/>
    </row>
    <row r="141" spans="1:18" ht="15" customHeight="1">
      <c r="A141" s="100"/>
      <c r="B141" s="100"/>
      <c r="C141" s="244"/>
      <c r="D141" s="101" t="s">
        <v>64</v>
      </c>
      <c r="E141" s="302"/>
      <c r="F141" s="522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6"/>
      <c r="R141" s="646"/>
    </row>
    <row r="142" spans="1:18" ht="15" customHeight="1" hidden="1">
      <c r="A142" s="100"/>
      <c r="B142" s="100"/>
      <c r="C142" s="244"/>
      <c r="D142" s="17" t="s">
        <v>1067</v>
      </c>
      <c r="E142" s="302">
        <v>1</v>
      </c>
      <c r="F142" s="113">
        <v>131808</v>
      </c>
      <c r="G142" s="18"/>
      <c r="H142" s="18"/>
      <c r="I142" s="18"/>
      <c r="J142" s="18"/>
      <c r="K142" s="15"/>
      <c r="L142" s="18"/>
      <c r="M142" s="18"/>
      <c r="N142" s="18"/>
      <c r="O142" s="18"/>
      <c r="P142" s="18"/>
      <c r="Q142" s="16">
        <f>SUM(G142:P142)</f>
        <v>0</v>
      </c>
      <c r="R142" s="646" t="s">
        <v>1178</v>
      </c>
    </row>
    <row r="143" spans="1:18" ht="15" customHeight="1">
      <c r="A143" s="100"/>
      <c r="B143" s="100"/>
      <c r="C143" s="244"/>
      <c r="D143" s="17" t="s">
        <v>14</v>
      </c>
      <c r="E143" s="18">
        <v>1</v>
      </c>
      <c r="F143" s="113">
        <v>131807</v>
      </c>
      <c r="G143" s="18">
        <v>-79</v>
      </c>
      <c r="H143" s="18"/>
      <c r="I143" s="18">
        <v>179</v>
      </c>
      <c r="J143" s="18"/>
      <c r="K143" s="15">
        <v>-100</v>
      </c>
      <c r="L143" s="18"/>
      <c r="M143" s="18"/>
      <c r="N143" s="18"/>
      <c r="O143" s="18"/>
      <c r="P143" s="18"/>
      <c r="Q143" s="16">
        <f>SUM(G143:P143)</f>
        <v>0</v>
      </c>
      <c r="R143" s="646" t="s">
        <v>1178</v>
      </c>
    </row>
    <row r="144" spans="1:18" ht="15" customHeight="1" hidden="1">
      <c r="A144" s="100"/>
      <c r="B144" s="100"/>
      <c r="C144" s="244"/>
      <c r="D144" s="17" t="s">
        <v>1293</v>
      </c>
      <c r="E144" s="302">
        <v>1</v>
      </c>
      <c r="F144" s="113">
        <v>131809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6">
        <f>SUM(G144:P144)</f>
        <v>0</v>
      </c>
      <c r="R144" s="646"/>
    </row>
    <row r="145" spans="1:18" ht="15" customHeight="1" hidden="1">
      <c r="A145" s="100"/>
      <c r="B145" s="100"/>
      <c r="C145" s="244"/>
      <c r="D145" s="193" t="s">
        <v>998</v>
      </c>
      <c r="E145" s="15">
        <v>2</v>
      </c>
      <c r="F145" s="100">
        <v>131835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6">
        <f>SUM(G145:P145)</f>
        <v>0</v>
      </c>
      <c r="R145" s="646"/>
    </row>
    <row r="146" spans="1:18" ht="15" customHeight="1">
      <c r="A146" s="100"/>
      <c r="B146" s="100"/>
      <c r="C146" s="244"/>
      <c r="D146" s="115" t="s">
        <v>65</v>
      </c>
      <c r="E146" s="302"/>
      <c r="F146" s="522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6"/>
      <c r="R146" s="646"/>
    </row>
    <row r="147" spans="1:18" ht="15" customHeight="1" hidden="1">
      <c r="A147" s="100"/>
      <c r="B147" s="100"/>
      <c r="C147" s="244"/>
      <c r="D147" s="17" t="s">
        <v>21</v>
      </c>
      <c r="E147" s="18">
        <v>1</v>
      </c>
      <c r="F147" s="113">
        <v>131811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6">
        <f aca="true" t="shared" si="9" ref="Q147:Q156">SUM(G147:P147)</f>
        <v>0</v>
      </c>
      <c r="R147" s="646"/>
    </row>
    <row r="148" spans="1:18" ht="15" customHeight="1" hidden="1">
      <c r="A148" s="100"/>
      <c r="B148" s="100"/>
      <c r="C148" s="244"/>
      <c r="D148" s="17" t="s">
        <v>30</v>
      </c>
      <c r="E148" s="18">
        <v>1</v>
      </c>
      <c r="F148" s="113">
        <v>131812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6">
        <f t="shared" si="9"/>
        <v>0</v>
      </c>
      <c r="R148" s="646"/>
    </row>
    <row r="149" spans="1:18" ht="15" customHeight="1" hidden="1">
      <c r="A149" s="100"/>
      <c r="B149" s="100"/>
      <c r="C149" s="244"/>
      <c r="D149" s="17" t="s">
        <v>432</v>
      </c>
      <c r="E149" s="18">
        <v>1</v>
      </c>
      <c r="F149" s="113">
        <v>131813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6">
        <f t="shared" si="9"/>
        <v>0</v>
      </c>
      <c r="R149" s="646"/>
    </row>
    <row r="150" spans="1:18" ht="15" customHeight="1" hidden="1">
      <c r="A150" s="100"/>
      <c r="B150" s="100"/>
      <c r="C150" s="244"/>
      <c r="D150" s="17" t="s">
        <v>119</v>
      </c>
      <c r="E150" s="18">
        <v>1</v>
      </c>
      <c r="F150" s="113">
        <v>131815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6">
        <f t="shared" si="9"/>
        <v>0</v>
      </c>
      <c r="R150" s="646"/>
    </row>
    <row r="151" spans="1:18" ht="15" customHeight="1" hidden="1">
      <c r="A151" s="100"/>
      <c r="B151" s="100"/>
      <c r="C151" s="244"/>
      <c r="D151" s="17" t="s">
        <v>800</v>
      </c>
      <c r="E151" s="18">
        <v>1</v>
      </c>
      <c r="F151" s="113">
        <v>131816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6">
        <f t="shared" si="9"/>
        <v>0</v>
      </c>
      <c r="R151" s="646"/>
    </row>
    <row r="152" spans="1:18" ht="15" customHeight="1" hidden="1">
      <c r="A152" s="100"/>
      <c r="B152" s="100"/>
      <c r="C152" s="244"/>
      <c r="D152" s="17" t="s">
        <v>798</v>
      </c>
      <c r="E152" s="18">
        <v>1</v>
      </c>
      <c r="F152" s="113">
        <v>131817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6">
        <f t="shared" si="9"/>
        <v>0</v>
      </c>
      <c r="R152" s="646"/>
    </row>
    <row r="153" spans="1:18" ht="15" customHeight="1" hidden="1">
      <c r="A153" s="100"/>
      <c r="B153" s="100"/>
      <c r="C153" s="244"/>
      <c r="D153" s="17" t="s">
        <v>799</v>
      </c>
      <c r="E153" s="18">
        <v>1</v>
      </c>
      <c r="F153" s="113">
        <v>131818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6">
        <f t="shared" si="9"/>
        <v>0</v>
      </c>
      <c r="R153" s="646"/>
    </row>
    <row r="154" spans="1:18" ht="15" customHeight="1" hidden="1">
      <c r="A154" s="100"/>
      <c r="B154" s="100"/>
      <c r="C154" s="244"/>
      <c r="D154" s="17" t="s">
        <v>1402</v>
      </c>
      <c r="E154" s="18">
        <v>1</v>
      </c>
      <c r="F154" s="113">
        <v>131819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6">
        <f t="shared" si="9"/>
        <v>0</v>
      </c>
      <c r="R154" s="646"/>
    </row>
    <row r="155" spans="1:18" ht="15" customHeight="1" hidden="1">
      <c r="A155" s="100"/>
      <c r="B155" s="100"/>
      <c r="C155" s="244"/>
      <c r="D155" s="17" t="s">
        <v>43</v>
      </c>
      <c r="E155" s="18">
        <v>1</v>
      </c>
      <c r="F155" s="113">
        <v>131832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6">
        <f t="shared" si="9"/>
        <v>0</v>
      </c>
      <c r="R155" s="646"/>
    </row>
    <row r="156" spans="1:18" ht="15" customHeight="1">
      <c r="A156" s="100"/>
      <c r="B156" s="100"/>
      <c r="C156" s="244"/>
      <c r="D156" s="17" t="s">
        <v>1036</v>
      </c>
      <c r="E156" s="18">
        <v>1</v>
      </c>
      <c r="F156" s="113">
        <v>131820</v>
      </c>
      <c r="G156" s="18">
        <v>-72</v>
      </c>
      <c r="H156" s="18"/>
      <c r="I156" s="18">
        <v>2</v>
      </c>
      <c r="J156" s="18"/>
      <c r="K156" s="18">
        <v>70</v>
      </c>
      <c r="L156" s="18"/>
      <c r="M156" s="18"/>
      <c r="N156" s="18"/>
      <c r="O156" s="18"/>
      <c r="P156" s="18"/>
      <c r="Q156" s="16">
        <f t="shared" si="9"/>
        <v>0</v>
      </c>
      <c r="R156" s="646" t="s">
        <v>1178</v>
      </c>
    </row>
    <row r="157" spans="1:18" ht="15" customHeight="1" hidden="1">
      <c r="A157" s="100"/>
      <c r="B157" s="100"/>
      <c r="C157" s="244"/>
      <c r="D157" s="17" t="s">
        <v>187</v>
      </c>
      <c r="E157" s="18"/>
      <c r="F157" s="113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6"/>
      <c r="R157" s="646"/>
    </row>
    <row r="158" spans="1:18" ht="15" customHeight="1" hidden="1">
      <c r="A158" s="100"/>
      <c r="B158" s="100"/>
      <c r="C158" s="244"/>
      <c r="D158" s="17" t="s">
        <v>796</v>
      </c>
      <c r="E158" s="302">
        <v>2</v>
      </c>
      <c r="F158" s="113">
        <v>131821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6">
        <f aca="true" t="shared" si="10" ref="Q158:Q177">SUM(G158:P158)</f>
        <v>0</v>
      </c>
      <c r="R158" s="646"/>
    </row>
    <row r="159" spans="1:18" ht="15" customHeight="1" hidden="1">
      <c r="A159" s="100"/>
      <c r="B159" s="100"/>
      <c r="C159" s="244"/>
      <c r="D159" s="17" t="s">
        <v>797</v>
      </c>
      <c r="E159" s="302">
        <v>2</v>
      </c>
      <c r="F159" s="113">
        <v>131822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6">
        <f t="shared" si="10"/>
        <v>0</v>
      </c>
      <c r="R159" s="646"/>
    </row>
    <row r="160" spans="1:18" ht="15" customHeight="1" hidden="1">
      <c r="A160" s="100"/>
      <c r="B160" s="100"/>
      <c r="C160" s="244"/>
      <c r="D160" s="232" t="s">
        <v>3</v>
      </c>
      <c r="E160" s="307">
        <v>2</v>
      </c>
      <c r="F160" s="113">
        <v>131823</v>
      </c>
      <c r="G160" s="18"/>
      <c r="H160" s="18"/>
      <c r="I160" s="18"/>
      <c r="J160" s="18"/>
      <c r="K160" s="15"/>
      <c r="L160" s="18"/>
      <c r="M160" s="18"/>
      <c r="N160" s="18"/>
      <c r="O160" s="18"/>
      <c r="P160" s="18"/>
      <c r="Q160" s="16">
        <f t="shared" si="10"/>
        <v>0</v>
      </c>
      <c r="R160" s="646" t="s">
        <v>1178</v>
      </c>
    </row>
    <row r="161" spans="1:18" ht="16.5" customHeight="1" hidden="1">
      <c r="A161" s="100"/>
      <c r="B161" s="100"/>
      <c r="C161" s="244"/>
      <c r="D161" s="232" t="s">
        <v>4</v>
      </c>
      <c r="E161" s="188">
        <v>2</v>
      </c>
      <c r="F161" s="113">
        <v>131824</v>
      </c>
      <c r="G161" s="18"/>
      <c r="H161" s="18"/>
      <c r="I161" s="18"/>
      <c r="J161" s="18"/>
      <c r="K161" s="15"/>
      <c r="L161" s="18"/>
      <c r="M161" s="18"/>
      <c r="N161" s="18"/>
      <c r="O161" s="18"/>
      <c r="P161" s="18"/>
      <c r="Q161" s="16">
        <f t="shared" si="10"/>
        <v>0</v>
      </c>
      <c r="R161" s="646"/>
    </row>
    <row r="162" spans="1:18" ht="15" customHeight="1" hidden="1">
      <c r="A162" s="100"/>
      <c r="B162" s="100"/>
      <c r="C162" s="244"/>
      <c r="D162" s="232" t="s">
        <v>44</v>
      </c>
      <c r="E162" s="188">
        <v>2</v>
      </c>
      <c r="F162" s="538">
        <v>131833</v>
      </c>
      <c r="G162" s="18"/>
      <c r="H162" s="18"/>
      <c r="I162" s="18"/>
      <c r="J162" s="18"/>
      <c r="K162" s="15"/>
      <c r="L162" s="18"/>
      <c r="M162" s="18"/>
      <c r="N162" s="18"/>
      <c r="O162" s="18"/>
      <c r="P162" s="18"/>
      <c r="Q162" s="16">
        <f t="shared" si="10"/>
        <v>0</v>
      </c>
      <c r="R162" s="646"/>
    </row>
    <row r="163" spans="1:18" ht="15" customHeight="1" hidden="1">
      <c r="A163" s="100"/>
      <c r="B163" s="100"/>
      <c r="C163" s="244"/>
      <c r="D163" s="232" t="s">
        <v>5</v>
      </c>
      <c r="E163" s="188">
        <v>2</v>
      </c>
      <c r="F163" s="538">
        <v>131834</v>
      </c>
      <c r="G163" s="18"/>
      <c r="H163" s="18"/>
      <c r="I163" s="18"/>
      <c r="J163" s="18"/>
      <c r="K163" s="15"/>
      <c r="L163" s="18"/>
      <c r="M163" s="18"/>
      <c r="N163" s="18"/>
      <c r="O163" s="18"/>
      <c r="P163" s="18"/>
      <c r="Q163" s="16">
        <f t="shared" si="10"/>
        <v>0</v>
      </c>
      <c r="R163" s="646"/>
    </row>
    <row r="164" spans="1:18" ht="15" customHeight="1" hidden="1">
      <c r="A164" s="100"/>
      <c r="B164" s="100"/>
      <c r="C164" s="244"/>
      <c r="D164" s="232" t="s">
        <v>778</v>
      </c>
      <c r="E164" s="188">
        <v>2</v>
      </c>
      <c r="F164" s="538">
        <v>131836</v>
      </c>
      <c r="G164" s="18"/>
      <c r="H164" s="18"/>
      <c r="I164" s="18"/>
      <c r="J164" s="18"/>
      <c r="K164" s="15"/>
      <c r="L164" s="18"/>
      <c r="M164" s="18"/>
      <c r="N164" s="18"/>
      <c r="O164" s="18"/>
      <c r="P164" s="18"/>
      <c r="Q164" s="16">
        <f t="shared" si="10"/>
        <v>0</v>
      </c>
      <c r="R164" s="646"/>
    </row>
    <row r="165" spans="1:18" ht="15" customHeight="1" hidden="1">
      <c r="A165" s="100"/>
      <c r="B165" s="100"/>
      <c r="C165" s="244"/>
      <c r="D165" s="232" t="s">
        <v>972</v>
      </c>
      <c r="E165" s="188">
        <v>2</v>
      </c>
      <c r="F165" s="538">
        <v>131837</v>
      </c>
      <c r="G165" s="18"/>
      <c r="H165" s="18"/>
      <c r="I165" s="18"/>
      <c r="J165" s="18"/>
      <c r="K165" s="15"/>
      <c r="L165" s="18"/>
      <c r="M165" s="18"/>
      <c r="N165" s="18"/>
      <c r="O165" s="18"/>
      <c r="P165" s="18"/>
      <c r="Q165" s="16">
        <f t="shared" si="10"/>
        <v>0</v>
      </c>
      <c r="R165" s="646"/>
    </row>
    <row r="166" spans="1:18" ht="15" customHeight="1" hidden="1">
      <c r="A166" s="100"/>
      <c r="B166" s="100"/>
      <c r="C166" s="244"/>
      <c r="D166" s="232" t="s">
        <v>973</v>
      </c>
      <c r="E166" s="188">
        <v>2</v>
      </c>
      <c r="F166" s="538">
        <v>131838</v>
      </c>
      <c r="G166" s="18"/>
      <c r="H166" s="18"/>
      <c r="I166" s="18"/>
      <c r="J166" s="18"/>
      <c r="K166" s="15"/>
      <c r="L166" s="18"/>
      <c r="M166" s="18"/>
      <c r="N166" s="18"/>
      <c r="O166" s="18"/>
      <c r="P166" s="18"/>
      <c r="Q166" s="16">
        <f t="shared" si="10"/>
        <v>0</v>
      </c>
      <c r="R166" s="646"/>
    </row>
    <row r="167" spans="1:18" ht="15" customHeight="1" hidden="1">
      <c r="A167" s="100"/>
      <c r="B167" s="100"/>
      <c r="C167" s="244"/>
      <c r="D167" s="232" t="s">
        <v>954</v>
      </c>
      <c r="E167" s="188">
        <v>2</v>
      </c>
      <c r="F167" s="538">
        <v>131839</v>
      </c>
      <c r="G167" s="18"/>
      <c r="H167" s="18"/>
      <c r="I167" s="18"/>
      <c r="J167" s="18"/>
      <c r="K167" s="15"/>
      <c r="L167" s="18"/>
      <c r="M167" s="18"/>
      <c r="N167" s="18"/>
      <c r="O167" s="18"/>
      <c r="P167" s="18"/>
      <c r="Q167" s="16">
        <f t="shared" si="10"/>
        <v>0</v>
      </c>
      <c r="R167" s="646"/>
    </row>
    <row r="168" spans="1:18" ht="15" customHeight="1" hidden="1">
      <c r="A168" s="100"/>
      <c r="B168" s="100"/>
      <c r="C168" s="244"/>
      <c r="D168" s="232" t="s">
        <v>974</v>
      </c>
      <c r="E168" s="188">
        <v>2</v>
      </c>
      <c r="F168" s="538">
        <v>131840</v>
      </c>
      <c r="G168" s="18"/>
      <c r="H168" s="18"/>
      <c r="I168" s="18"/>
      <c r="J168" s="18"/>
      <c r="K168" s="15"/>
      <c r="L168" s="18"/>
      <c r="M168" s="18"/>
      <c r="N168" s="18"/>
      <c r="O168" s="18"/>
      <c r="P168" s="18"/>
      <c r="Q168" s="16">
        <f t="shared" si="10"/>
        <v>0</v>
      </c>
      <c r="R168" s="646"/>
    </row>
    <row r="169" spans="1:18" ht="15" customHeight="1" hidden="1">
      <c r="A169" s="100"/>
      <c r="B169" s="100"/>
      <c r="C169" s="244"/>
      <c r="D169" s="232" t="s">
        <v>975</v>
      </c>
      <c r="E169" s="188">
        <v>2</v>
      </c>
      <c r="F169" s="538">
        <v>131841</v>
      </c>
      <c r="G169" s="18"/>
      <c r="H169" s="18"/>
      <c r="I169" s="18"/>
      <c r="J169" s="18"/>
      <c r="K169" s="15"/>
      <c r="L169" s="18"/>
      <c r="M169" s="18"/>
      <c r="N169" s="18"/>
      <c r="O169" s="18"/>
      <c r="P169" s="18"/>
      <c r="Q169" s="16">
        <f t="shared" si="10"/>
        <v>0</v>
      </c>
      <c r="R169" s="646"/>
    </row>
    <row r="170" spans="1:18" ht="15" customHeight="1" hidden="1">
      <c r="A170" s="100"/>
      <c r="B170" s="100"/>
      <c r="C170" s="244"/>
      <c r="D170" s="232" t="s">
        <v>971</v>
      </c>
      <c r="E170" s="188">
        <v>2</v>
      </c>
      <c r="F170" s="538">
        <v>131842</v>
      </c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6">
        <f t="shared" si="10"/>
        <v>0</v>
      </c>
      <c r="R170" s="646"/>
    </row>
    <row r="171" spans="1:18" ht="15" customHeight="1" hidden="1">
      <c r="A171" s="100"/>
      <c r="B171" s="100"/>
      <c r="C171" s="244"/>
      <c r="D171" s="232" t="s">
        <v>572</v>
      </c>
      <c r="E171" s="188">
        <v>2</v>
      </c>
      <c r="F171" s="538">
        <v>131843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6">
        <f t="shared" si="10"/>
        <v>0</v>
      </c>
      <c r="R171" s="646"/>
    </row>
    <row r="172" spans="1:18" ht="15" customHeight="1" hidden="1">
      <c r="A172" s="100"/>
      <c r="B172" s="100"/>
      <c r="C172" s="100"/>
      <c r="D172" s="18" t="s">
        <v>394</v>
      </c>
      <c r="E172" s="188">
        <v>2</v>
      </c>
      <c r="F172" s="538">
        <v>131847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6">
        <f t="shared" si="10"/>
        <v>0</v>
      </c>
      <c r="R172" s="646"/>
    </row>
    <row r="173" spans="1:18" ht="15" customHeight="1" hidden="1">
      <c r="A173" s="100"/>
      <c r="B173" s="100"/>
      <c r="C173" s="100"/>
      <c r="D173" s="322" t="s">
        <v>395</v>
      </c>
      <c r="E173" s="188">
        <v>2</v>
      </c>
      <c r="F173" s="538">
        <v>131848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6">
        <f t="shared" si="10"/>
        <v>0</v>
      </c>
      <c r="R173" s="646"/>
    </row>
    <row r="174" spans="1:18" ht="15" customHeight="1" hidden="1">
      <c r="A174" s="100"/>
      <c r="B174" s="100"/>
      <c r="C174" s="100"/>
      <c r="D174" s="322" t="s">
        <v>396</v>
      </c>
      <c r="E174" s="188">
        <v>2</v>
      </c>
      <c r="F174" s="538">
        <v>131849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6">
        <f t="shared" si="10"/>
        <v>0</v>
      </c>
      <c r="R174" s="646"/>
    </row>
    <row r="175" spans="1:18" ht="15" customHeight="1" hidden="1">
      <c r="A175" s="100"/>
      <c r="B175" s="100"/>
      <c r="C175" s="100"/>
      <c r="D175" s="322" t="s">
        <v>397</v>
      </c>
      <c r="E175" s="188">
        <v>2</v>
      </c>
      <c r="F175" s="538">
        <v>131850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6">
        <f t="shared" si="10"/>
        <v>0</v>
      </c>
      <c r="R175" s="646"/>
    </row>
    <row r="176" spans="1:18" ht="15" customHeight="1" hidden="1">
      <c r="A176" s="100"/>
      <c r="B176" s="100"/>
      <c r="C176" s="100"/>
      <c r="D176" s="322" t="s">
        <v>398</v>
      </c>
      <c r="E176" s="188">
        <v>2</v>
      </c>
      <c r="F176" s="538">
        <v>131851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6">
        <f t="shared" si="10"/>
        <v>0</v>
      </c>
      <c r="R176" s="646"/>
    </row>
    <row r="177" spans="1:18" ht="15" customHeight="1" hidden="1">
      <c r="A177" s="100"/>
      <c r="B177" s="100"/>
      <c r="C177" s="100"/>
      <c r="D177" s="322" t="s">
        <v>399</v>
      </c>
      <c r="E177" s="188">
        <v>2</v>
      </c>
      <c r="F177" s="538">
        <v>131852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6">
        <f t="shared" si="10"/>
        <v>0</v>
      </c>
      <c r="R177" s="646"/>
    </row>
    <row r="178" spans="1:18" ht="15" customHeight="1">
      <c r="A178" s="100"/>
      <c r="B178" s="100"/>
      <c r="C178" s="100"/>
      <c r="D178" s="18" t="s">
        <v>66</v>
      </c>
      <c r="E178" s="302"/>
      <c r="F178" s="113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6"/>
      <c r="R178" s="646"/>
    </row>
    <row r="179" spans="1:18" ht="15" customHeight="1" hidden="1">
      <c r="A179" s="100"/>
      <c r="B179" s="100"/>
      <c r="C179" s="244"/>
      <c r="D179" s="17" t="s">
        <v>169</v>
      </c>
      <c r="E179" s="302">
        <v>1</v>
      </c>
      <c r="F179" s="113">
        <v>131827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6">
        <f>SUM(G179:P179)</f>
        <v>0</v>
      </c>
      <c r="R179" s="646"/>
    </row>
    <row r="180" spans="1:18" ht="15" customHeight="1">
      <c r="A180" s="100"/>
      <c r="B180" s="100"/>
      <c r="C180" s="244"/>
      <c r="D180" s="101" t="s">
        <v>948</v>
      </c>
      <c r="E180" s="161">
        <v>2</v>
      </c>
      <c r="F180" s="100">
        <v>131829</v>
      </c>
      <c r="G180" s="18"/>
      <c r="H180" s="18"/>
      <c r="I180" s="18">
        <v>56</v>
      </c>
      <c r="J180" s="18"/>
      <c r="K180" s="18">
        <v>-56</v>
      </c>
      <c r="L180" s="18"/>
      <c r="M180" s="18"/>
      <c r="N180" s="18"/>
      <c r="O180" s="18"/>
      <c r="P180" s="18"/>
      <c r="Q180" s="16">
        <f>SUM(G180:P180)</f>
        <v>0</v>
      </c>
      <c r="R180" s="646" t="s">
        <v>1178</v>
      </c>
    </row>
    <row r="181" spans="1:18" ht="15" customHeight="1" hidden="1">
      <c r="A181" s="100"/>
      <c r="B181" s="100"/>
      <c r="C181" s="244"/>
      <c r="D181" s="322" t="s">
        <v>400</v>
      </c>
      <c r="E181" s="158">
        <v>1</v>
      </c>
      <c r="F181" s="331">
        <v>131826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6">
        <f>SUM(G181:P181)</f>
        <v>0</v>
      </c>
      <c r="R181" s="646"/>
    </row>
    <row r="182" spans="1:18" ht="12">
      <c r="A182" s="104"/>
      <c r="B182" s="104"/>
      <c r="C182" s="245"/>
      <c r="D182" s="106" t="s">
        <v>1487</v>
      </c>
      <c r="E182" s="107"/>
      <c r="F182" s="532"/>
      <c r="G182" s="111">
        <f aca="true" t="shared" si="11" ref="G182:Q182">SUM(G52:G181)</f>
        <v>-62</v>
      </c>
      <c r="H182" s="111">
        <f t="shared" si="11"/>
        <v>250</v>
      </c>
      <c r="I182" s="111">
        <f t="shared" si="11"/>
        <v>-102</v>
      </c>
      <c r="J182" s="111">
        <f t="shared" si="11"/>
        <v>0</v>
      </c>
      <c r="K182" s="111">
        <f t="shared" si="11"/>
        <v>-86</v>
      </c>
      <c r="L182" s="111">
        <f t="shared" si="11"/>
        <v>0</v>
      </c>
      <c r="M182" s="111">
        <f t="shared" si="11"/>
        <v>0</v>
      </c>
      <c r="N182" s="111">
        <f t="shared" si="11"/>
        <v>0</v>
      </c>
      <c r="O182" s="111">
        <f t="shared" si="11"/>
        <v>0</v>
      </c>
      <c r="P182" s="111">
        <f t="shared" si="11"/>
        <v>0</v>
      </c>
      <c r="Q182" s="106">
        <f t="shared" si="11"/>
        <v>0</v>
      </c>
      <c r="R182" s="646"/>
    </row>
    <row r="183" spans="1:18" ht="12">
      <c r="A183" s="112"/>
      <c r="B183" s="112"/>
      <c r="C183" s="247"/>
      <c r="D183" s="183" t="s">
        <v>231</v>
      </c>
      <c r="E183" s="102"/>
      <c r="F183" s="328"/>
      <c r="G183" s="105"/>
      <c r="H183" s="105"/>
      <c r="I183" s="105"/>
      <c r="J183" s="15"/>
      <c r="K183" s="15"/>
      <c r="L183" s="105"/>
      <c r="M183" s="105"/>
      <c r="N183" s="15"/>
      <c r="O183" s="15"/>
      <c r="P183" s="105"/>
      <c r="Q183" s="16"/>
      <c r="R183" s="646"/>
    </row>
    <row r="184" spans="1:18" ht="13.5">
      <c r="A184" s="112"/>
      <c r="B184" s="112"/>
      <c r="C184" s="557" t="s">
        <v>1288</v>
      </c>
      <c r="D184" s="369" t="s">
        <v>1114</v>
      </c>
      <c r="E184" s="102"/>
      <c r="F184" s="328"/>
      <c r="G184" s="105"/>
      <c r="H184" s="105"/>
      <c r="I184" s="105"/>
      <c r="J184" s="15"/>
      <c r="K184" s="15"/>
      <c r="L184" s="105"/>
      <c r="M184" s="105"/>
      <c r="N184" s="15"/>
      <c r="O184" s="15"/>
      <c r="P184" s="105"/>
      <c r="Q184" s="16"/>
      <c r="R184" s="646"/>
    </row>
    <row r="185" spans="1:18" ht="12" customHeight="1">
      <c r="A185" s="112"/>
      <c r="B185" s="112"/>
      <c r="C185" s="557" t="s">
        <v>1338</v>
      </c>
      <c r="D185" s="576" t="s">
        <v>500</v>
      </c>
      <c r="E185" s="102"/>
      <c r="F185" s="328"/>
      <c r="G185" s="105"/>
      <c r="H185" s="105"/>
      <c r="I185" s="105"/>
      <c r="J185" s="15"/>
      <c r="K185" s="15"/>
      <c r="L185" s="105"/>
      <c r="M185" s="105"/>
      <c r="N185" s="15"/>
      <c r="O185" s="15"/>
      <c r="P185" s="105"/>
      <c r="Q185" s="16"/>
      <c r="R185" s="646"/>
    </row>
    <row r="186" spans="1:18" ht="12" hidden="1">
      <c r="A186" s="112"/>
      <c r="B186" s="112"/>
      <c r="C186" s="247" t="s">
        <v>1339</v>
      </c>
      <c r="D186" s="577" t="s">
        <v>26</v>
      </c>
      <c r="E186" s="102"/>
      <c r="F186" s="328">
        <v>134903</v>
      </c>
      <c r="G186" s="105"/>
      <c r="H186" s="105"/>
      <c r="I186" s="105"/>
      <c r="J186" s="15"/>
      <c r="K186" s="15"/>
      <c r="L186" s="105"/>
      <c r="M186" s="15"/>
      <c r="N186" s="15"/>
      <c r="O186" s="15"/>
      <c r="P186" s="105"/>
      <c r="Q186" s="16">
        <f aca="true" t="shared" si="12" ref="Q186:Q192">SUM(G186:P186)</f>
        <v>0</v>
      </c>
      <c r="R186" s="646"/>
    </row>
    <row r="187" spans="1:18" ht="12" hidden="1">
      <c r="A187" s="112"/>
      <c r="B187" s="112"/>
      <c r="C187" s="247" t="s">
        <v>1339</v>
      </c>
      <c r="D187" s="577" t="s">
        <v>293</v>
      </c>
      <c r="E187" s="102"/>
      <c r="F187" s="328">
        <v>134906</v>
      </c>
      <c r="G187" s="105"/>
      <c r="H187" s="105"/>
      <c r="I187" s="105"/>
      <c r="J187" s="15"/>
      <c r="K187" s="15"/>
      <c r="L187" s="15"/>
      <c r="M187" s="15"/>
      <c r="N187" s="15"/>
      <c r="O187" s="105"/>
      <c r="P187" s="105"/>
      <c r="Q187" s="16">
        <f t="shared" si="12"/>
        <v>0</v>
      </c>
      <c r="R187" s="646"/>
    </row>
    <row r="188" spans="1:18" ht="12" hidden="1">
      <c r="A188" s="112"/>
      <c r="B188" s="112"/>
      <c r="C188" s="247" t="s">
        <v>1342</v>
      </c>
      <c r="D188" s="577" t="s">
        <v>294</v>
      </c>
      <c r="E188" s="102"/>
      <c r="F188" s="328">
        <v>134958</v>
      </c>
      <c r="G188" s="105"/>
      <c r="H188" s="105"/>
      <c r="I188" s="105"/>
      <c r="J188" s="15"/>
      <c r="K188" s="15"/>
      <c r="L188" s="15"/>
      <c r="M188" s="15"/>
      <c r="N188" s="15"/>
      <c r="O188" s="105"/>
      <c r="P188" s="105"/>
      <c r="Q188" s="16">
        <f t="shared" si="12"/>
        <v>0</v>
      </c>
      <c r="R188" s="646"/>
    </row>
    <row r="189" spans="1:18" ht="12" hidden="1">
      <c r="A189" s="112"/>
      <c r="B189" s="112"/>
      <c r="C189" s="247" t="s">
        <v>1343</v>
      </c>
      <c r="D189" s="577" t="s">
        <v>295</v>
      </c>
      <c r="E189" s="102"/>
      <c r="F189" s="328">
        <v>134949</v>
      </c>
      <c r="G189" s="105"/>
      <c r="H189" s="105"/>
      <c r="I189" s="105"/>
      <c r="J189" s="15"/>
      <c r="K189" s="15"/>
      <c r="L189" s="15"/>
      <c r="M189" s="15"/>
      <c r="N189" s="15"/>
      <c r="O189" s="105"/>
      <c r="P189" s="105"/>
      <c r="Q189" s="16">
        <f t="shared" si="12"/>
        <v>0</v>
      </c>
      <c r="R189" s="646"/>
    </row>
    <row r="190" spans="1:18" ht="12" hidden="1">
      <c r="A190" s="112"/>
      <c r="B190" s="112"/>
      <c r="C190" s="247" t="s">
        <v>367</v>
      </c>
      <c r="D190" s="577" t="s">
        <v>296</v>
      </c>
      <c r="E190" s="102"/>
      <c r="F190" s="328">
        <v>134973</v>
      </c>
      <c r="G190" s="105"/>
      <c r="H190" s="105"/>
      <c r="I190" s="105"/>
      <c r="J190" s="15"/>
      <c r="K190" s="15"/>
      <c r="L190" s="15"/>
      <c r="M190" s="15"/>
      <c r="N190" s="15"/>
      <c r="O190" s="105"/>
      <c r="P190" s="105"/>
      <c r="Q190" s="16">
        <f t="shared" si="12"/>
        <v>0</v>
      </c>
      <c r="R190" s="646"/>
    </row>
    <row r="191" spans="1:18" ht="48" hidden="1">
      <c r="A191" s="112"/>
      <c r="B191" s="112"/>
      <c r="C191" s="247" t="s">
        <v>1344</v>
      </c>
      <c r="D191" s="577" t="s">
        <v>72</v>
      </c>
      <c r="E191" s="102"/>
      <c r="F191" s="328">
        <v>132940</v>
      </c>
      <c r="G191" s="105"/>
      <c r="H191" s="105"/>
      <c r="I191" s="15"/>
      <c r="J191" s="15"/>
      <c r="K191" s="15"/>
      <c r="L191" s="15"/>
      <c r="M191" s="15"/>
      <c r="N191" s="15"/>
      <c r="O191" s="105"/>
      <c r="P191" s="105"/>
      <c r="Q191" s="16">
        <f t="shared" si="12"/>
        <v>0</v>
      </c>
      <c r="R191" s="646"/>
    </row>
    <row r="192" spans="1:18" ht="12">
      <c r="A192" s="112"/>
      <c r="B192" s="112"/>
      <c r="C192" s="247" t="s">
        <v>831</v>
      </c>
      <c r="D192" s="340" t="s">
        <v>832</v>
      </c>
      <c r="E192" s="102"/>
      <c r="F192" s="328">
        <v>132980</v>
      </c>
      <c r="G192" s="105"/>
      <c r="H192" s="105"/>
      <c r="I192" s="15"/>
      <c r="J192" s="15"/>
      <c r="K192" s="15"/>
      <c r="L192" s="15">
        <v>-579</v>
      </c>
      <c r="M192" s="15">
        <v>579</v>
      </c>
      <c r="N192" s="15"/>
      <c r="O192" s="105"/>
      <c r="P192" s="105"/>
      <c r="Q192" s="16">
        <f t="shared" si="12"/>
        <v>0</v>
      </c>
      <c r="R192" s="646" t="s">
        <v>1178</v>
      </c>
    </row>
    <row r="193" spans="1:18" ht="13.5" hidden="1">
      <c r="A193" s="112"/>
      <c r="B193" s="112"/>
      <c r="C193" s="247" t="s">
        <v>1341</v>
      </c>
      <c r="D193" s="578" t="s">
        <v>1340</v>
      </c>
      <c r="E193" s="102"/>
      <c r="F193" s="328"/>
      <c r="G193" s="105"/>
      <c r="H193" s="105"/>
      <c r="I193" s="105"/>
      <c r="J193" s="15"/>
      <c r="K193" s="15"/>
      <c r="L193" s="105"/>
      <c r="M193" s="105"/>
      <c r="N193" s="15"/>
      <c r="O193" s="15"/>
      <c r="P193" s="105"/>
      <c r="Q193" s="16"/>
      <c r="R193" s="646"/>
    </row>
    <row r="194" spans="1:18" ht="12" hidden="1">
      <c r="A194" s="112"/>
      <c r="B194" s="112"/>
      <c r="C194" s="247" t="s">
        <v>1345</v>
      </c>
      <c r="D194" s="579" t="s">
        <v>894</v>
      </c>
      <c r="E194" s="102"/>
      <c r="F194" s="328">
        <v>134911</v>
      </c>
      <c r="G194" s="105"/>
      <c r="H194" s="105"/>
      <c r="I194" s="105"/>
      <c r="J194" s="15"/>
      <c r="K194" s="15"/>
      <c r="L194" s="15"/>
      <c r="M194" s="15"/>
      <c r="N194" s="15"/>
      <c r="O194" s="15"/>
      <c r="P194" s="105"/>
      <c r="Q194" s="16">
        <f aca="true" t="shared" si="13" ref="Q194:Q202">SUM(G194:P194)</f>
        <v>0</v>
      </c>
      <c r="R194" s="646" t="s">
        <v>1180</v>
      </c>
    </row>
    <row r="195" spans="1:18" ht="12" hidden="1">
      <c r="A195" s="112"/>
      <c r="B195" s="112"/>
      <c r="C195" s="247" t="s">
        <v>1346</v>
      </c>
      <c r="D195" s="580" t="s">
        <v>297</v>
      </c>
      <c r="E195" s="102"/>
      <c r="F195" s="328">
        <v>134914</v>
      </c>
      <c r="G195" s="105"/>
      <c r="H195" s="105"/>
      <c r="I195" s="105"/>
      <c r="J195" s="15"/>
      <c r="K195" s="15"/>
      <c r="L195" s="15"/>
      <c r="M195" s="15"/>
      <c r="N195" s="15"/>
      <c r="O195" s="15"/>
      <c r="P195" s="105"/>
      <c r="Q195" s="16">
        <f t="shared" si="13"/>
        <v>0</v>
      </c>
      <c r="R195" s="646"/>
    </row>
    <row r="196" spans="1:18" ht="12" hidden="1">
      <c r="A196" s="112"/>
      <c r="B196" s="112"/>
      <c r="C196" s="247" t="s">
        <v>1347</v>
      </c>
      <c r="D196" s="581" t="s">
        <v>893</v>
      </c>
      <c r="E196" s="102"/>
      <c r="F196" s="328">
        <v>134960</v>
      </c>
      <c r="G196" s="105"/>
      <c r="H196" s="105"/>
      <c r="I196" s="105"/>
      <c r="J196" s="15"/>
      <c r="K196" s="15"/>
      <c r="L196" s="15"/>
      <c r="M196" s="15"/>
      <c r="N196" s="15"/>
      <c r="O196" s="105"/>
      <c r="P196" s="105"/>
      <c r="Q196" s="16">
        <f t="shared" si="13"/>
        <v>0</v>
      </c>
      <c r="R196" s="646"/>
    </row>
    <row r="197" spans="1:18" ht="12" hidden="1">
      <c r="A197" s="112"/>
      <c r="B197" s="112"/>
      <c r="C197" s="247" t="s">
        <v>1348</v>
      </c>
      <c r="D197" s="577" t="s">
        <v>298</v>
      </c>
      <c r="E197" s="102"/>
      <c r="F197" s="328">
        <v>134915</v>
      </c>
      <c r="G197" s="105"/>
      <c r="H197" s="105"/>
      <c r="I197" s="105"/>
      <c r="J197" s="15"/>
      <c r="K197" s="15"/>
      <c r="L197" s="15"/>
      <c r="M197" s="15"/>
      <c r="N197" s="15"/>
      <c r="O197" s="105"/>
      <c r="P197" s="105"/>
      <c r="Q197" s="16">
        <f t="shared" si="13"/>
        <v>0</v>
      </c>
      <c r="R197" s="646"/>
    </row>
    <row r="198" spans="1:18" ht="12" hidden="1">
      <c r="A198" s="112"/>
      <c r="B198" s="112"/>
      <c r="C198" s="247" t="s">
        <v>1349</v>
      </c>
      <c r="D198" s="577" t="s">
        <v>299</v>
      </c>
      <c r="E198" s="102"/>
      <c r="F198" s="328">
        <v>134961</v>
      </c>
      <c r="G198" s="105"/>
      <c r="H198" s="105"/>
      <c r="I198" s="105"/>
      <c r="J198" s="15"/>
      <c r="K198" s="15"/>
      <c r="L198" s="15"/>
      <c r="M198" s="15"/>
      <c r="N198" s="15"/>
      <c r="O198" s="105"/>
      <c r="P198" s="105"/>
      <c r="Q198" s="16">
        <f t="shared" si="13"/>
        <v>0</v>
      </c>
      <c r="R198" s="646"/>
    </row>
    <row r="199" spans="1:18" ht="12" hidden="1">
      <c r="A199" s="112"/>
      <c r="B199" s="112"/>
      <c r="C199" s="247" t="s">
        <v>1350</v>
      </c>
      <c r="D199" s="577" t="s">
        <v>300</v>
      </c>
      <c r="E199" s="102"/>
      <c r="F199" s="328">
        <v>132912</v>
      </c>
      <c r="G199" s="105"/>
      <c r="H199" s="105"/>
      <c r="I199" s="105"/>
      <c r="J199" s="15"/>
      <c r="K199" s="15"/>
      <c r="L199" s="15"/>
      <c r="M199" s="15"/>
      <c r="N199" s="15"/>
      <c r="O199" s="105"/>
      <c r="P199" s="105"/>
      <c r="Q199" s="16">
        <f t="shared" si="13"/>
        <v>0</v>
      </c>
      <c r="R199" s="646"/>
    </row>
    <row r="200" spans="1:18" ht="12" hidden="1">
      <c r="A200" s="112"/>
      <c r="B200" s="112"/>
      <c r="C200" s="247" t="s">
        <v>662</v>
      </c>
      <c r="D200" s="654" t="s">
        <v>661</v>
      </c>
      <c r="E200" s="102"/>
      <c r="F200" s="328">
        <v>132950</v>
      </c>
      <c r="G200" s="105"/>
      <c r="H200" s="105"/>
      <c r="I200" s="105"/>
      <c r="J200" s="15"/>
      <c r="K200" s="15"/>
      <c r="L200" s="15"/>
      <c r="M200" s="15"/>
      <c r="N200" s="15"/>
      <c r="O200" s="105"/>
      <c r="P200" s="105"/>
      <c r="Q200" s="16">
        <f t="shared" si="13"/>
        <v>0</v>
      </c>
      <c r="R200" s="646"/>
    </row>
    <row r="201" spans="1:18" ht="24" hidden="1">
      <c r="A201" s="112"/>
      <c r="B201" s="112"/>
      <c r="C201" s="247" t="s">
        <v>306</v>
      </c>
      <c r="D201" s="654" t="s">
        <v>307</v>
      </c>
      <c r="E201" s="102"/>
      <c r="F201" s="328">
        <v>134951</v>
      </c>
      <c r="G201" s="105"/>
      <c r="H201" s="105"/>
      <c r="I201" s="15"/>
      <c r="J201" s="15"/>
      <c r="K201" s="15"/>
      <c r="L201" s="15"/>
      <c r="M201" s="15"/>
      <c r="N201" s="15"/>
      <c r="O201" s="105"/>
      <c r="P201" s="105"/>
      <c r="Q201" s="16">
        <f t="shared" si="13"/>
        <v>0</v>
      </c>
      <c r="R201" s="646"/>
    </row>
    <row r="202" spans="1:18" ht="24" hidden="1">
      <c r="A202" s="112"/>
      <c r="B202" s="112"/>
      <c r="C202" s="247" t="s">
        <v>1181</v>
      </c>
      <c r="D202" s="678" t="s">
        <v>1182</v>
      </c>
      <c r="E202" s="102"/>
      <c r="F202" s="328">
        <v>134979</v>
      </c>
      <c r="G202" s="105"/>
      <c r="H202" s="105"/>
      <c r="I202" s="105"/>
      <c r="J202" s="15"/>
      <c r="K202" s="15"/>
      <c r="L202" s="15"/>
      <c r="M202" s="15"/>
      <c r="N202" s="15"/>
      <c r="O202" s="105"/>
      <c r="P202" s="105"/>
      <c r="Q202" s="16">
        <f t="shared" si="13"/>
        <v>0</v>
      </c>
      <c r="R202" s="646" t="s">
        <v>1180</v>
      </c>
    </row>
    <row r="203" spans="1:18" ht="13.5" hidden="1">
      <c r="A203" s="112"/>
      <c r="B203" s="112"/>
      <c r="C203" s="247" t="s">
        <v>1351</v>
      </c>
      <c r="D203" s="582" t="s">
        <v>491</v>
      </c>
      <c r="E203" s="102"/>
      <c r="F203" s="328"/>
      <c r="G203" s="105"/>
      <c r="H203" s="105"/>
      <c r="I203" s="105"/>
      <c r="J203" s="15"/>
      <c r="K203" s="15"/>
      <c r="L203" s="15"/>
      <c r="M203" s="105"/>
      <c r="N203" s="15"/>
      <c r="O203" s="105"/>
      <c r="P203" s="105"/>
      <c r="Q203" s="16"/>
      <c r="R203" s="646"/>
    </row>
    <row r="204" spans="1:18" ht="12.75" hidden="1">
      <c r="A204" s="112"/>
      <c r="B204" s="112"/>
      <c r="C204" s="247" t="s">
        <v>1352</v>
      </c>
      <c r="D204" s="583" t="s">
        <v>1297</v>
      </c>
      <c r="E204" s="102"/>
      <c r="F204" s="328">
        <v>132970</v>
      </c>
      <c r="G204" s="105"/>
      <c r="H204" s="105"/>
      <c r="I204" s="105"/>
      <c r="J204" s="15"/>
      <c r="K204" s="15"/>
      <c r="L204" s="15"/>
      <c r="M204" s="15"/>
      <c r="N204" s="15"/>
      <c r="O204" s="105"/>
      <c r="P204" s="105"/>
      <c r="Q204" s="16">
        <f>SUM(G204:P204)</f>
        <v>0</v>
      </c>
      <c r="R204" s="646"/>
    </row>
    <row r="205" spans="1:18" ht="25.5" hidden="1">
      <c r="A205" s="112"/>
      <c r="B205" s="112"/>
      <c r="C205" s="247" t="s">
        <v>1353</v>
      </c>
      <c r="D205" s="583" t="s">
        <v>636</v>
      </c>
      <c r="E205" s="102"/>
      <c r="F205" s="328">
        <v>132971</v>
      </c>
      <c r="G205" s="105"/>
      <c r="H205" s="105"/>
      <c r="I205" s="105"/>
      <c r="J205" s="15"/>
      <c r="K205" s="15"/>
      <c r="L205" s="15"/>
      <c r="M205" s="15"/>
      <c r="N205" s="15"/>
      <c r="O205" s="105"/>
      <c r="P205" s="105"/>
      <c r="Q205" s="16">
        <f>SUM(G205:P205)</f>
        <v>0</v>
      </c>
      <c r="R205" s="646"/>
    </row>
    <row r="206" spans="1:18" ht="12.75" hidden="1">
      <c r="A206" s="112"/>
      <c r="B206" s="112"/>
      <c r="C206" s="348" t="s">
        <v>425</v>
      </c>
      <c r="D206" s="670" t="s">
        <v>660</v>
      </c>
      <c r="E206" s="671"/>
      <c r="F206" s="328">
        <v>132972</v>
      </c>
      <c r="G206" s="105"/>
      <c r="H206" s="105"/>
      <c r="I206" s="105"/>
      <c r="J206" s="15"/>
      <c r="K206" s="15"/>
      <c r="L206" s="15"/>
      <c r="M206" s="15"/>
      <c r="N206" s="15"/>
      <c r="O206" s="105"/>
      <c r="P206" s="105"/>
      <c r="Q206" s="16">
        <f>SUM(G206:P206)</f>
        <v>0</v>
      </c>
      <c r="R206" s="646"/>
    </row>
    <row r="207" spans="1:18" ht="25.5" hidden="1">
      <c r="A207" s="112"/>
      <c r="B207" s="112"/>
      <c r="C207" s="112" t="s">
        <v>201</v>
      </c>
      <c r="D207" s="672" t="s">
        <v>202</v>
      </c>
      <c r="E207" s="102"/>
      <c r="F207" s="328">
        <v>134978</v>
      </c>
      <c r="G207" s="105"/>
      <c r="H207" s="105"/>
      <c r="I207" s="105"/>
      <c r="J207" s="15"/>
      <c r="K207" s="15"/>
      <c r="L207" s="15"/>
      <c r="M207" s="15"/>
      <c r="N207" s="15"/>
      <c r="O207" s="105"/>
      <c r="P207" s="105"/>
      <c r="Q207" s="16">
        <f>SUM(G207:P207)</f>
        <v>0</v>
      </c>
      <c r="R207" s="646"/>
    </row>
    <row r="208" spans="1:18" ht="13.5" hidden="1">
      <c r="A208" s="112"/>
      <c r="B208" s="112"/>
      <c r="C208" s="254" t="s">
        <v>1287</v>
      </c>
      <c r="D208" s="557" t="s">
        <v>1115</v>
      </c>
      <c r="E208" s="102"/>
      <c r="F208" s="328"/>
      <c r="G208" s="105"/>
      <c r="H208" s="105"/>
      <c r="I208" s="105"/>
      <c r="J208" s="15"/>
      <c r="K208" s="15"/>
      <c r="L208" s="105"/>
      <c r="M208" s="105"/>
      <c r="N208" s="15"/>
      <c r="O208" s="15"/>
      <c r="P208" s="105"/>
      <c r="Q208" s="16"/>
      <c r="R208" s="646"/>
    </row>
    <row r="209" spans="1:18" ht="12.75" hidden="1">
      <c r="A209" s="112"/>
      <c r="B209" s="112"/>
      <c r="C209" s="247" t="s">
        <v>1053</v>
      </c>
      <c r="D209" s="255" t="s">
        <v>1037</v>
      </c>
      <c r="E209" s="102"/>
      <c r="F209" s="328">
        <v>132973</v>
      </c>
      <c r="G209" s="105"/>
      <c r="H209" s="105"/>
      <c r="I209" s="105"/>
      <c r="J209" s="15"/>
      <c r="K209" s="15"/>
      <c r="L209" s="15"/>
      <c r="M209" s="105"/>
      <c r="N209" s="15"/>
      <c r="O209" s="15"/>
      <c r="P209" s="105"/>
      <c r="Q209" s="16">
        <f>SUM(G209:P209)</f>
        <v>0</v>
      </c>
      <c r="R209" s="646"/>
    </row>
    <row r="210" spans="1:18" ht="12.75" hidden="1">
      <c r="A210" s="112"/>
      <c r="B210" s="112"/>
      <c r="C210" s="247" t="s">
        <v>308</v>
      </c>
      <c r="D210" s="255" t="s">
        <v>309</v>
      </c>
      <c r="E210" s="102"/>
      <c r="F210" s="328">
        <v>132976</v>
      </c>
      <c r="G210" s="105"/>
      <c r="H210" s="105"/>
      <c r="I210" s="105"/>
      <c r="J210" s="15"/>
      <c r="K210" s="15"/>
      <c r="L210" s="15"/>
      <c r="M210" s="105"/>
      <c r="N210" s="15"/>
      <c r="O210" s="15"/>
      <c r="P210" s="105"/>
      <c r="Q210" s="16">
        <f>SUM(G210:P210)</f>
        <v>0</v>
      </c>
      <c r="R210" s="646" t="s">
        <v>1178</v>
      </c>
    </row>
    <row r="211" spans="1:18" ht="13.5" hidden="1">
      <c r="A211" s="112"/>
      <c r="B211" s="112"/>
      <c r="C211" s="254" t="s">
        <v>1289</v>
      </c>
      <c r="D211" s="369" t="s">
        <v>501</v>
      </c>
      <c r="E211" s="102"/>
      <c r="F211" s="328"/>
      <c r="G211" s="105"/>
      <c r="H211" s="105"/>
      <c r="I211" s="105"/>
      <c r="J211" s="15"/>
      <c r="K211" s="15"/>
      <c r="L211" s="15"/>
      <c r="M211" s="105"/>
      <c r="N211" s="15"/>
      <c r="O211" s="15"/>
      <c r="P211" s="105"/>
      <c r="Q211" s="16"/>
      <c r="R211" s="646"/>
    </row>
    <row r="212" spans="1:18" ht="12.75" hidden="1">
      <c r="A212" s="112"/>
      <c r="B212" s="112"/>
      <c r="C212" s="247" t="s">
        <v>1354</v>
      </c>
      <c r="D212" s="584" t="s">
        <v>1356</v>
      </c>
      <c r="E212" s="102"/>
      <c r="F212" s="328">
        <v>134926</v>
      </c>
      <c r="G212" s="105"/>
      <c r="H212" s="105"/>
      <c r="I212" s="105"/>
      <c r="J212" s="15"/>
      <c r="K212" s="15"/>
      <c r="L212" s="15"/>
      <c r="M212" s="15"/>
      <c r="N212" s="15"/>
      <c r="O212" s="105"/>
      <c r="P212" s="105"/>
      <c r="Q212" s="16">
        <f>SUM(G212:P212)</f>
        <v>0</v>
      </c>
      <c r="R212" s="646"/>
    </row>
    <row r="213" spans="1:18" ht="12.75" hidden="1">
      <c r="A213" s="112"/>
      <c r="B213" s="112"/>
      <c r="C213" s="247" t="s">
        <v>1355</v>
      </c>
      <c r="D213" s="585" t="s">
        <v>301</v>
      </c>
      <c r="E213" s="102"/>
      <c r="F213" s="328">
        <v>134974</v>
      </c>
      <c r="G213" s="105"/>
      <c r="H213" s="105"/>
      <c r="I213" s="105"/>
      <c r="J213" s="15"/>
      <c r="K213" s="15"/>
      <c r="L213" s="15"/>
      <c r="M213" s="15"/>
      <c r="N213" s="15"/>
      <c r="O213" s="105"/>
      <c r="P213" s="105"/>
      <c r="Q213" s="16">
        <f>SUM(G213:P213)</f>
        <v>0</v>
      </c>
      <c r="R213" s="646"/>
    </row>
    <row r="214" spans="1:18" ht="12.75" hidden="1">
      <c r="A214" s="112"/>
      <c r="B214" s="112"/>
      <c r="C214" s="247" t="s">
        <v>427</v>
      </c>
      <c r="D214" s="585" t="s">
        <v>302</v>
      </c>
      <c r="E214" s="102"/>
      <c r="F214" s="328">
        <v>134975</v>
      </c>
      <c r="G214" s="105"/>
      <c r="H214" s="105"/>
      <c r="I214" s="105"/>
      <c r="J214" s="15"/>
      <c r="K214" s="15"/>
      <c r="L214" s="15"/>
      <c r="M214" s="15"/>
      <c r="N214" s="15"/>
      <c r="O214" s="105"/>
      <c r="P214" s="105"/>
      <c r="Q214" s="16">
        <f>SUM(G214:P214)</f>
        <v>0</v>
      </c>
      <c r="R214" s="646"/>
    </row>
    <row r="215" spans="1:18" ht="12" hidden="1">
      <c r="A215" s="112"/>
      <c r="B215" s="112"/>
      <c r="C215" s="254" t="s">
        <v>1290</v>
      </c>
      <c r="D215" s="228" t="s">
        <v>502</v>
      </c>
      <c r="E215" s="102"/>
      <c r="F215" s="328"/>
      <c r="G215" s="105"/>
      <c r="H215" s="105"/>
      <c r="I215" s="105"/>
      <c r="J215" s="15"/>
      <c r="K215" s="15"/>
      <c r="L215" s="15"/>
      <c r="M215" s="105"/>
      <c r="N215" s="15"/>
      <c r="O215" s="15"/>
      <c r="P215" s="105"/>
      <c r="Q215" s="16"/>
      <c r="R215" s="646"/>
    </row>
    <row r="216" spans="1:18" ht="12.75" hidden="1">
      <c r="A216" s="112"/>
      <c r="B216" s="112"/>
      <c r="C216" s="247" t="s">
        <v>1292</v>
      </c>
      <c r="D216" s="586" t="s">
        <v>774</v>
      </c>
      <c r="E216" s="102"/>
      <c r="F216" s="328">
        <v>134964</v>
      </c>
      <c r="G216" s="105"/>
      <c r="H216" s="105"/>
      <c r="I216" s="105"/>
      <c r="J216" s="15"/>
      <c r="K216" s="15"/>
      <c r="L216" s="15"/>
      <c r="M216" s="15"/>
      <c r="N216" s="15"/>
      <c r="O216" s="105"/>
      <c r="P216" s="105"/>
      <c r="Q216" s="16">
        <f>SUM(G216:P216)</f>
        <v>0</v>
      </c>
      <c r="R216" s="646"/>
    </row>
    <row r="217" spans="1:18" ht="12.75" hidden="1">
      <c r="A217" s="112"/>
      <c r="B217" s="112"/>
      <c r="C217" s="247" t="s">
        <v>806</v>
      </c>
      <c r="D217" s="586" t="s">
        <v>1403</v>
      </c>
      <c r="E217" s="102"/>
      <c r="F217" s="328">
        <v>132974</v>
      </c>
      <c r="G217" s="105"/>
      <c r="H217" s="105"/>
      <c r="I217" s="105"/>
      <c r="J217" s="15"/>
      <c r="K217" s="15"/>
      <c r="L217" s="15"/>
      <c r="M217" s="15"/>
      <c r="N217" s="15"/>
      <c r="O217" s="105"/>
      <c r="P217" s="105"/>
      <c r="Q217" s="16">
        <f>SUM(G217:P217)</f>
        <v>0</v>
      </c>
      <c r="R217" s="646" t="s">
        <v>1178</v>
      </c>
    </row>
    <row r="218" spans="1:18" ht="25.5" hidden="1">
      <c r="A218" s="112"/>
      <c r="B218" s="112"/>
      <c r="C218" s="247" t="s">
        <v>310</v>
      </c>
      <c r="D218" s="657" t="s">
        <v>311</v>
      </c>
      <c r="E218" s="102"/>
      <c r="F218" s="328">
        <v>132975</v>
      </c>
      <c r="G218" s="105"/>
      <c r="H218" s="105"/>
      <c r="I218" s="105"/>
      <c r="J218" s="15"/>
      <c r="K218" s="15"/>
      <c r="L218" s="15"/>
      <c r="M218" s="15"/>
      <c r="N218" s="15"/>
      <c r="O218" s="105"/>
      <c r="P218" s="105"/>
      <c r="Q218" s="16">
        <f>SUM(G218:P218)</f>
        <v>0</v>
      </c>
      <c r="R218" s="646"/>
    </row>
    <row r="219" spans="1:18" ht="12.75" hidden="1">
      <c r="A219" s="112"/>
      <c r="B219" s="112"/>
      <c r="C219" s="247" t="s">
        <v>1183</v>
      </c>
      <c r="D219" s="679" t="s">
        <v>1184</v>
      </c>
      <c r="E219" s="102"/>
      <c r="F219" s="328">
        <v>132977</v>
      </c>
      <c r="G219" s="105"/>
      <c r="H219" s="105"/>
      <c r="I219" s="105"/>
      <c r="J219" s="15"/>
      <c r="K219" s="15"/>
      <c r="L219" s="15"/>
      <c r="M219" s="15"/>
      <c r="N219" s="15"/>
      <c r="O219" s="105"/>
      <c r="P219" s="105"/>
      <c r="Q219" s="16">
        <f>SUM(G219:P219)</f>
        <v>0</v>
      </c>
      <c r="R219" s="646"/>
    </row>
    <row r="220" spans="1:18" ht="12.75" hidden="1">
      <c r="A220" s="112"/>
      <c r="B220" s="112"/>
      <c r="C220" s="247" t="s">
        <v>833</v>
      </c>
      <c r="D220" s="679" t="s">
        <v>834</v>
      </c>
      <c r="E220" s="102"/>
      <c r="F220" s="328">
        <v>132979</v>
      </c>
      <c r="G220" s="105"/>
      <c r="H220" s="105"/>
      <c r="I220" s="105"/>
      <c r="J220" s="15"/>
      <c r="K220" s="15"/>
      <c r="L220" s="15"/>
      <c r="M220" s="15"/>
      <c r="N220" s="15"/>
      <c r="O220" s="105"/>
      <c r="P220" s="105"/>
      <c r="Q220" s="16">
        <f>SUM(G220:P220)</f>
        <v>0</v>
      </c>
      <c r="R220" s="646" t="s">
        <v>1180</v>
      </c>
    </row>
    <row r="221" spans="1:18" ht="13.5" hidden="1">
      <c r="A221" s="112"/>
      <c r="B221" s="112"/>
      <c r="C221" s="112" t="s">
        <v>1252</v>
      </c>
      <c r="D221" s="587" t="s">
        <v>602</v>
      </c>
      <c r="E221" s="102"/>
      <c r="F221" s="328"/>
      <c r="G221" s="105"/>
      <c r="H221" s="105"/>
      <c r="I221" s="105"/>
      <c r="J221" s="15"/>
      <c r="K221" s="15"/>
      <c r="L221" s="15"/>
      <c r="M221" s="15"/>
      <c r="N221" s="15"/>
      <c r="O221" s="105"/>
      <c r="P221" s="105"/>
      <c r="Q221" s="16"/>
      <c r="R221" s="646"/>
    </row>
    <row r="222" spans="1:18" ht="12" hidden="1">
      <c r="A222" s="112"/>
      <c r="B222" s="112"/>
      <c r="C222" s="100" t="s">
        <v>1249</v>
      </c>
      <c r="D222" s="581" t="s">
        <v>336</v>
      </c>
      <c r="E222" s="114"/>
      <c r="F222" s="113">
        <v>134976</v>
      </c>
      <c r="G222" s="122"/>
      <c r="H222" s="122"/>
      <c r="I222" s="122"/>
      <c r="J222" s="122"/>
      <c r="K222" s="122"/>
      <c r="L222" s="123"/>
      <c r="M222" s="123"/>
      <c r="N222" s="123"/>
      <c r="O222" s="122"/>
      <c r="P222" s="122"/>
      <c r="Q222" s="124">
        <f aca="true" t="shared" si="14" ref="Q222:Q233">SUM(G222:P222)</f>
        <v>0</v>
      </c>
      <c r="R222" s="646"/>
    </row>
    <row r="223" spans="1:18" ht="25.5" hidden="1">
      <c r="A223" s="112"/>
      <c r="B223" s="112"/>
      <c r="C223" s="100" t="s">
        <v>142</v>
      </c>
      <c r="D223" s="294" t="s">
        <v>629</v>
      </c>
      <c r="E223" s="114"/>
      <c r="F223" s="331">
        <v>134977</v>
      </c>
      <c r="G223" s="122"/>
      <c r="H223" s="122"/>
      <c r="I223" s="122"/>
      <c r="J223" s="122"/>
      <c r="K223" s="122"/>
      <c r="L223" s="123"/>
      <c r="M223" s="123"/>
      <c r="N223" s="123"/>
      <c r="O223" s="122"/>
      <c r="P223" s="122"/>
      <c r="Q223" s="124">
        <f t="shared" si="14"/>
        <v>0</v>
      </c>
      <c r="R223" s="646"/>
    </row>
    <row r="224" spans="1:18" ht="12" hidden="1">
      <c r="A224" s="112"/>
      <c r="B224" s="112"/>
      <c r="C224" s="247"/>
      <c r="D224" s="183" t="s">
        <v>421</v>
      </c>
      <c r="E224" s="102"/>
      <c r="F224" s="328"/>
      <c r="G224" s="105"/>
      <c r="H224" s="105"/>
      <c r="I224" s="105"/>
      <c r="J224" s="15"/>
      <c r="K224" s="15"/>
      <c r="L224" s="15"/>
      <c r="M224" s="105"/>
      <c r="N224" s="15"/>
      <c r="O224" s="15"/>
      <c r="P224" s="105"/>
      <c r="Q224" s="124"/>
      <c r="R224" s="646"/>
    </row>
    <row r="225" spans="1:18" ht="25.5" hidden="1">
      <c r="A225" s="112"/>
      <c r="B225" s="112"/>
      <c r="C225" s="244" t="s">
        <v>987</v>
      </c>
      <c r="D225" s="588" t="s">
        <v>422</v>
      </c>
      <c r="E225" s="102"/>
      <c r="F225" s="328">
        <v>132919</v>
      </c>
      <c r="G225" s="105"/>
      <c r="H225" s="105"/>
      <c r="I225" s="105"/>
      <c r="J225" s="15"/>
      <c r="K225" s="15"/>
      <c r="L225" s="15"/>
      <c r="M225" s="105"/>
      <c r="N225" s="15"/>
      <c r="O225" s="15"/>
      <c r="P225" s="105"/>
      <c r="Q225" s="124">
        <f t="shared" si="14"/>
        <v>0</v>
      </c>
      <c r="R225" s="646"/>
    </row>
    <row r="226" spans="1:18" ht="16.5" customHeight="1" hidden="1">
      <c r="A226" s="112"/>
      <c r="B226" s="112"/>
      <c r="C226" s="244" t="s">
        <v>988</v>
      </c>
      <c r="D226" s="16" t="s">
        <v>423</v>
      </c>
      <c r="E226" s="102"/>
      <c r="F226" s="328">
        <v>134966</v>
      </c>
      <c r="G226" s="105"/>
      <c r="H226" s="105"/>
      <c r="I226" s="105"/>
      <c r="J226" s="15"/>
      <c r="K226" s="15"/>
      <c r="L226" s="15"/>
      <c r="M226" s="15"/>
      <c r="N226" s="15"/>
      <c r="O226" s="15"/>
      <c r="P226" s="105"/>
      <c r="Q226" s="124">
        <f t="shared" si="14"/>
        <v>0</v>
      </c>
      <c r="R226" s="646"/>
    </row>
    <row r="227" spans="1:18" ht="24" hidden="1">
      <c r="A227" s="112"/>
      <c r="B227" s="112"/>
      <c r="C227" s="244" t="s">
        <v>989</v>
      </c>
      <c r="D227" s="224" t="s">
        <v>426</v>
      </c>
      <c r="E227" s="102"/>
      <c r="F227" s="100">
        <v>132949</v>
      </c>
      <c r="G227" s="105"/>
      <c r="H227" s="105"/>
      <c r="I227" s="105"/>
      <c r="J227" s="15"/>
      <c r="K227" s="15"/>
      <c r="L227" s="15"/>
      <c r="M227" s="15"/>
      <c r="N227" s="15"/>
      <c r="O227" s="15"/>
      <c r="P227" s="105"/>
      <c r="Q227" s="124">
        <f t="shared" si="14"/>
        <v>0</v>
      </c>
      <c r="R227" s="646"/>
    </row>
    <row r="228" spans="1:18" ht="16.5" customHeight="1" hidden="1">
      <c r="A228" s="112"/>
      <c r="B228" s="112"/>
      <c r="C228" s="244" t="s">
        <v>1357</v>
      </c>
      <c r="D228" s="224" t="s">
        <v>424</v>
      </c>
      <c r="E228" s="102"/>
      <c r="F228" s="328">
        <v>132964</v>
      </c>
      <c r="G228" s="105"/>
      <c r="H228" s="105"/>
      <c r="I228" s="105"/>
      <c r="J228" s="15"/>
      <c r="K228" s="15"/>
      <c r="L228" s="15"/>
      <c r="M228" s="105"/>
      <c r="N228" s="15"/>
      <c r="O228" s="15"/>
      <c r="P228" s="105"/>
      <c r="Q228" s="124">
        <f t="shared" si="14"/>
        <v>0</v>
      </c>
      <c r="R228" s="646"/>
    </row>
    <row r="229" spans="1:18" ht="21.75" customHeight="1" hidden="1">
      <c r="A229" s="112"/>
      <c r="B229" s="112"/>
      <c r="C229" s="244" t="s">
        <v>1358</v>
      </c>
      <c r="D229" s="330" t="s">
        <v>921</v>
      </c>
      <c r="E229" s="102"/>
      <c r="F229" s="328">
        <v>132966</v>
      </c>
      <c r="G229" s="105"/>
      <c r="H229" s="105"/>
      <c r="I229" s="105"/>
      <c r="J229" s="15"/>
      <c r="K229" s="15"/>
      <c r="L229" s="15"/>
      <c r="M229" s="15"/>
      <c r="N229" s="15"/>
      <c r="O229" s="15"/>
      <c r="P229" s="105"/>
      <c r="Q229" s="124">
        <f t="shared" si="14"/>
        <v>0</v>
      </c>
      <c r="R229" s="646" t="s">
        <v>1180</v>
      </c>
    </row>
    <row r="230" spans="1:18" ht="12.75" hidden="1">
      <c r="A230" s="112"/>
      <c r="B230" s="112"/>
      <c r="C230" s="244" t="s">
        <v>1359</v>
      </c>
      <c r="D230" s="330" t="s">
        <v>922</v>
      </c>
      <c r="E230" s="102"/>
      <c r="F230" s="328">
        <v>132967</v>
      </c>
      <c r="G230" s="105"/>
      <c r="H230" s="105"/>
      <c r="I230" s="105"/>
      <c r="J230" s="15"/>
      <c r="K230" s="15"/>
      <c r="L230" s="15"/>
      <c r="M230" s="105"/>
      <c r="N230" s="15"/>
      <c r="O230" s="15"/>
      <c r="P230" s="105"/>
      <c r="Q230" s="124">
        <f t="shared" si="14"/>
        <v>0</v>
      </c>
      <c r="R230" s="646"/>
    </row>
    <row r="231" spans="1:18" ht="27" customHeight="1" hidden="1">
      <c r="A231" s="112"/>
      <c r="B231" s="112"/>
      <c r="C231" s="244" t="s">
        <v>1360</v>
      </c>
      <c r="D231" s="347" t="s">
        <v>1335</v>
      </c>
      <c r="E231" s="102"/>
      <c r="F231" s="328">
        <v>132946</v>
      </c>
      <c r="G231" s="105"/>
      <c r="H231" s="105"/>
      <c r="I231" s="105"/>
      <c r="J231" s="15"/>
      <c r="K231" s="15"/>
      <c r="L231" s="15"/>
      <c r="M231" s="105"/>
      <c r="N231" s="15"/>
      <c r="O231" s="15"/>
      <c r="P231" s="105"/>
      <c r="Q231" s="16">
        <f t="shared" si="14"/>
        <v>0</v>
      </c>
      <c r="R231" s="646"/>
    </row>
    <row r="232" spans="1:18" ht="36" customHeight="1" hidden="1">
      <c r="A232" s="112"/>
      <c r="B232" s="112"/>
      <c r="C232" s="244" t="s">
        <v>503</v>
      </c>
      <c r="D232" s="589" t="s">
        <v>977</v>
      </c>
      <c r="E232" s="102"/>
      <c r="F232" s="328">
        <v>132941</v>
      </c>
      <c r="G232" s="105"/>
      <c r="H232" s="105"/>
      <c r="I232" s="105"/>
      <c r="J232" s="15"/>
      <c r="K232" s="15"/>
      <c r="L232" s="15"/>
      <c r="M232" s="105"/>
      <c r="N232" s="15"/>
      <c r="O232" s="15"/>
      <c r="P232" s="105"/>
      <c r="Q232" s="16">
        <f t="shared" si="14"/>
        <v>0</v>
      </c>
      <c r="R232" s="646"/>
    </row>
    <row r="233" spans="1:18" ht="18.75" customHeight="1" hidden="1">
      <c r="A233" s="112"/>
      <c r="B233" s="112"/>
      <c r="C233" s="244" t="s">
        <v>504</v>
      </c>
      <c r="D233" s="589" t="s">
        <v>1365</v>
      </c>
      <c r="E233" s="102"/>
      <c r="F233" s="328">
        <v>132911</v>
      </c>
      <c r="G233" s="105"/>
      <c r="H233" s="105"/>
      <c r="I233" s="105"/>
      <c r="J233" s="15"/>
      <c r="K233" s="15"/>
      <c r="L233" s="15"/>
      <c r="M233" s="105"/>
      <c r="N233" s="15"/>
      <c r="O233" s="15"/>
      <c r="P233" s="105"/>
      <c r="Q233" s="16">
        <f t="shared" si="14"/>
        <v>0</v>
      </c>
      <c r="R233" s="646" t="s">
        <v>1180</v>
      </c>
    </row>
    <row r="234" spans="1:18" ht="12.75" customHeight="1">
      <c r="A234" s="104"/>
      <c r="B234" s="104"/>
      <c r="C234" s="245"/>
      <c r="D234" s="177" t="s">
        <v>1488</v>
      </c>
      <c r="E234" s="107"/>
      <c r="F234" s="532"/>
      <c r="G234" s="111">
        <f aca="true" t="shared" si="15" ref="G234:Q234">SUM(G182:G233)</f>
        <v>-62</v>
      </c>
      <c r="H234" s="111">
        <f t="shared" si="15"/>
        <v>250</v>
      </c>
      <c r="I234" s="111">
        <f t="shared" si="15"/>
        <v>-102</v>
      </c>
      <c r="J234" s="111">
        <f t="shared" si="15"/>
        <v>0</v>
      </c>
      <c r="K234" s="111">
        <f t="shared" si="15"/>
        <v>-86</v>
      </c>
      <c r="L234" s="111">
        <f t="shared" si="15"/>
        <v>-579</v>
      </c>
      <c r="M234" s="111">
        <f t="shared" si="15"/>
        <v>579</v>
      </c>
      <c r="N234" s="111">
        <f t="shared" si="15"/>
        <v>0</v>
      </c>
      <c r="O234" s="111">
        <f t="shared" si="15"/>
        <v>0</v>
      </c>
      <c r="P234" s="111">
        <f t="shared" si="15"/>
        <v>0</v>
      </c>
      <c r="Q234" s="106">
        <f t="shared" si="15"/>
        <v>0</v>
      </c>
      <c r="R234" s="646"/>
    </row>
    <row r="235" spans="1:18" ht="12.75" customHeight="1">
      <c r="A235" s="112">
        <v>1</v>
      </c>
      <c r="B235" s="112">
        <v>14</v>
      </c>
      <c r="C235" s="247"/>
      <c r="D235" s="228" t="s">
        <v>459</v>
      </c>
      <c r="E235" s="109"/>
      <c r="F235" s="539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228"/>
      <c r="R235" s="646"/>
    </row>
    <row r="236" spans="1:18" ht="12.75" customHeight="1" hidden="1">
      <c r="A236" s="112"/>
      <c r="B236" s="112"/>
      <c r="C236" s="247"/>
      <c r="D236" s="236" t="s">
        <v>117</v>
      </c>
      <c r="E236" s="109"/>
      <c r="F236" s="539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228"/>
      <c r="R236" s="646"/>
    </row>
    <row r="237" spans="1:18" ht="12.75" customHeight="1" hidden="1">
      <c r="A237" s="112"/>
      <c r="B237" s="112"/>
      <c r="C237" s="247"/>
      <c r="D237" s="16" t="s">
        <v>461</v>
      </c>
      <c r="E237" s="15">
        <v>1</v>
      </c>
      <c r="F237" s="100">
        <v>171918</v>
      </c>
      <c r="G237" s="105"/>
      <c r="H237" s="105"/>
      <c r="I237" s="15"/>
      <c r="J237" s="15"/>
      <c r="K237" s="15"/>
      <c r="L237" s="15"/>
      <c r="M237" s="15"/>
      <c r="N237" s="15"/>
      <c r="O237" s="15"/>
      <c r="P237" s="15"/>
      <c r="Q237" s="16">
        <f>SUM(I237:P237)</f>
        <v>0</v>
      </c>
      <c r="R237" s="646" t="s">
        <v>1180</v>
      </c>
    </row>
    <row r="238" spans="1:18" ht="12.75" customHeight="1" hidden="1">
      <c r="A238" s="112"/>
      <c r="B238" s="112"/>
      <c r="C238" s="247"/>
      <c r="D238" s="16" t="s">
        <v>458</v>
      </c>
      <c r="E238" s="15">
        <v>1</v>
      </c>
      <c r="F238" s="100">
        <v>171926</v>
      </c>
      <c r="G238" s="105"/>
      <c r="H238" s="105"/>
      <c r="I238" s="15"/>
      <c r="J238" s="15"/>
      <c r="K238" s="15"/>
      <c r="L238" s="15"/>
      <c r="M238" s="15"/>
      <c r="N238" s="15"/>
      <c r="O238" s="15"/>
      <c r="P238" s="15"/>
      <c r="Q238" s="16">
        <f>SUM(I238:P238)</f>
        <v>0</v>
      </c>
      <c r="R238" s="646"/>
    </row>
    <row r="239" spans="1:18" ht="12.75" customHeight="1" hidden="1">
      <c r="A239" s="112"/>
      <c r="B239" s="112"/>
      <c r="C239" s="247"/>
      <c r="D239" s="16" t="s">
        <v>27</v>
      </c>
      <c r="E239" s="102">
        <v>1</v>
      </c>
      <c r="F239" s="328">
        <v>171967</v>
      </c>
      <c r="G239" s="105"/>
      <c r="H239" s="105"/>
      <c r="I239" s="15"/>
      <c r="J239" s="15"/>
      <c r="K239" s="15"/>
      <c r="L239" s="15"/>
      <c r="M239" s="15"/>
      <c r="N239" s="15"/>
      <c r="O239" s="15"/>
      <c r="P239" s="15"/>
      <c r="Q239" s="16">
        <f>SUM(I239:P239)</f>
        <v>0</v>
      </c>
      <c r="R239" s="646" t="s">
        <v>1178</v>
      </c>
    </row>
    <row r="240" spans="1:18" ht="12.75" customHeight="1" hidden="1">
      <c r="A240" s="112"/>
      <c r="B240" s="112"/>
      <c r="C240" s="247"/>
      <c r="D240" s="16" t="s">
        <v>1419</v>
      </c>
      <c r="E240" s="102">
        <v>1</v>
      </c>
      <c r="F240" s="328">
        <v>171922</v>
      </c>
      <c r="G240" s="105"/>
      <c r="H240" s="105"/>
      <c r="I240" s="15"/>
      <c r="J240" s="15"/>
      <c r="K240" s="15"/>
      <c r="L240" s="15"/>
      <c r="M240" s="15"/>
      <c r="N240" s="15"/>
      <c r="O240" s="15"/>
      <c r="P240" s="15"/>
      <c r="Q240" s="16">
        <f>SUM(I240:P240)</f>
        <v>0</v>
      </c>
      <c r="R240" s="646" t="s">
        <v>1180</v>
      </c>
    </row>
    <row r="241" spans="1:18" ht="12.75" customHeight="1">
      <c r="A241" s="104"/>
      <c r="B241" s="104"/>
      <c r="C241" s="245"/>
      <c r="D241" s="106" t="s">
        <v>978</v>
      </c>
      <c r="E241" s="229"/>
      <c r="F241" s="520"/>
      <c r="G241" s="230">
        <f>SUM(G237:G240)</f>
        <v>0</v>
      </c>
      <c r="H241" s="230">
        <f aca="true" t="shared" si="16" ref="H241:Q241">SUM(H237:H240)</f>
        <v>0</v>
      </c>
      <c r="I241" s="230">
        <f t="shared" si="16"/>
        <v>0</v>
      </c>
      <c r="J241" s="230">
        <f t="shared" si="16"/>
        <v>0</v>
      </c>
      <c r="K241" s="230">
        <f t="shared" si="16"/>
        <v>0</v>
      </c>
      <c r="L241" s="230">
        <f t="shared" si="16"/>
        <v>0</v>
      </c>
      <c r="M241" s="230">
        <f t="shared" si="16"/>
        <v>0</v>
      </c>
      <c r="N241" s="230">
        <f t="shared" si="16"/>
        <v>0</v>
      </c>
      <c r="O241" s="230">
        <f t="shared" si="16"/>
        <v>0</v>
      </c>
      <c r="P241" s="230">
        <f t="shared" si="16"/>
        <v>0</v>
      </c>
      <c r="Q241" s="230">
        <f t="shared" si="16"/>
        <v>0</v>
      </c>
      <c r="R241" s="646"/>
    </row>
    <row r="242" spans="1:18" ht="12.75" customHeight="1">
      <c r="A242" s="112"/>
      <c r="B242" s="112"/>
      <c r="C242" s="247"/>
      <c r="D242" s="183" t="s">
        <v>976</v>
      </c>
      <c r="E242" s="102"/>
      <c r="F242" s="328"/>
      <c r="G242" s="105"/>
      <c r="H242" s="105"/>
      <c r="I242" s="15"/>
      <c r="J242" s="15"/>
      <c r="K242" s="15"/>
      <c r="L242" s="15"/>
      <c r="M242" s="15"/>
      <c r="N242" s="15"/>
      <c r="O242" s="15"/>
      <c r="P242" s="15"/>
      <c r="Q242" s="16"/>
      <c r="R242" s="646"/>
    </row>
    <row r="243" spans="1:18" ht="15" customHeight="1" hidden="1">
      <c r="A243" s="112"/>
      <c r="B243" s="112"/>
      <c r="C243" s="247" t="s">
        <v>1288</v>
      </c>
      <c r="D243" s="590" t="s">
        <v>469</v>
      </c>
      <c r="E243" s="102"/>
      <c r="F243" s="328">
        <v>172919</v>
      </c>
      <c r="G243" s="105"/>
      <c r="H243" s="105"/>
      <c r="I243" s="15"/>
      <c r="J243" s="15"/>
      <c r="K243" s="15"/>
      <c r="L243" s="15"/>
      <c r="M243" s="15"/>
      <c r="N243" s="15"/>
      <c r="O243" s="15"/>
      <c r="P243" s="15"/>
      <c r="Q243" s="16">
        <f>SUM(L243:P243)</f>
        <v>0</v>
      </c>
      <c r="R243" s="646"/>
    </row>
    <row r="244" spans="1:18" ht="12.75" customHeight="1" hidden="1">
      <c r="A244" s="112"/>
      <c r="B244" s="112"/>
      <c r="C244" s="247"/>
      <c r="D244" s="255" t="s">
        <v>421</v>
      </c>
      <c r="E244" s="102"/>
      <c r="F244" s="328"/>
      <c r="G244" s="105"/>
      <c r="H244" s="105"/>
      <c r="I244" s="15"/>
      <c r="J244" s="15"/>
      <c r="K244" s="15"/>
      <c r="L244" s="15"/>
      <c r="M244" s="15"/>
      <c r="N244" s="15"/>
      <c r="O244" s="15"/>
      <c r="P244" s="15"/>
      <c r="Q244" s="16"/>
      <c r="R244" s="646"/>
    </row>
    <row r="245" spans="1:18" ht="12.75" customHeight="1" hidden="1">
      <c r="A245" s="112"/>
      <c r="B245" s="112"/>
      <c r="C245" s="244" t="s">
        <v>1060</v>
      </c>
      <c r="D245" s="255" t="s">
        <v>102</v>
      </c>
      <c r="E245" s="102"/>
      <c r="F245" s="328">
        <v>162650</v>
      </c>
      <c r="G245" s="105"/>
      <c r="H245" s="105"/>
      <c r="I245" s="15"/>
      <c r="J245" s="15"/>
      <c r="K245" s="15"/>
      <c r="L245" s="15"/>
      <c r="M245" s="15"/>
      <c r="N245" s="15"/>
      <c r="O245" s="15"/>
      <c r="P245" s="15"/>
      <c r="Q245" s="16">
        <f>SUM(I245:P245)</f>
        <v>0</v>
      </c>
      <c r="R245" s="646"/>
    </row>
    <row r="246" spans="1:18" ht="12.75" customHeight="1" hidden="1">
      <c r="A246" s="112"/>
      <c r="B246" s="112"/>
      <c r="C246" s="244" t="s">
        <v>1061</v>
      </c>
      <c r="D246" s="255" t="s">
        <v>779</v>
      </c>
      <c r="E246" s="102"/>
      <c r="F246" s="328">
        <v>162674</v>
      </c>
      <c r="G246" s="105"/>
      <c r="H246" s="105"/>
      <c r="I246" s="15"/>
      <c r="J246" s="15"/>
      <c r="K246" s="15"/>
      <c r="L246" s="15"/>
      <c r="M246" s="15"/>
      <c r="N246" s="15"/>
      <c r="O246" s="15"/>
      <c r="P246" s="15"/>
      <c r="Q246" s="16">
        <f>SUM(I246:P246)</f>
        <v>0</v>
      </c>
      <c r="R246" s="646"/>
    </row>
    <row r="247" spans="1:18" ht="12.75" customHeight="1" hidden="1">
      <c r="A247" s="112"/>
      <c r="B247" s="112"/>
      <c r="C247" s="244" t="s">
        <v>1062</v>
      </c>
      <c r="D247" s="591" t="s">
        <v>206</v>
      </c>
      <c r="E247" s="114"/>
      <c r="F247" s="331">
        <v>164903</v>
      </c>
      <c r="G247" s="18"/>
      <c r="H247" s="231"/>
      <c r="I247" s="18"/>
      <c r="J247" s="18"/>
      <c r="K247" s="18"/>
      <c r="L247" s="18"/>
      <c r="M247" s="18"/>
      <c r="N247" s="18"/>
      <c r="O247" s="18"/>
      <c r="P247" s="18"/>
      <c r="Q247" s="17">
        <f>SUM(G247:P247)</f>
        <v>0</v>
      </c>
      <c r="R247" s="646"/>
    </row>
    <row r="248" spans="1:18" ht="12.75" customHeight="1">
      <c r="A248" s="104"/>
      <c r="B248" s="104"/>
      <c r="C248" s="245"/>
      <c r="D248" s="106" t="s">
        <v>460</v>
      </c>
      <c r="E248" s="229"/>
      <c r="F248" s="520"/>
      <c r="G248" s="111">
        <f aca="true" t="shared" si="17" ref="G248:Q248">SUM(G241:G247)</f>
        <v>0</v>
      </c>
      <c r="H248" s="111">
        <f t="shared" si="17"/>
        <v>0</v>
      </c>
      <c r="I248" s="111">
        <f t="shared" si="17"/>
        <v>0</v>
      </c>
      <c r="J248" s="111">
        <f t="shared" si="17"/>
        <v>0</v>
      </c>
      <c r="K248" s="111">
        <f t="shared" si="17"/>
        <v>0</v>
      </c>
      <c r="L248" s="111">
        <f t="shared" si="17"/>
        <v>0</v>
      </c>
      <c r="M248" s="111">
        <f t="shared" si="17"/>
        <v>0</v>
      </c>
      <c r="N248" s="111">
        <f t="shared" si="17"/>
        <v>0</v>
      </c>
      <c r="O248" s="111">
        <f t="shared" si="17"/>
        <v>0</v>
      </c>
      <c r="P248" s="111">
        <f t="shared" si="17"/>
        <v>0</v>
      </c>
      <c r="Q248" s="106">
        <f t="shared" si="17"/>
        <v>0</v>
      </c>
      <c r="R248" s="646"/>
    </row>
    <row r="249" spans="1:18" ht="13.5" customHeight="1">
      <c r="A249" s="113">
        <v>1</v>
      </c>
      <c r="B249" s="113">
        <v>15</v>
      </c>
      <c r="C249" s="248"/>
      <c r="D249" s="21" t="s">
        <v>817</v>
      </c>
      <c r="E249" s="114"/>
      <c r="F249" s="331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7"/>
      <c r="R249" s="646"/>
    </row>
    <row r="250" spans="1:18" ht="13.5" customHeight="1">
      <c r="A250" s="113"/>
      <c r="B250" s="113"/>
      <c r="C250" s="248"/>
      <c r="D250" s="221" t="s">
        <v>80</v>
      </c>
      <c r="E250" s="114"/>
      <c r="F250" s="331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7"/>
      <c r="R250" s="646"/>
    </row>
    <row r="251" spans="1:18" ht="13.5" customHeight="1">
      <c r="A251" s="113"/>
      <c r="B251" s="113"/>
      <c r="C251" s="248"/>
      <c r="D251" s="17" t="s">
        <v>819</v>
      </c>
      <c r="E251" s="18">
        <v>1</v>
      </c>
      <c r="F251" s="113">
        <v>151502</v>
      </c>
      <c r="G251" s="18"/>
      <c r="H251" s="18"/>
      <c r="I251" s="18">
        <v>1146</v>
      </c>
      <c r="J251" s="18"/>
      <c r="K251" s="18"/>
      <c r="L251" s="18"/>
      <c r="M251" s="18"/>
      <c r="N251" s="18"/>
      <c r="O251" s="18"/>
      <c r="P251" s="18"/>
      <c r="Q251" s="17">
        <f aca="true" t="shared" si="18" ref="Q251:Q276">SUM(G251:P251)</f>
        <v>1146</v>
      </c>
      <c r="R251" s="646" t="s">
        <v>1180</v>
      </c>
    </row>
    <row r="252" spans="1:18" ht="13.5" customHeight="1" hidden="1">
      <c r="A252" s="113"/>
      <c r="B252" s="113"/>
      <c r="C252" s="248"/>
      <c r="D252" s="17" t="s">
        <v>844</v>
      </c>
      <c r="E252" s="18">
        <v>1</v>
      </c>
      <c r="F252" s="113">
        <v>151504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7">
        <f t="shared" si="18"/>
        <v>0</v>
      </c>
      <c r="R252" s="646"/>
    </row>
    <row r="253" spans="1:18" ht="13.5" customHeight="1" hidden="1">
      <c r="A253" s="113"/>
      <c r="B253" s="113"/>
      <c r="C253" s="248"/>
      <c r="D253" s="115" t="s">
        <v>1023</v>
      </c>
      <c r="E253" s="18">
        <v>1</v>
      </c>
      <c r="F253" s="113">
        <v>151501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7">
        <f t="shared" si="18"/>
        <v>0</v>
      </c>
      <c r="R253" s="646"/>
    </row>
    <row r="254" spans="1:18" ht="13.5" customHeight="1" hidden="1">
      <c r="A254" s="113"/>
      <c r="B254" s="113"/>
      <c r="C254" s="248"/>
      <c r="D254" s="115" t="s">
        <v>565</v>
      </c>
      <c r="E254" s="18">
        <v>1</v>
      </c>
      <c r="F254" s="113">
        <v>151905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7">
        <f t="shared" si="18"/>
        <v>0</v>
      </c>
      <c r="R254" s="646"/>
    </row>
    <row r="255" spans="1:18" ht="13.5" customHeight="1" hidden="1">
      <c r="A255" s="113"/>
      <c r="B255" s="113"/>
      <c r="C255" s="248"/>
      <c r="D255" s="115" t="s">
        <v>845</v>
      </c>
      <c r="E255" s="18">
        <v>2</v>
      </c>
      <c r="F255" s="113">
        <v>151503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7">
        <f t="shared" si="18"/>
        <v>0</v>
      </c>
      <c r="R255" s="646"/>
    </row>
    <row r="256" spans="1:18" ht="13.5" customHeight="1" hidden="1">
      <c r="A256" s="113"/>
      <c r="B256" s="113"/>
      <c r="C256" s="248"/>
      <c r="D256" s="115" t="s">
        <v>846</v>
      </c>
      <c r="E256" s="18">
        <v>2</v>
      </c>
      <c r="F256" s="113">
        <v>151507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7">
        <f t="shared" si="18"/>
        <v>0</v>
      </c>
      <c r="R256" s="646"/>
    </row>
    <row r="257" spans="1:18" ht="13.5" customHeight="1" hidden="1">
      <c r="A257" s="113"/>
      <c r="B257" s="113"/>
      <c r="C257" s="248"/>
      <c r="D257" s="115" t="s">
        <v>847</v>
      </c>
      <c r="E257" s="18">
        <v>2</v>
      </c>
      <c r="F257" s="113">
        <v>151509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7">
        <f t="shared" si="18"/>
        <v>0</v>
      </c>
      <c r="R257" s="646"/>
    </row>
    <row r="258" spans="1:18" ht="13.5" customHeight="1" hidden="1">
      <c r="A258" s="113"/>
      <c r="B258" s="113"/>
      <c r="C258" s="248"/>
      <c r="D258" s="115" t="s">
        <v>1024</v>
      </c>
      <c r="E258" s="18">
        <v>1</v>
      </c>
      <c r="F258" s="113">
        <v>151510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7">
        <f t="shared" si="18"/>
        <v>0</v>
      </c>
      <c r="R258" s="646"/>
    </row>
    <row r="259" spans="1:18" ht="13.5" customHeight="1" hidden="1">
      <c r="A259" s="113"/>
      <c r="B259" s="113"/>
      <c r="C259" s="248"/>
      <c r="D259" s="323" t="s">
        <v>403</v>
      </c>
      <c r="E259" s="18">
        <v>1</v>
      </c>
      <c r="F259" s="113">
        <v>151520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7">
        <f t="shared" si="18"/>
        <v>0</v>
      </c>
      <c r="R259" s="646"/>
    </row>
    <row r="260" spans="1:18" ht="13.5" customHeight="1" hidden="1">
      <c r="A260" s="113"/>
      <c r="B260" s="113"/>
      <c r="C260" s="248"/>
      <c r="D260" s="323" t="s">
        <v>585</v>
      </c>
      <c r="E260" s="18">
        <v>1</v>
      </c>
      <c r="F260" s="113">
        <v>151521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7">
        <f t="shared" si="18"/>
        <v>0</v>
      </c>
      <c r="R260" s="646"/>
    </row>
    <row r="261" spans="1:18" ht="13.5" customHeight="1" hidden="1">
      <c r="A261" s="113"/>
      <c r="B261" s="113"/>
      <c r="C261" s="248"/>
      <c r="D261" s="323" t="s">
        <v>404</v>
      </c>
      <c r="E261" s="18">
        <v>1</v>
      </c>
      <c r="F261" s="113">
        <v>151522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7">
        <f t="shared" si="18"/>
        <v>0</v>
      </c>
      <c r="R261" s="646"/>
    </row>
    <row r="262" spans="1:18" ht="13.5" customHeight="1">
      <c r="A262" s="113"/>
      <c r="B262" s="113"/>
      <c r="C262" s="248"/>
      <c r="D262" s="115" t="s">
        <v>848</v>
      </c>
      <c r="E262" s="18">
        <v>1</v>
      </c>
      <c r="F262" s="113">
        <v>151512</v>
      </c>
      <c r="G262" s="18"/>
      <c r="H262" s="18"/>
      <c r="I262" s="18">
        <v>102</v>
      </c>
      <c r="J262" s="18"/>
      <c r="K262" s="18"/>
      <c r="L262" s="18"/>
      <c r="M262" s="18"/>
      <c r="N262" s="18"/>
      <c r="O262" s="18"/>
      <c r="P262" s="18"/>
      <c r="Q262" s="17">
        <f t="shared" si="18"/>
        <v>102</v>
      </c>
      <c r="R262" s="646" t="s">
        <v>1180</v>
      </c>
    </row>
    <row r="263" spans="1:18" ht="13.5" customHeight="1">
      <c r="A263" s="113"/>
      <c r="B263" s="113"/>
      <c r="C263" s="248"/>
      <c r="D263" s="115" t="s">
        <v>456</v>
      </c>
      <c r="E263" s="18">
        <v>1</v>
      </c>
      <c r="F263" s="113">
        <v>151519</v>
      </c>
      <c r="G263" s="18"/>
      <c r="H263" s="18"/>
      <c r="I263" s="18">
        <v>-1287</v>
      </c>
      <c r="J263" s="18"/>
      <c r="K263" s="18"/>
      <c r="L263" s="18">
        <v>1287</v>
      </c>
      <c r="M263" s="18"/>
      <c r="N263" s="18"/>
      <c r="O263" s="18"/>
      <c r="P263" s="18"/>
      <c r="Q263" s="17">
        <f t="shared" si="18"/>
        <v>0</v>
      </c>
      <c r="R263" s="646" t="s">
        <v>1180</v>
      </c>
    </row>
    <row r="264" spans="1:18" ht="13.5" customHeight="1" hidden="1">
      <c r="A264" s="113"/>
      <c r="B264" s="113"/>
      <c r="C264" s="248"/>
      <c r="D264" s="115" t="s">
        <v>133</v>
      </c>
      <c r="E264" s="18">
        <v>2</v>
      </c>
      <c r="F264" s="113">
        <v>151511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7">
        <f t="shared" si="18"/>
        <v>0</v>
      </c>
      <c r="R264" s="646"/>
    </row>
    <row r="265" spans="1:18" ht="13.5" customHeight="1" hidden="1">
      <c r="A265" s="113"/>
      <c r="B265" s="113"/>
      <c r="C265" s="248"/>
      <c r="D265" s="115" t="s">
        <v>134</v>
      </c>
      <c r="E265" s="180">
        <v>2</v>
      </c>
      <c r="F265" s="521">
        <v>151514</v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7">
        <f t="shared" si="18"/>
        <v>0</v>
      </c>
      <c r="R265" s="646"/>
    </row>
    <row r="266" spans="1:18" ht="13.5" customHeight="1" hidden="1">
      <c r="A266" s="113"/>
      <c r="B266" s="113"/>
      <c r="C266" s="248"/>
      <c r="D266" s="115" t="s">
        <v>137</v>
      </c>
      <c r="E266" s="180">
        <v>2</v>
      </c>
      <c r="F266" s="521">
        <v>151515</v>
      </c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7">
        <f t="shared" si="18"/>
        <v>0</v>
      </c>
      <c r="R266" s="646"/>
    </row>
    <row r="267" spans="1:18" ht="13.5" customHeight="1" hidden="1">
      <c r="A267" s="113"/>
      <c r="B267" s="113"/>
      <c r="C267" s="248"/>
      <c r="D267" s="115" t="s">
        <v>780</v>
      </c>
      <c r="E267" s="180">
        <v>1</v>
      </c>
      <c r="F267" s="113">
        <v>151513</v>
      </c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7">
        <f t="shared" si="18"/>
        <v>0</v>
      </c>
      <c r="R267" s="646"/>
    </row>
    <row r="268" spans="1:18" ht="13.5" customHeight="1">
      <c r="A268" s="113"/>
      <c r="B268" s="113"/>
      <c r="C268" s="248"/>
      <c r="D268" s="17" t="s">
        <v>115</v>
      </c>
      <c r="E268" s="302"/>
      <c r="F268" s="522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7"/>
      <c r="R268" s="646"/>
    </row>
    <row r="269" spans="1:18" ht="13.5" customHeight="1">
      <c r="A269" s="113"/>
      <c r="B269" s="113"/>
      <c r="C269" s="248"/>
      <c r="D269" s="17" t="s">
        <v>849</v>
      </c>
      <c r="E269" s="18">
        <v>1</v>
      </c>
      <c r="F269" s="113">
        <v>151401</v>
      </c>
      <c r="G269" s="18"/>
      <c r="H269" s="18"/>
      <c r="I269" s="18">
        <v>-710</v>
      </c>
      <c r="J269" s="18"/>
      <c r="K269" s="18"/>
      <c r="L269" s="18"/>
      <c r="M269" s="18"/>
      <c r="N269" s="18"/>
      <c r="O269" s="18"/>
      <c r="P269" s="18"/>
      <c r="Q269" s="17">
        <f t="shared" si="18"/>
        <v>-710</v>
      </c>
      <c r="R269" s="646" t="s">
        <v>1180</v>
      </c>
    </row>
    <row r="270" spans="1:18" ht="13.5" customHeight="1" hidden="1">
      <c r="A270" s="113"/>
      <c r="B270" s="113"/>
      <c r="C270" s="248"/>
      <c r="D270" s="17" t="s">
        <v>850</v>
      </c>
      <c r="E270" s="302">
        <v>1</v>
      </c>
      <c r="F270" s="113">
        <v>151402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7">
        <f t="shared" si="18"/>
        <v>0</v>
      </c>
      <c r="R270" s="646"/>
    </row>
    <row r="271" spans="1:18" ht="13.5" customHeight="1" hidden="1">
      <c r="A271" s="113"/>
      <c r="B271" s="113"/>
      <c r="C271" s="248"/>
      <c r="D271" s="17" t="s">
        <v>547</v>
      </c>
      <c r="E271" s="302">
        <v>2</v>
      </c>
      <c r="F271" s="113">
        <v>151406</v>
      </c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7">
        <f t="shared" si="18"/>
        <v>0</v>
      </c>
      <c r="R271" s="646"/>
    </row>
    <row r="272" spans="1:18" ht="13.5" customHeight="1" hidden="1">
      <c r="A272" s="113"/>
      <c r="B272" s="113"/>
      <c r="C272" s="248"/>
      <c r="D272" s="17" t="s">
        <v>548</v>
      </c>
      <c r="E272" s="302">
        <v>2</v>
      </c>
      <c r="F272" s="113">
        <v>151407</v>
      </c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7">
        <f t="shared" si="18"/>
        <v>0</v>
      </c>
      <c r="R272" s="646"/>
    </row>
    <row r="273" spans="1:18" ht="13.5" customHeight="1" hidden="1">
      <c r="A273" s="113"/>
      <c r="B273" s="113"/>
      <c r="C273" s="248"/>
      <c r="D273" s="17" t="s">
        <v>251</v>
      </c>
      <c r="E273" s="302">
        <v>1</v>
      </c>
      <c r="F273" s="113">
        <v>151403</v>
      </c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7">
        <f t="shared" si="18"/>
        <v>0</v>
      </c>
      <c r="R273" s="646"/>
    </row>
    <row r="274" spans="1:18" ht="13.5" customHeight="1" hidden="1">
      <c r="A274" s="113"/>
      <c r="B274" s="113"/>
      <c r="C274" s="248"/>
      <c r="D274" s="17" t="s">
        <v>791</v>
      </c>
      <c r="E274" s="302">
        <v>2</v>
      </c>
      <c r="F274" s="522">
        <v>151404</v>
      </c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7">
        <f t="shared" si="18"/>
        <v>0</v>
      </c>
      <c r="R274" s="646"/>
    </row>
    <row r="275" spans="1:18" ht="13.5" customHeight="1" hidden="1">
      <c r="A275" s="113"/>
      <c r="B275" s="113"/>
      <c r="C275" s="248"/>
      <c r="D275" s="323" t="s">
        <v>402</v>
      </c>
      <c r="E275" s="302">
        <v>2</v>
      </c>
      <c r="F275" s="522">
        <v>151408</v>
      </c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7">
        <f t="shared" si="18"/>
        <v>0</v>
      </c>
      <c r="R275" s="646"/>
    </row>
    <row r="276" spans="1:18" ht="13.5" customHeight="1" hidden="1">
      <c r="A276" s="113"/>
      <c r="B276" s="113"/>
      <c r="C276" s="248"/>
      <c r="D276" s="323" t="s">
        <v>405</v>
      </c>
      <c r="E276" s="302">
        <v>1</v>
      </c>
      <c r="F276" s="522">
        <v>151409</v>
      </c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7">
        <f t="shared" si="18"/>
        <v>0</v>
      </c>
      <c r="R276" s="646"/>
    </row>
    <row r="277" spans="1:18" ht="13.5" customHeight="1" hidden="1">
      <c r="A277" s="113"/>
      <c r="B277" s="113"/>
      <c r="C277" s="248"/>
      <c r="D277" s="115" t="s">
        <v>76</v>
      </c>
      <c r="E277" s="302"/>
      <c r="F277" s="522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7"/>
      <c r="R277" s="646"/>
    </row>
    <row r="278" spans="1:18" ht="13.5" customHeight="1" hidden="1">
      <c r="A278" s="18"/>
      <c r="B278" s="18"/>
      <c r="C278" s="18"/>
      <c r="D278" s="17" t="s">
        <v>851</v>
      </c>
      <c r="E278" s="18">
        <v>1</v>
      </c>
      <c r="F278" s="113">
        <v>151102</v>
      </c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7">
        <f>SUM(G278:P278)</f>
        <v>0</v>
      </c>
      <c r="R278" s="646"/>
    </row>
    <row r="279" spans="1:18" ht="13.5" customHeight="1" hidden="1">
      <c r="A279" s="113"/>
      <c r="B279" s="113"/>
      <c r="C279" s="248"/>
      <c r="D279" s="17" t="s">
        <v>909</v>
      </c>
      <c r="E279" s="18">
        <v>1</v>
      </c>
      <c r="F279" s="113">
        <v>151103</v>
      </c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7">
        <f>SUM(G279:P279)</f>
        <v>0</v>
      </c>
      <c r="R279" s="646"/>
    </row>
    <row r="280" spans="1:18" ht="13.5" customHeight="1" hidden="1">
      <c r="A280" s="113"/>
      <c r="B280" s="113"/>
      <c r="C280" s="248"/>
      <c r="D280" s="17" t="s">
        <v>77</v>
      </c>
      <c r="E280" s="302"/>
      <c r="F280" s="522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7"/>
      <c r="R280" s="646"/>
    </row>
    <row r="281" spans="1:18" ht="13.5" customHeight="1" hidden="1">
      <c r="A281" s="113"/>
      <c r="B281" s="113"/>
      <c r="C281" s="248"/>
      <c r="D281" s="115" t="s">
        <v>803</v>
      </c>
      <c r="E281" s="302">
        <v>1</v>
      </c>
      <c r="F281" s="113">
        <v>151301</v>
      </c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7">
        <f aca="true" t="shared" si="19" ref="Q281:Q311">SUM(G281:P281)</f>
        <v>0</v>
      </c>
      <c r="R281" s="646"/>
    </row>
    <row r="282" spans="1:18" ht="25.5" customHeight="1" hidden="1">
      <c r="A282" s="113"/>
      <c r="B282" s="113"/>
      <c r="C282" s="248"/>
      <c r="D282" s="233" t="s">
        <v>793</v>
      </c>
      <c r="E282" s="302">
        <v>1</v>
      </c>
      <c r="F282" s="113">
        <v>151305</v>
      </c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7">
        <f t="shared" si="19"/>
        <v>0</v>
      </c>
      <c r="R282" s="646"/>
    </row>
    <row r="283" spans="1:18" ht="25.5" customHeight="1" hidden="1">
      <c r="A283" s="113"/>
      <c r="B283" s="113"/>
      <c r="C283" s="248"/>
      <c r="D283" s="233" t="s">
        <v>443</v>
      </c>
      <c r="E283" s="302">
        <v>1</v>
      </c>
      <c r="F283" s="113">
        <v>151306</v>
      </c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7">
        <f t="shared" si="19"/>
        <v>0</v>
      </c>
      <c r="R283" s="646"/>
    </row>
    <row r="284" spans="1:18" ht="24" customHeight="1" hidden="1">
      <c r="A284" s="113"/>
      <c r="B284" s="113"/>
      <c r="C284" s="248"/>
      <c r="D284" s="233" t="s">
        <v>1503</v>
      </c>
      <c r="E284" s="302">
        <v>1</v>
      </c>
      <c r="F284" s="113">
        <v>151308</v>
      </c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7">
        <f t="shared" si="19"/>
        <v>0</v>
      </c>
      <c r="R284" s="646"/>
    </row>
    <row r="285" spans="1:18" ht="24" customHeight="1" hidden="1">
      <c r="A285" s="113"/>
      <c r="B285" s="113"/>
      <c r="C285" s="248"/>
      <c r="D285" s="233" t="s">
        <v>794</v>
      </c>
      <c r="E285" s="303">
        <v>1</v>
      </c>
      <c r="F285" s="540">
        <v>151311</v>
      </c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7">
        <f t="shared" si="19"/>
        <v>0</v>
      </c>
      <c r="R285" s="646"/>
    </row>
    <row r="286" spans="1:18" ht="12" customHeight="1" hidden="1">
      <c r="A286" s="113"/>
      <c r="B286" s="113"/>
      <c r="C286" s="248"/>
      <c r="D286" s="17" t="s">
        <v>781</v>
      </c>
      <c r="E286" s="302">
        <v>1</v>
      </c>
      <c r="F286" s="113">
        <v>151312</v>
      </c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7">
        <f t="shared" si="19"/>
        <v>0</v>
      </c>
      <c r="R286" s="646"/>
    </row>
    <row r="287" spans="1:18" ht="12" customHeight="1" hidden="1">
      <c r="A287" s="113"/>
      <c r="B287" s="113"/>
      <c r="C287" s="248"/>
      <c r="D287" s="17" t="s">
        <v>141</v>
      </c>
      <c r="E287" s="302">
        <v>1</v>
      </c>
      <c r="F287" s="113">
        <v>151302</v>
      </c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7">
        <f t="shared" si="19"/>
        <v>0</v>
      </c>
      <c r="R287" s="646"/>
    </row>
    <row r="288" spans="1:18" ht="25.5" customHeight="1" hidden="1">
      <c r="A288" s="113"/>
      <c r="B288" s="113"/>
      <c r="C288" s="248"/>
      <c r="D288" s="207" t="s">
        <v>457</v>
      </c>
      <c r="E288" s="302">
        <v>1</v>
      </c>
      <c r="F288" s="113">
        <v>151303</v>
      </c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7">
        <f t="shared" si="19"/>
        <v>0</v>
      </c>
      <c r="R288" s="646"/>
    </row>
    <row r="289" spans="1:18" ht="24" customHeight="1" hidden="1">
      <c r="A289" s="113"/>
      <c r="B289" s="113"/>
      <c r="C289" s="248"/>
      <c r="D289" s="233" t="s">
        <v>1281</v>
      </c>
      <c r="E289" s="303">
        <v>2</v>
      </c>
      <c r="F289" s="540">
        <v>151315</v>
      </c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7">
        <f t="shared" si="19"/>
        <v>0</v>
      </c>
      <c r="R289" s="646"/>
    </row>
    <row r="290" spans="1:18" ht="24" customHeight="1" hidden="1">
      <c r="A290" s="113"/>
      <c r="B290" s="113"/>
      <c r="C290" s="248"/>
      <c r="D290" s="217" t="s">
        <v>949</v>
      </c>
      <c r="E290" s="306"/>
      <c r="F290" s="326">
        <v>151316</v>
      </c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7">
        <f t="shared" si="19"/>
        <v>0</v>
      </c>
      <c r="R290" s="646"/>
    </row>
    <row r="291" spans="1:18" ht="24.75" customHeight="1" hidden="1">
      <c r="A291" s="113"/>
      <c r="B291" s="113"/>
      <c r="C291" s="248"/>
      <c r="D291" s="233" t="s">
        <v>78</v>
      </c>
      <c r="E291" s="303"/>
      <c r="F291" s="534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7"/>
      <c r="R291" s="646"/>
    </row>
    <row r="292" spans="1:18" ht="13.5" customHeight="1" hidden="1">
      <c r="A292" s="113"/>
      <c r="B292" s="113"/>
      <c r="C292" s="248"/>
      <c r="D292" s="17" t="s">
        <v>914</v>
      </c>
      <c r="E292" s="18">
        <v>1</v>
      </c>
      <c r="F292" s="113">
        <v>151703</v>
      </c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7">
        <f t="shared" si="19"/>
        <v>0</v>
      </c>
      <c r="R292" s="646"/>
    </row>
    <row r="293" spans="1:18" ht="13.5" customHeight="1">
      <c r="A293" s="113"/>
      <c r="B293" s="113"/>
      <c r="C293" s="248"/>
      <c r="D293" s="115" t="s">
        <v>79</v>
      </c>
      <c r="E293" s="302"/>
      <c r="F293" s="522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7"/>
      <c r="R293" s="646"/>
    </row>
    <row r="294" spans="1:18" ht="13.5" customHeight="1">
      <c r="A294" s="113"/>
      <c r="B294" s="113"/>
      <c r="C294" s="248"/>
      <c r="D294" s="17" t="s">
        <v>915</v>
      </c>
      <c r="E294" s="18">
        <v>1</v>
      </c>
      <c r="F294" s="113">
        <v>151601</v>
      </c>
      <c r="G294" s="18">
        <v>-260</v>
      </c>
      <c r="H294" s="18">
        <v>238</v>
      </c>
      <c r="I294" s="18">
        <v>-1722</v>
      </c>
      <c r="J294" s="18"/>
      <c r="K294" s="18"/>
      <c r="L294" s="18">
        <v>-169</v>
      </c>
      <c r="M294" s="18"/>
      <c r="N294" s="18"/>
      <c r="O294" s="18"/>
      <c r="P294" s="18"/>
      <c r="Q294" s="17">
        <f t="shared" si="19"/>
        <v>-1913</v>
      </c>
      <c r="R294" s="646" t="s">
        <v>1179</v>
      </c>
    </row>
    <row r="295" spans="1:18" ht="13.5" customHeight="1" hidden="1">
      <c r="A295" s="113"/>
      <c r="B295" s="113"/>
      <c r="C295" s="248"/>
      <c r="D295" s="16" t="s">
        <v>916</v>
      </c>
      <c r="E295" s="15">
        <v>1</v>
      </c>
      <c r="F295" s="100">
        <v>151602</v>
      </c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7">
        <f t="shared" si="19"/>
        <v>0</v>
      </c>
      <c r="R295" s="646"/>
    </row>
    <row r="296" spans="1:18" ht="13.5" customHeight="1">
      <c r="A296" s="113"/>
      <c r="B296" s="113"/>
      <c r="C296" s="248"/>
      <c r="D296" s="17" t="s">
        <v>431</v>
      </c>
      <c r="E296" s="18">
        <v>1</v>
      </c>
      <c r="F296" s="113">
        <v>151607</v>
      </c>
      <c r="G296" s="18"/>
      <c r="H296" s="18">
        <v>262</v>
      </c>
      <c r="I296" s="18">
        <v>-262</v>
      </c>
      <c r="J296" s="18"/>
      <c r="K296" s="18"/>
      <c r="L296" s="15"/>
      <c r="M296" s="18"/>
      <c r="N296" s="18"/>
      <c r="O296" s="18"/>
      <c r="P296" s="18"/>
      <c r="Q296" s="17">
        <f t="shared" si="19"/>
        <v>0</v>
      </c>
      <c r="R296" s="646" t="s">
        <v>1178</v>
      </c>
    </row>
    <row r="297" spans="1:18" ht="13.5" customHeight="1" hidden="1">
      <c r="A297" s="113"/>
      <c r="B297" s="113"/>
      <c r="C297" s="248"/>
      <c r="D297" s="17" t="s">
        <v>1508</v>
      </c>
      <c r="E297" s="18">
        <v>2</v>
      </c>
      <c r="F297" s="113">
        <v>151610</v>
      </c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7">
        <f t="shared" si="19"/>
        <v>0</v>
      </c>
      <c r="R297" s="646"/>
    </row>
    <row r="298" spans="1:18" ht="13.5" customHeight="1" hidden="1">
      <c r="A298" s="113" t="s">
        <v>1283</v>
      </c>
      <c r="B298" s="113"/>
      <c r="C298" s="248"/>
      <c r="D298" s="17" t="s">
        <v>1117</v>
      </c>
      <c r="E298" s="302">
        <v>2</v>
      </c>
      <c r="F298" s="113">
        <v>151619</v>
      </c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7">
        <f t="shared" si="19"/>
        <v>0</v>
      </c>
      <c r="R298" s="646"/>
    </row>
    <row r="299" spans="1:18" ht="13.5" customHeight="1" hidden="1">
      <c r="A299" s="113"/>
      <c r="B299" s="113"/>
      <c r="C299" s="248"/>
      <c r="D299" s="115" t="s">
        <v>135</v>
      </c>
      <c r="E299" s="180">
        <v>2</v>
      </c>
      <c r="F299" s="521">
        <v>151626</v>
      </c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7">
        <f t="shared" si="19"/>
        <v>0</v>
      </c>
      <c r="R299" s="646"/>
    </row>
    <row r="300" spans="1:18" ht="24.75" customHeight="1" hidden="1">
      <c r="A300" s="113"/>
      <c r="B300" s="113"/>
      <c r="C300" s="248"/>
      <c r="D300" s="207" t="s">
        <v>136</v>
      </c>
      <c r="E300" s="160">
        <v>2</v>
      </c>
      <c r="F300" s="483">
        <v>151627</v>
      </c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7">
        <f t="shared" si="19"/>
        <v>0</v>
      </c>
      <c r="R300" s="646"/>
    </row>
    <row r="301" spans="1:18" ht="13.5" customHeight="1" hidden="1">
      <c r="A301" s="113"/>
      <c r="B301" s="113"/>
      <c r="C301" s="248"/>
      <c r="D301" s="17" t="s">
        <v>910</v>
      </c>
      <c r="E301" s="18">
        <v>1</v>
      </c>
      <c r="F301" s="113">
        <v>151603</v>
      </c>
      <c r="G301" s="18"/>
      <c r="H301" s="18"/>
      <c r="I301" s="15"/>
      <c r="J301" s="18"/>
      <c r="K301" s="18"/>
      <c r="L301" s="18"/>
      <c r="M301" s="18"/>
      <c r="N301" s="18"/>
      <c r="O301" s="18"/>
      <c r="P301" s="18"/>
      <c r="Q301" s="17">
        <f t="shared" si="19"/>
        <v>0</v>
      </c>
      <c r="R301" s="646"/>
    </row>
    <row r="302" spans="1:18" ht="13.5" customHeight="1" hidden="1">
      <c r="A302" s="113"/>
      <c r="B302" s="113"/>
      <c r="C302" s="248"/>
      <c r="D302" s="17" t="s">
        <v>139</v>
      </c>
      <c r="E302" s="18">
        <v>1</v>
      </c>
      <c r="F302" s="113">
        <v>151605</v>
      </c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7">
        <f t="shared" si="19"/>
        <v>0</v>
      </c>
      <c r="R302" s="646"/>
    </row>
    <row r="303" spans="1:18" ht="13.5" customHeight="1" hidden="1">
      <c r="A303" s="113"/>
      <c r="B303" s="113"/>
      <c r="C303" s="248"/>
      <c r="D303" s="17" t="s">
        <v>913</v>
      </c>
      <c r="E303" s="18">
        <v>1</v>
      </c>
      <c r="F303" s="113">
        <v>151608</v>
      </c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7">
        <f t="shared" si="19"/>
        <v>0</v>
      </c>
      <c r="R303" s="646"/>
    </row>
    <row r="304" spans="1:18" ht="13.5" customHeight="1" hidden="1">
      <c r="A304" s="113"/>
      <c r="B304" s="113"/>
      <c r="C304" s="248"/>
      <c r="D304" s="17" t="s">
        <v>140</v>
      </c>
      <c r="E304" s="18">
        <v>2</v>
      </c>
      <c r="F304" s="113">
        <v>151624</v>
      </c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7">
        <f t="shared" si="19"/>
        <v>0</v>
      </c>
      <c r="R304" s="646"/>
    </row>
    <row r="305" spans="1:18" ht="13.5" customHeight="1" hidden="1">
      <c r="A305" s="113"/>
      <c r="B305" s="113"/>
      <c r="C305" s="248"/>
      <c r="D305" s="17" t="s">
        <v>37</v>
      </c>
      <c r="E305" s="18">
        <v>2</v>
      </c>
      <c r="F305" s="113">
        <v>151621</v>
      </c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7">
        <f t="shared" si="19"/>
        <v>0</v>
      </c>
      <c r="R305" s="646"/>
    </row>
    <row r="306" spans="1:18" ht="13.5" customHeight="1" hidden="1">
      <c r="A306" s="113"/>
      <c r="B306" s="113"/>
      <c r="C306" s="248"/>
      <c r="D306" s="17" t="s">
        <v>401</v>
      </c>
      <c r="E306" s="18">
        <v>1</v>
      </c>
      <c r="F306" s="100">
        <v>151631</v>
      </c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7">
        <f t="shared" si="19"/>
        <v>0</v>
      </c>
      <c r="R306" s="646"/>
    </row>
    <row r="307" spans="1:18" ht="13.5" customHeight="1" hidden="1">
      <c r="A307" s="113"/>
      <c r="B307" s="113"/>
      <c r="C307" s="248"/>
      <c r="D307" s="323" t="s">
        <v>406</v>
      </c>
      <c r="E307" s="18">
        <v>1</v>
      </c>
      <c r="F307" s="100">
        <v>151632</v>
      </c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7">
        <f t="shared" si="19"/>
        <v>0</v>
      </c>
      <c r="R307" s="646"/>
    </row>
    <row r="308" spans="1:18" ht="13.5" customHeight="1" hidden="1">
      <c r="A308" s="113"/>
      <c r="B308" s="113"/>
      <c r="C308" s="248"/>
      <c r="D308" s="673" t="s">
        <v>923</v>
      </c>
      <c r="E308" s="18">
        <v>2</v>
      </c>
      <c r="F308" s="113">
        <v>151606</v>
      </c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7">
        <f t="shared" si="19"/>
        <v>0</v>
      </c>
      <c r="R308" s="646"/>
    </row>
    <row r="309" spans="1:18" ht="13.5" customHeight="1" hidden="1">
      <c r="A309" s="113"/>
      <c r="B309" s="113"/>
      <c r="C309" s="248"/>
      <c r="D309" s="669" t="s">
        <v>262</v>
      </c>
      <c r="E309" s="18">
        <v>2</v>
      </c>
      <c r="F309" s="100">
        <v>151622</v>
      </c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7">
        <f t="shared" si="19"/>
        <v>0</v>
      </c>
      <c r="R309" s="646"/>
    </row>
    <row r="310" spans="1:18" ht="12.75" customHeight="1" hidden="1">
      <c r="A310" s="113"/>
      <c r="B310" s="113"/>
      <c r="C310" s="248"/>
      <c r="D310" s="221" t="s">
        <v>80</v>
      </c>
      <c r="E310" s="18"/>
      <c r="F310" s="113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7">
        <f t="shared" si="19"/>
        <v>0</v>
      </c>
      <c r="R310" s="646"/>
    </row>
    <row r="311" spans="1:18" ht="12.75" customHeight="1" hidden="1">
      <c r="A311" s="113"/>
      <c r="B311" s="113"/>
      <c r="C311" s="248"/>
      <c r="D311" s="17" t="s">
        <v>430</v>
      </c>
      <c r="E311" s="18">
        <v>1</v>
      </c>
      <c r="F311" s="113">
        <v>151505</v>
      </c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7">
        <f t="shared" si="19"/>
        <v>0</v>
      </c>
      <c r="R311" s="646"/>
    </row>
    <row r="312" spans="1:18" ht="12.75" customHeight="1">
      <c r="A312" s="113"/>
      <c r="B312" s="113"/>
      <c r="C312" s="248"/>
      <c r="D312" s="115" t="s">
        <v>81</v>
      </c>
      <c r="E312" s="302"/>
      <c r="F312" s="522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7"/>
      <c r="R312" s="646"/>
    </row>
    <row r="313" spans="1:18" ht="13.5" customHeight="1">
      <c r="A313" s="113"/>
      <c r="B313" s="113"/>
      <c r="C313" s="113"/>
      <c r="D313" s="17" t="s">
        <v>127</v>
      </c>
      <c r="E313" s="18">
        <v>2</v>
      </c>
      <c r="F313" s="113">
        <v>151906</v>
      </c>
      <c r="G313" s="18"/>
      <c r="H313" s="18"/>
      <c r="I313" s="18">
        <v>56</v>
      </c>
      <c r="J313" s="18"/>
      <c r="K313" s="18"/>
      <c r="L313" s="18"/>
      <c r="M313" s="18"/>
      <c r="N313" s="18"/>
      <c r="O313" s="18"/>
      <c r="P313" s="18"/>
      <c r="Q313" s="17">
        <f>SUM(G313:P313)</f>
        <v>56</v>
      </c>
      <c r="R313" s="646" t="s">
        <v>1178</v>
      </c>
    </row>
    <row r="314" spans="1:18" ht="13.5" customHeight="1" hidden="1">
      <c r="A314" s="113"/>
      <c r="B314" s="113"/>
      <c r="C314" s="248"/>
      <c r="D314" s="17" t="s">
        <v>6</v>
      </c>
      <c r="E314" s="18">
        <v>2</v>
      </c>
      <c r="F314" s="113">
        <v>151915</v>
      </c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7">
        <f>SUM(G314:P314)</f>
        <v>0</v>
      </c>
      <c r="R314" s="646"/>
    </row>
    <row r="315" spans="1:18" ht="13.5" customHeight="1" hidden="1">
      <c r="A315" s="113"/>
      <c r="B315" s="113"/>
      <c r="C315" s="248"/>
      <c r="D315" s="17" t="s">
        <v>146</v>
      </c>
      <c r="E315" s="18">
        <v>2</v>
      </c>
      <c r="F315" s="113">
        <v>151907</v>
      </c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7">
        <f>SUM(G315:P315)</f>
        <v>0</v>
      </c>
      <c r="R315" s="646"/>
    </row>
    <row r="316" spans="1:18" ht="13.5" customHeight="1" hidden="1">
      <c r="A316" s="113"/>
      <c r="B316" s="113"/>
      <c r="C316" s="248"/>
      <c r="D316" s="17" t="s">
        <v>912</v>
      </c>
      <c r="E316" s="18">
        <v>2</v>
      </c>
      <c r="F316" s="113">
        <v>151914</v>
      </c>
      <c r="G316" s="18"/>
      <c r="H316" s="18"/>
      <c r="I316" s="18"/>
      <c r="J316" s="18"/>
      <c r="K316" s="18"/>
      <c r="L316" s="15"/>
      <c r="M316" s="18"/>
      <c r="N316" s="18"/>
      <c r="O316" s="18"/>
      <c r="P316" s="18"/>
      <c r="Q316" s="17">
        <f>SUM(G316:P316)</f>
        <v>0</v>
      </c>
      <c r="R316" s="646"/>
    </row>
    <row r="317" spans="1:18" ht="13.5" customHeight="1" hidden="1">
      <c r="A317" s="113"/>
      <c r="B317" s="113"/>
      <c r="C317" s="248"/>
      <c r="D317" s="16" t="s">
        <v>1186</v>
      </c>
      <c r="E317" s="15">
        <v>2</v>
      </c>
      <c r="F317" s="100">
        <v>151909</v>
      </c>
      <c r="G317" s="18"/>
      <c r="H317" s="18"/>
      <c r="I317" s="18"/>
      <c r="J317" s="18"/>
      <c r="K317" s="18"/>
      <c r="L317" s="15"/>
      <c r="M317" s="18"/>
      <c r="N317" s="18"/>
      <c r="O317" s="18"/>
      <c r="P317" s="18"/>
      <c r="Q317" s="17">
        <f>SUM(G317:P317)</f>
        <v>0</v>
      </c>
      <c r="R317" s="646"/>
    </row>
    <row r="318" spans="1:18" ht="13.5" customHeight="1" hidden="1">
      <c r="A318" s="113"/>
      <c r="B318" s="113"/>
      <c r="C318" s="248"/>
      <c r="D318" s="115" t="s">
        <v>83</v>
      </c>
      <c r="E318" s="302"/>
      <c r="F318" s="522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7"/>
      <c r="R318" s="646"/>
    </row>
    <row r="319" spans="1:18" ht="13.5" customHeight="1" hidden="1">
      <c r="A319" s="113"/>
      <c r="B319" s="113"/>
      <c r="C319" s="248"/>
      <c r="D319" s="115" t="s">
        <v>804</v>
      </c>
      <c r="E319" s="302">
        <v>1</v>
      </c>
      <c r="F319" s="113">
        <v>151801</v>
      </c>
      <c r="G319" s="18"/>
      <c r="H319" s="18"/>
      <c r="I319" s="18"/>
      <c r="J319" s="15"/>
      <c r="K319" s="18"/>
      <c r="L319" s="18"/>
      <c r="M319" s="18"/>
      <c r="N319" s="18"/>
      <c r="O319" s="18"/>
      <c r="P319" s="18"/>
      <c r="Q319" s="17">
        <f aca="true" t="shared" si="20" ref="Q319:Q329">SUM(G319:P319)</f>
        <v>0</v>
      </c>
      <c r="R319" s="646" t="s">
        <v>1180</v>
      </c>
    </row>
    <row r="320" spans="1:18" ht="13.5" customHeight="1" hidden="1">
      <c r="A320" s="113"/>
      <c r="B320" s="113"/>
      <c r="C320" s="248"/>
      <c r="D320" s="115" t="s">
        <v>795</v>
      </c>
      <c r="E320" s="302">
        <v>1</v>
      </c>
      <c r="F320" s="113">
        <v>151803</v>
      </c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7">
        <f t="shared" si="20"/>
        <v>0</v>
      </c>
      <c r="R320" s="646"/>
    </row>
    <row r="321" spans="1:18" ht="13.5" customHeight="1" hidden="1">
      <c r="A321" s="113"/>
      <c r="B321" s="113"/>
      <c r="C321" s="248"/>
      <c r="D321" s="115" t="s">
        <v>549</v>
      </c>
      <c r="E321" s="302">
        <v>1</v>
      </c>
      <c r="F321" s="113">
        <v>151802</v>
      </c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7">
        <f t="shared" si="20"/>
        <v>0</v>
      </c>
      <c r="R321" s="646" t="s">
        <v>1180</v>
      </c>
    </row>
    <row r="322" spans="1:18" ht="13.5" customHeight="1" hidden="1">
      <c r="A322" s="113"/>
      <c r="B322" s="113"/>
      <c r="C322" s="248"/>
      <c r="D322" s="115" t="s">
        <v>84</v>
      </c>
      <c r="E322" s="302"/>
      <c r="F322" s="522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7"/>
      <c r="R322" s="646"/>
    </row>
    <row r="323" spans="1:18" ht="13.5" customHeight="1" hidden="1">
      <c r="A323" s="113"/>
      <c r="B323" s="113"/>
      <c r="C323" s="248"/>
      <c r="D323" s="115" t="s">
        <v>782</v>
      </c>
      <c r="E323" s="18">
        <v>1</v>
      </c>
      <c r="F323" s="113">
        <v>151201</v>
      </c>
      <c r="G323" s="18"/>
      <c r="H323" s="18"/>
      <c r="I323" s="15"/>
      <c r="J323" s="18"/>
      <c r="K323" s="18"/>
      <c r="L323" s="18"/>
      <c r="M323" s="18"/>
      <c r="N323" s="18"/>
      <c r="O323" s="18"/>
      <c r="P323" s="18"/>
      <c r="Q323" s="17">
        <f t="shared" si="20"/>
        <v>0</v>
      </c>
      <c r="R323" s="646"/>
    </row>
    <row r="324" spans="1:18" ht="13.5" customHeight="1" hidden="1">
      <c r="A324" s="113"/>
      <c r="B324" s="113"/>
      <c r="C324" s="248"/>
      <c r="D324" s="115" t="s">
        <v>1001</v>
      </c>
      <c r="E324" s="18">
        <v>2</v>
      </c>
      <c r="F324" s="113">
        <v>151203</v>
      </c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7">
        <f t="shared" si="20"/>
        <v>0</v>
      </c>
      <c r="R324" s="646" t="s">
        <v>1180</v>
      </c>
    </row>
    <row r="325" spans="1:18" ht="13.5" customHeight="1" hidden="1">
      <c r="A325" s="113"/>
      <c r="B325" s="113"/>
      <c r="C325" s="248"/>
      <c r="D325" s="115" t="s">
        <v>283</v>
      </c>
      <c r="E325" s="302">
        <v>1</v>
      </c>
      <c r="F325" s="113">
        <v>151204</v>
      </c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7">
        <f t="shared" si="20"/>
        <v>0</v>
      </c>
      <c r="R325" s="646"/>
    </row>
    <row r="326" spans="1:18" ht="13.5" customHeight="1" hidden="1">
      <c r="A326" s="113"/>
      <c r="B326" s="113"/>
      <c r="C326" s="248"/>
      <c r="D326" s="115" t="s">
        <v>286</v>
      </c>
      <c r="E326" s="302">
        <v>1</v>
      </c>
      <c r="F326" s="113">
        <v>151202</v>
      </c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7">
        <f t="shared" si="20"/>
        <v>0</v>
      </c>
      <c r="R326" s="646" t="s">
        <v>1178</v>
      </c>
    </row>
    <row r="327" spans="1:18" ht="13.5" customHeight="1" hidden="1">
      <c r="A327" s="113"/>
      <c r="B327" s="113"/>
      <c r="C327" s="248"/>
      <c r="D327" s="115" t="s">
        <v>287</v>
      </c>
      <c r="E327" s="302">
        <v>1</v>
      </c>
      <c r="F327" s="113">
        <v>151205</v>
      </c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7">
        <f t="shared" si="20"/>
        <v>0</v>
      </c>
      <c r="R327" s="646"/>
    </row>
    <row r="328" spans="1:18" ht="13.5" customHeight="1">
      <c r="A328" s="113"/>
      <c r="B328" s="113"/>
      <c r="C328" s="248"/>
      <c r="D328" s="115" t="s">
        <v>85</v>
      </c>
      <c r="E328" s="302">
        <v>1</v>
      </c>
      <c r="F328" s="113">
        <v>151902</v>
      </c>
      <c r="G328" s="15">
        <v>1042</v>
      </c>
      <c r="H328" s="15">
        <v>343</v>
      </c>
      <c r="I328" s="15">
        <v>-1385</v>
      </c>
      <c r="J328" s="15"/>
      <c r="K328" s="15"/>
      <c r="L328" s="18"/>
      <c r="M328" s="18"/>
      <c r="N328" s="18"/>
      <c r="O328" s="18"/>
      <c r="P328" s="18"/>
      <c r="Q328" s="17">
        <f t="shared" si="20"/>
        <v>0</v>
      </c>
      <c r="R328" s="646" t="s">
        <v>1178</v>
      </c>
    </row>
    <row r="329" spans="1:18" ht="23.25" customHeight="1" hidden="1">
      <c r="A329" s="113"/>
      <c r="B329" s="113"/>
      <c r="C329" s="248"/>
      <c r="D329" s="324" t="s">
        <v>407</v>
      </c>
      <c r="E329" s="302"/>
      <c r="F329" s="522">
        <v>152534</v>
      </c>
      <c r="G329" s="15"/>
      <c r="H329" s="15"/>
      <c r="I329" s="15"/>
      <c r="J329" s="15"/>
      <c r="K329" s="15"/>
      <c r="L329" s="18"/>
      <c r="M329" s="18"/>
      <c r="N329" s="18"/>
      <c r="O329" s="18"/>
      <c r="P329" s="18"/>
      <c r="Q329" s="17">
        <f t="shared" si="20"/>
        <v>0</v>
      </c>
      <c r="R329" s="646"/>
    </row>
    <row r="330" spans="1:18" ht="15" customHeight="1">
      <c r="A330" s="113"/>
      <c r="B330" s="113"/>
      <c r="C330" s="248"/>
      <c r="D330" s="224" t="s">
        <v>116</v>
      </c>
      <c r="E330" s="306"/>
      <c r="F330" s="541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7"/>
      <c r="R330" s="646"/>
    </row>
    <row r="331" spans="1:18" ht="24.75" customHeight="1">
      <c r="A331" s="113"/>
      <c r="B331" s="113"/>
      <c r="C331" s="248"/>
      <c r="D331" s="224" t="s">
        <v>0</v>
      </c>
      <c r="E331" s="181">
        <v>2</v>
      </c>
      <c r="F331" s="326">
        <v>151910</v>
      </c>
      <c r="G331" s="18"/>
      <c r="H331" s="18"/>
      <c r="I331" s="18">
        <v>20000</v>
      </c>
      <c r="J331" s="18"/>
      <c r="K331" s="18"/>
      <c r="L331" s="18"/>
      <c r="M331" s="18"/>
      <c r="N331" s="18"/>
      <c r="O331" s="18"/>
      <c r="P331" s="18"/>
      <c r="Q331" s="17">
        <f>SUM(G331:P331)</f>
        <v>20000</v>
      </c>
      <c r="R331" s="646" t="s">
        <v>1178</v>
      </c>
    </row>
    <row r="332" spans="1:18" ht="15" customHeight="1" hidden="1">
      <c r="A332" s="113"/>
      <c r="B332" s="113"/>
      <c r="C332" s="248"/>
      <c r="D332" s="224" t="s">
        <v>1094</v>
      </c>
      <c r="E332" s="181"/>
      <c r="F332" s="541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7"/>
      <c r="R332" s="646"/>
    </row>
    <row r="333" spans="1:18" ht="36" customHeight="1" hidden="1">
      <c r="A333" s="113"/>
      <c r="B333" s="113"/>
      <c r="C333" s="248"/>
      <c r="D333" s="224" t="s">
        <v>1187</v>
      </c>
      <c r="E333" s="181">
        <v>1</v>
      </c>
      <c r="F333" s="326">
        <v>152915</v>
      </c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7">
        <f>SUM(G333:P333)</f>
        <v>0</v>
      </c>
      <c r="R333" s="646"/>
    </row>
    <row r="334" spans="1:18" ht="13.5" customHeight="1" hidden="1">
      <c r="A334" s="113"/>
      <c r="B334" s="113"/>
      <c r="C334" s="248"/>
      <c r="D334" s="115" t="s">
        <v>86</v>
      </c>
      <c r="E334" s="302"/>
      <c r="F334" s="522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7"/>
      <c r="R334" s="646"/>
    </row>
    <row r="335" spans="1:18" ht="13.5" customHeight="1" hidden="1">
      <c r="A335" s="113"/>
      <c r="B335" s="113"/>
      <c r="C335" s="248"/>
      <c r="D335" s="115" t="s">
        <v>805</v>
      </c>
      <c r="E335" s="18">
        <v>1</v>
      </c>
      <c r="F335" s="113">
        <v>151704</v>
      </c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7">
        <f>SUM(G335:P335)</f>
        <v>0</v>
      </c>
      <c r="R335" s="646"/>
    </row>
    <row r="336" spans="1:18" ht="12.75" customHeight="1">
      <c r="A336" s="104"/>
      <c r="B336" s="104"/>
      <c r="C336" s="245"/>
      <c r="D336" s="120" t="s">
        <v>1491</v>
      </c>
      <c r="E336" s="107"/>
      <c r="F336" s="532"/>
      <c r="G336" s="111">
        <f aca="true" t="shared" si="21" ref="G336:P336">SUM(G249:G335)</f>
        <v>782</v>
      </c>
      <c r="H336" s="111">
        <f t="shared" si="21"/>
        <v>843</v>
      </c>
      <c r="I336" s="111">
        <f t="shared" si="21"/>
        <v>15938</v>
      </c>
      <c r="J336" s="111">
        <f t="shared" si="21"/>
        <v>0</v>
      </c>
      <c r="K336" s="111">
        <f t="shared" si="21"/>
        <v>0</v>
      </c>
      <c r="L336" s="111">
        <f t="shared" si="21"/>
        <v>1118</v>
      </c>
      <c r="M336" s="111">
        <f t="shared" si="21"/>
        <v>0</v>
      </c>
      <c r="N336" s="111">
        <f t="shared" si="21"/>
        <v>0</v>
      </c>
      <c r="O336" s="111">
        <f t="shared" si="21"/>
        <v>0</v>
      </c>
      <c r="P336" s="111">
        <f t="shared" si="21"/>
        <v>0</v>
      </c>
      <c r="Q336" s="106">
        <f>SUM(Q250:Q335)</f>
        <v>18681</v>
      </c>
      <c r="R336" s="646"/>
    </row>
    <row r="337" spans="1:18" ht="12.75" customHeight="1">
      <c r="A337" s="121"/>
      <c r="B337" s="121"/>
      <c r="C337" s="121"/>
      <c r="D337" s="257" t="s">
        <v>231</v>
      </c>
      <c r="E337" s="18"/>
      <c r="F337" s="113"/>
      <c r="G337" s="122"/>
      <c r="H337" s="122"/>
      <c r="I337" s="122"/>
      <c r="J337" s="122"/>
      <c r="K337" s="122"/>
      <c r="L337" s="123"/>
      <c r="M337" s="123"/>
      <c r="N337" s="123"/>
      <c r="O337" s="122"/>
      <c r="P337" s="122"/>
      <c r="Q337" s="124"/>
      <c r="R337" s="646"/>
    </row>
    <row r="338" spans="1:18" ht="12.75" customHeight="1">
      <c r="A338" s="121"/>
      <c r="B338" s="121"/>
      <c r="C338" s="121" t="s">
        <v>1288</v>
      </c>
      <c r="D338" s="592" t="s">
        <v>152</v>
      </c>
      <c r="E338" s="114"/>
      <c r="F338" s="331"/>
      <c r="G338" s="122"/>
      <c r="H338" s="122"/>
      <c r="I338" s="122"/>
      <c r="J338" s="122"/>
      <c r="K338" s="122"/>
      <c r="L338" s="123"/>
      <c r="M338" s="123"/>
      <c r="N338" s="123"/>
      <c r="O338" s="122"/>
      <c r="P338" s="122"/>
      <c r="Q338" s="124"/>
      <c r="R338" s="646"/>
    </row>
    <row r="339" spans="1:18" ht="16.5" customHeight="1" hidden="1">
      <c r="A339" s="121"/>
      <c r="B339" s="121"/>
      <c r="C339" s="126" t="s">
        <v>1328</v>
      </c>
      <c r="D339" s="364" t="s">
        <v>594</v>
      </c>
      <c r="E339" s="114"/>
      <c r="F339" s="331">
        <v>152125</v>
      </c>
      <c r="G339" s="122"/>
      <c r="H339" s="122"/>
      <c r="I339" s="123"/>
      <c r="J339" s="122"/>
      <c r="K339" s="122"/>
      <c r="L339" s="123"/>
      <c r="M339" s="123"/>
      <c r="N339" s="123"/>
      <c r="O339" s="122"/>
      <c r="P339" s="122"/>
      <c r="Q339" s="124">
        <f aca="true" t="shared" si="22" ref="Q339:Q355">SUM(G339:P339)</f>
        <v>0</v>
      </c>
      <c r="R339" s="646" t="s">
        <v>1180</v>
      </c>
    </row>
    <row r="340" spans="1:18" ht="15.75" customHeight="1" hidden="1">
      <c r="A340" s="121"/>
      <c r="B340" s="121"/>
      <c r="C340" s="126" t="s">
        <v>1331</v>
      </c>
      <c r="D340" s="365" t="s">
        <v>595</v>
      </c>
      <c r="E340" s="114"/>
      <c r="F340" s="331">
        <v>152115</v>
      </c>
      <c r="G340" s="122"/>
      <c r="H340" s="122"/>
      <c r="I340" s="122"/>
      <c r="J340" s="122"/>
      <c r="K340" s="122"/>
      <c r="L340" s="123"/>
      <c r="M340" s="123"/>
      <c r="N340" s="123"/>
      <c r="O340" s="122"/>
      <c r="P340" s="122"/>
      <c r="Q340" s="124">
        <f t="shared" si="22"/>
        <v>0</v>
      </c>
      <c r="R340" s="646"/>
    </row>
    <row r="341" spans="1:18" ht="24.75" customHeight="1">
      <c r="A341" s="121"/>
      <c r="B341" s="121"/>
      <c r="C341" s="126" t="s">
        <v>1332</v>
      </c>
      <c r="D341" s="365" t="s">
        <v>1314</v>
      </c>
      <c r="E341" s="114"/>
      <c r="F341" s="331">
        <v>152122</v>
      </c>
      <c r="G341" s="122"/>
      <c r="H341" s="122"/>
      <c r="I341" s="122"/>
      <c r="J341" s="122"/>
      <c r="K341" s="122"/>
      <c r="L341" s="123">
        <v>255</v>
      </c>
      <c r="M341" s="123"/>
      <c r="N341" s="123"/>
      <c r="O341" s="122"/>
      <c r="P341" s="122"/>
      <c r="Q341" s="124">
        <f t="shared" si="22"/>
        <v>255</v>
      </c>
      <c r="R341" s="646" t="s">
        <v>1180</v>
      </c>
    </row>
    <row r="342" spans="1:18" ht="26.25" customHeight="1" hidden="1">
      <c r="A342" s="121"/>
      <c r="B342" s="121"/>
      <c r="C342" s="126" t="s">
        <v>1333</v>
      </c>
      <c r="D342" s="365" t="s">
        <v>596</v>
      </c>
      <c r="E342" s="114"/>
      <c r="F342" s="331">
        <v>152124</v>
      </c>
      <c r="G342" s="122" t="s">
        <v>999</v>
      </c>
      <c r="H342" s="122"/>
      <c r="I342" s="122"/>
      <c r="J342" s="122"/>
      <c r="K342" s="122"/>
      <c r="L342" s="123"/>
      <c r="M342" s="123"/>
      <c r="N342" s="123"/>
      <c r="O342" s="122"/>
      <c r="P342" s="122"/>
      <c r="Q342" s="124">
        <f t="shared" si="22"/>
        <v>0</v>
      </c>
      <c r="R342" s="646"/>
    </row>
    <row r="343" spans="1:18" ht="15.75" customHeight="1" hidden="1">
      <c r="A343" s="121"/>
      <c r="B343" s="121"/>
      <c r="C343" s="126" t="s">
        <v>1334</v>
      </c>
      <c r="D343" s="364" t="s">
        <v>597</v>
      </c>
      <c r="E343" s="114"/>
      <c r="F343" s="331">
        <v>152110</v>
      </c>
      <c r="G343" s="122"/>
      <c r="H343" s="122"/>
      <c r="I343" s="122"/>
      <c r="J343" s="122"/>
      <c r="K343" s="122"/>
      <c r="L343" s="123"/>
      <c r="M343" s="123"/>
      <c r="N343" s="123"/>
      <c r="O343" s="122"/>
      <c r="P343" s="122"/>
      <c r="Q343" s="124">
        <f t="shared" si="22"/>
        <v>0</v>
      </c>
      <c r="R343" s="646"/>
    </row>
    <row r="344" spans="1:18" ht="15.75" customHeight="1">
      <c r="A344" s="121"/>
      <c r="B344" s="121"/>
      <c r="C344" s="126" t="s">
        <v>1380</v>
      </c>
      <c r="D344" s="364" t="s">
        <v>598</v>
      </c>
      <c r="E344" s="114"/>
      <c r="F344" s="331">
        <v>152112</v>
      </c>
      <c r="G344" s="122"/>
      <c r="H344" s="122"/>
      <c r="I344" s="123">
        <v>30</v>
      </c>
      <c r="J344" s="122"/>
      <c r="K344" s="122"/>
      <c r="L344" s="123">
        <v>-248</v>
      </c>
      <c r="M344" s="123">
        <v>423</v>
      </c>
      <c r="N344" s="123"/>
      <c r="O344" s="122"/>
      <c r="P344" s="122"/>
      <c r="Q344" s="124">
        <f t="shared" si="22"/>
        <v>205</v>
      </c>
      <c r="R344" s="646" t="s">
        <v>1180</v>
      </c>
    </row>
    <row r="345" spans="1:18" ht="15.75" customHeight="1" hidden="1">
      <c r="A345" s="121"/>
      <c r="B345" s="121"/>
      <c r="C345" s="126" t="s">
        <v>505</v>
      </c>
      <c r="D345" s="364" t="s">
        <v>1318</v>
      </c>
      <c r="E345" s="114"/>
      <c r="F345" s="331">
        <v>152109</v>
      </c>
      <c r="G345" s="18"/>
      <c r="H345" s="231"/>
      <c r="I345" s="18"/>
      <c r="J345" s="18"/>
      <c r="K345" s="18"/>
      <c r="L345" s="18"/>
      <c r="M345" s="18"/>
      <c r="N345" s="18"/>
      <c r="O345" s="18"/>
      <c r="P345" s="18"/>
      <c r="Q345" s="17">
        <f t="shared" si="22"/>
        <v>0</v>
      </c>
      <c r="R345" s="646" t="s">
        <v>1180</v>
      </c>
    </row>
    <row r="346" spans="1:18" ht="12.75" customHeight="1" hidden="1">
      <c r="A346" s="121"/>
      <c r="B346" s="121"/>
      <c r="C346" s="126" t="s">
        <v>506</v>
      </c>
      <c r="D346" s="364" t="s">
        <v>607</v>
      </c>
      <c r="E346" s="114"/>
      <c r="F346" s="331">
        <v>154102</v>
      </c>
      <c r="G346" s="18"/>
      <c r="H346" s="231"/>
      <c r="I346" s="18"/>
      <c r="J346" s="18"/>
      <c r="K346" s="18"/>
      <c r="L346" s="18"/>
      <c r="M346" s="18"/>
      <c r="N346" s="18"/>
      <c r="O346" s="18"/>
      <c r="P346" s="18"/>
      <c r="Q346" s="17">
        <f t="shared" si="22"/>
        <v>0</v>
      </c>
      <c r="R346" s="646"/>
    </row>
    <row r="347" spans="1:18" ht="16.5" customHeight="1" hidden="1">
      <c r="A347" s="121"/>
      <c r="B347" s="121"/>
      <c r="C347" s="126" t="s">
        <v>507</v>
      </c>
      <c r="D347" s="364" t="s">
        <v>608</v>
      </c>
      <c r="E347" s="114"/>
      <c r="F347" s="331">
        <v>154117</v>
      </c>
      <c r="G347" s="18"/>
      <c r="H347" s="231"/>
      <c r="I347" s="18"/>
      <c r="J347" s="18"/>
      <c r="K347" s="18"/>
      <c r="L347" s="18"/>
      <c r="M347" s="18"/>
      <c r="N347" s="18"/>
      <c r="O347" s="18"/>
      <c r="P347" s="18"/>
      <c r="Q347" s="17">
        <f t="shared" si="22"/>
        <v>0</v>
      </c>
      <c r="R347" s="646" t="s">
        <v>1180</v>
      </c>
    </row>
    <row r="348" spans="1:18" ht="15.75" customHeight="1" hidden="1">
      <c r="A348" s="121"/>
      <c r="B348" s="121"/>
      <c r="C348" s="126" t="s">
        <v>508</v>
      </c>
      <c r="D348" s="364" t="s">
        <v>609</v>
      </c>
      <c r="E348" s="114"/>
      <c r="F348" s="331">
        <v>154115</v>
      </c>
      <c r="G348" s="122"/>
      <c r="H348" s="122"/>
      <c r="I348" s="122"/>
      <c r="J348" s="122"/>
      <c r="K348" s="122"/>
      <c r="L348" s="123"/>
      <c r="M348" s="123"/>
      <c r="N348" s="123"/>
      <c r="O348" s="122"/>
      <c r="P348" s="122"/>
      <c r="Q348" s="124">
        <f t="shared" si="22"/>
        <v>0</v>
      </c>
      <c r="R348" s="646" t="s">
        <v>1180</v>
      </c>
    </row>
    <row r="349" spans="1:18" ht="16.5" customHeight="1" hidden="1">
      <c r="A349" s="121"/>
      <c r="B349" s="121"/>
      <c r="C349" s="126" t="s">
        <v>610</v>
      </c>
      <c r="D349" s="455" t="s">
        <v>675</v>
      </c>
      <c r="E349" s="114"/>
      <c r="F349" s="331">
        <v>152114</v>
      </c>
      <c r="G349" s="122"/>
      <c r="H349" s="122"/>
      <c r="I349" s="122"/>
      <c r="J349" s="122"/>
      <c r="K349" s="122"/>
      <c r="L349" s="123"/>
      <c r="M349" s="123"/>
      <c r="N349" s="123"/>
      <c r="O349" s="122"/>
      <c r="P349" s="122"/>
      <c r="Q349" s="124">
        <f t="shared" si="22"/>
        <v>0</v>
      </c>
      <c r="R349" s="646"/>
    </row>
    <row r="350" spans="1:18" ht="24.75" customHeight="1" hidden="1">
      <c r="A350" s="121"/>
      <c r="B350" s="121"/>
      <c r="C350" s="126" t="s">
        <v>674</v>
      </c>
      <c r="D350" s="456" t="s">
        <v>743</v>
      </c>
      <c r="E350" s="114"/>
      <c r="F350" s="331">
        <v>154118</v>
      </c>
      <c r="G350" s="122"/>
      <c r="H350" s="122"/>
      <c r="I350" s="122"/>
      <c r="J350" s="122"/>
      <c r="K350" s="122"/>
      <c r="L350" s="123"/>
      <c r="M350" s="123"/>
      <c r="N350" s="123"/>
      <c r="O350" s="122"/>
      <c r="P350" s="122"/>
      <c r="Q350" s="124">
        <f t="shared" si="22"/>
        <v>0</v>
      </c>
      <c r="R350" s="646"/>
    </row>
    <row r="351" spans="1:18" ht="27" customHeight="1" hidden="1">
      <c r="A351" s="121"/>
      <c r="B351" s="121"/>
      <c r="C351" s="126" t="s">
        <v>745</v>
      </c>
      <c r="D351" s="456" t="s">
        <v>744</v>
      </c>
      <c r="E351" s="114"/>
      <c r="F351" s="331">
        <v>154119</v>
      </c>
      <c r="G351" s="122"/>
      <c r="H351" s="122"/>
      <c r="I351" s="122"/>
      <c r="J351" s="122"/>
      <c r="K351" s="122"/>
      <c r="L351" s="123"/>
      <c r="M351" s="123"/>
      <c r="N351" s="123"/>
      <c r="O351" s="122"/>
      <c r="P351" s="122"/>
      <c r="Q351" s="124">
        <f t="shared" si="22"/>
        <v>0</v>
      </c>
      <c r="R351" s="646" t="s">
        <v>1180</v>
      </c>
    </row>
    <row r="352" spans="1:18" ht="15" customHeight="1" hidden="1">
      <c r="A352" s="121"/>
      <c r="B352" s="121"/>
      <c r="C352" s="126" t="s">
        <v>746</v>
      </c>
      <c r="D352" s="457" t="s">
        <v>757</v>
      </c>
      <c r="E352" s="114"/>
      <c r="F352" s="331">
        <v>154120</v>
      </c>
      <c r="G352" s="122"/>
      <c r="H352" s="122"/>
      <c r="I352" s="122"/>
      <c r="J352" s="122"/>
      <c r="K352" s="122"/>
      <c r="L352" s="123"/>
      <c r="M352" s="123"/>
      <c r="N352" s="123"/>
      <c r="O352" s="122"/>
      <c r="P352" s="122"/>
      <c r="Q352" s="124">
        <f t="shared" si="22"/>
        <v>0</v>
      </c>
      <c r="R352" s="646"/>
    </row>
    <row r="353" spans="1:18" ht="28.5" customHeight="1" hidden="1">
      <c r="A353" s="121"/>
      <c r="B353" s="121"/>
      <c r="C353" s="100" t="s">
        <v>1188</v>
      </c>
      <c r="D353" s="374" t="s">
        <v>1189</v>
      </c>
      <c r="E353" s="102"/>
      <c r="F353" s="328">
        <v>132978</v>
      </c>
      <c r="G353" s="122"/>
      <c r="H353" s="122"/>
      <c r="I353" s="122"/>
      <c r="J353" s="122"/>
      <c r="K353" s="122"/>
      <c r="L353" s="123"/>
      <c r="M353" s="123"/>
      <c r="N353" s="123"/>
      <c r="O353" s="122"/>
      <c r="P353" s="122"/>
      <c r="Q353" s="124">
        <f t="shared" si="22"/>
        <v>0</v>
      </c>
      <c r="R353" s="646"/>
    </row>
    <row r="354" spans="1:18" ht="28.5" customHeight="1" hidden="1">
      <c r="A354" s="121"/>
      <c r="B354" s="121"/>
      <c r="C354" s="100" t="s">
        <v>1190</v>
      </c>
      <c r="D354" s="680" t="s">
        <v>1191</v>
      </c>
      <c r="E354" s="102"/>
      <c r="F354" s="328">
        <v>154121</v>
      </c>
      <c r="G354" s="122"/>
      <c r="H354" s="122"/>
      <c r="I354" s="122"/>
      <c r="J354" s="122"/>
      <c r="K354" s="122"/>
      <c r="L354" s="123"/>
      <c r="M354" s="123"/>
      <c r="N354" s="123"/>
      <c r="O354" s="122"/>
      <c r="P354" s="122"/>
      <c r="Q354" s="124">
        <f t="shared" si="22"/>
        <v>0</v>
      </c>
      <c r="R354" s="646"/>
    </row>
    <row r="355" spans="1:18" ht="25.5" customHeight="1" hidden="1">
      <c r="A355" s="121"/>
      <c r="B355" s="121"/>
      <c r="C355" s="100" t="s">
        <v>1192</v>
      </c>
      <c r="D355" s="681" t="s">
        <v>1421</v>
      </c>
      <c r="E355" s="102"/>
      <c r="F355" s="328">
        <v>154122</v>
      </c>
      <c r="G355" s="122"/>
      <c r="H355" s="122"/>
      <c r="I355" s="122"/>
      <c r="J355" s="122"/>
      <c r="K355" s="122"/>
      <c r="L355" s="123"/>
      <c r="M355" s="123"/>
      <c r="N355" s="123"/>
      <c r="O355" s="122"/>
      <c r="P355" s="122"/>
      <c r="Q355" s="124">
        <f t="shared" si="22"/>
        <v>0</v>
      </c>
      <c r="R355" s="646" t="s">
        <v>1180</v>
      </c>
    </row>
    <row r="356" spans="1:18" ht="12.75" customHeight="1" hidden="1">
      <c r="A356" s="121"/>
      <c r="B356" s="121"/>
      <c r="C356" s="126"/>
      <c r="D356" s="255" t="s">
        <v>421</v>
      </c>
      <c r="E356" s="114"/>
      <c r="F356" s="331"/>
      <c r="G356" s="122"/>
      <c r="H356" s="122"/>
      <c r="I356" s="122"/>
      <c r="J356" s="122"/>
      <c r="K356" s="122"/>
      <c r="L356" s="123"/>
      <c r="M356" s="123"/>
      <c r="N356" s="123"/>
      <c r="O356" s="122"/>
      <c r="P356" s="122"/>
      <c r="Q356" s="124"/>
      <c r="R356" s="646"/>
    </row>
    <row r="357" spans="1:18" ht="15.75" customHeight="1" hidden="1">
      <c r="A357" s="121"/>
      <c r="B357" s="121"/>
      <c r="C357" s="126" t="s">
        <v>1060</v>
      </c>
      <c r="D357" s="308" t="s">
        <v>1313</v>
      </c>
      <c r="E357" s="114"/>
      <c r="F357" s="331">
        <v>152116</v>
      </c>
      <c r="G357" s="122"/>
      <c r="H357" s="122"/>
      <c r="I357" s="122"/>
      <c r="J357" s="122"/>
      <c r="K357" s="122"/>
      <c r="L357" s="123"/>
      <c r="M357" s="123"/>
      <c r="N357" s="123"/>
      <c r="O357" s="122"/>
      <c r="P357" s="122"/>
      <c r="Q357" s="124">
        <f aca="true" t="shared" si="23" ref="Q357:Q367">SUM(G357:P357)</f>
        <v>0</v>
      </c>
      <c r="R357" s="646" t="s">
        <v>1180</v>
      </c>
    </row>
    <row r="358" spans="1:18" ht="24" customHeight="1" hidden="1">
      <c r="A358" s="121"/>
      <c r="B358" s="121"/>
      <c r="C358" s="126" t="s">
        <v>1061</v>
      </c>
      <c r="D358" s="309" t="s">
        <v>1329</v>
      </c>
      <c r="E358" s="114"/>
      <c r="F358" s="331">
        <v>154112</v>
      </c>
      <c r="G358" s="122"/>
      <c r="H358" s="122"/>
      <c r="I358" s="122"/>
      <c r="J358" s="122"/>
      <c r="K358" s="122"/>
      <c r="L358" s="123"/>
      <c r="M358" s="123"/>
      <c r="N358" s="123"/>
      <c r="O358" s="122"/>
      <c r="P358" s="122"/>
      <c r="Q358" s="124">
        <f t="shared" si="23"/>
        <v>0</v>
      </c>
      <c r="R358" s="646"/>
    </row>
    <row r="359" spans="1:18" ht="22.5" customHeight="1" hidden="1">
      <c r="A359" s="121"/>
      <c r="B359" s="121"/>
      <c r="C359" s="126" t="s">
        <v>1062</v>
      </c>
      <c r="D359" s="458" t="s">
        <v>1330</v>
      </c>
      <c r="E359" s="114"/>
      <c r="F359" s="331">
        <v>154116</v>
      </c>
      <c r="G359" s="122"/>
      <c r="H359" s="122"/>
      <c r="I359" s="122"/>
      <c r="J359" s="122"/>
      <c r="K359" s="122"/>
      <c r="L359" s="15"/>
      <c r="M359" s="123"/>
      <c r="N359" s="123"/>
      <c r="O359" s="122"/>
      <c r="P359" s="122"/>
      <c r="Q359" s="124">
        <f t="shared" si="23"/>
        <v>0</v>
      </c>
      <c r="R359" s="646"/>
    </row>
    <row r="360" spans="1:18" ht="15.75" customHeight="1" hidden="1">
      <c r="A360" s="121"/>
      <c r="B360" s="121"/>
      <c r="C360" s="126" t="s">
        <v>1063</v>
      </c>
      <c r="D360" s="459" t="s">
        <v>924</v>
      </c>
      <c r="E360" s="114"/>
      <c r="F360" s="328">
        <v>152124</v>
      </c>
      <c r="G360" s="122"/>
      <c r="H360" s="122"/>
      <c r="I360" s="122"/>
      <c r="J360" s="122"/>
      <c r="K360" s="122"/>
      <c r="L360" s="123"/>
      <c r="M360" s="123"/>
      <c r="N360" s="123"/>
      <c r="O360" s="122"/>
      <c r="P360" s="122"/>
      <c r="Q360" s="124">
        <f t="shared" si="23"/>
        <v>0</v>
      </c>
      <c r="R360" s="646"/>
    </row>
    <row r="361" spans="1:18" ht="41.25" customHeight="1">
      <c r="A361" s="121"/>
      <c r="B361" s="121"/>
      <c r="C361" s="126" t="s">
        <v>42</v>
      </c>
      <c r="D361" s="294" t="s">
        <v>784</v>
      </c>
      <c r="E361" s="114"/>
      <c r="F361" s="331">
        <v>152117</v>
      </c>
      <c r="G361" s="122"/>
      <c r="H361" s="122"/>
      <c r="I361" s="123">
        <v>12325</v>
      </c>
      <c r="J361" s="122"/>
      <c r="K361" s="122"/>
      <c r="L361" s="123"/>
      <c r="M361" s="123">
        <v>-12325</v>
      </c>
      <c r="N361" s="123"/>
      <c r="O361" s="122"/>
      <c r="P361" s="122"/>
      <c r="Q361" s="124">
        <f t="shared" si="23"/>
        <v>0</v>
      </c>
      <c r="R361" s="646" t="s">
        <v>1178</v>
      </c>
    </row>
    <row r="362" spans="1:18" ht="42" customHeight="1" hidden="1">
      <c r="A362" s="121"/>
      <c r="B362" s="121"/>
      <c r="C362" s="126" t="s">
        <v>1312</v>
      </c>
      <c r="D362" s="294" t="s">
        <v>882</v>
      </c>
      <c r="E362" s="114"/>
      <c r="F362" s="331">
        <v>152117</v>
      </c>
      <c r="G362" s="122"/>
      <c r="H362" s="122"/>
      <c r="I362" s="122"/>
      <c r="J362" s="122"/>
      <c r="K362" s="122"/>
      <c r="L362" s="123"/>
      <c r="M362" s="123"/>
      <c r="N362" s="123"/>
      <c r="O362" s="122"/>
      <c r="P362" s="122"/>
      <c r="Q362" s="124">
        <f t="shared" si="23"/>
        <v>0</v>
      </c>
      <c r="R362" s="646"/>
    </row>
    <row r="363" spans="1:18" ht="12.75" customHeight="1" hidden="1">
      <c r="A363" s="121"/>
      <c r="B363" s="121"/>
      <c r="C363" s="121">
        <v>2</v>
      </c>
      <c r="D363" s="350" t="s">
        <v>520</v>
      </c>
      <c r="E363" s="114"/>
      <c r="F363" s="331"/>
      <c r="G363" s="122"/>
      <c r="H363" s="122"/>
      <c r="I363" s="122"/>
      <c r="J363" s="122"/>
      <c r="K363" s="122"/>
      <c r="L363" s="123"/>
      <c r="M363" s="123"/>
      <c r="N363" s="123"/>
      <c r="O363" s="122"/>
      <c r="P363" s="122"/>
      <c r="Q363" s="124"/>
      <c r="R363" s="646"/>
    </row>
    <row r="364" spans="1:18" ht="12.75" customHeight="1" hidden="1">
      <c r="A364" s="121"/>
      <c r="B364" s="121"/>
      <c r="C364" s="121"/>
      <c r="D364" s="255" t="s">
        <v>421</v>
      </c>
      <c r="E364" s="114"/>
      <c r="F364" s="331"/>
      <c r="G364" s="122"/>
      <c r="H364" s="122"/>
      <c r="I364" s="122"/>
      <c r="J364" s="122"/>
      <c r="K364" s="122"/>
      <c r="L364" s="123"/>
      <c r="M364" s="123"/>
      <c r="N364" s="123"/>
      <c r="O364" s="122"/>
      <c r="P364" s="122"/>
      <c r="Q364" s="124"/>
      <c r="R364" s="646"/>
    </row>
    <row r="365" spans="1:18" ht="12.75" customHeight="1" hidden="1">
      <c r="A365" s="121"/>
      <c r="B365" s="121"/>
      <c r="C365" s="126" t="s">
        <v>979</v>
      </c>
      <c r="D365" s="308" t="s">
        <v>1316</v>
      </c>
      <c r="E365" s="114"/>
      <c r="F365" s="331">
        <v>152201</v>
      </c>
      <c r="G365" s="122"/>
      <c r="H365" s="122"/>
      <c r="I365" s="122"/>
      <c r="J365" s="122"/>
      <c r="K365" s="122"/>
      <c r="L365" s="123"/>
      <c r="M365" s="123"/>
      <c r="N365" s="123"/>
      <c r="O365" s="122"/>
      <c r="P365" s="122"/>
      <c r="Q365" s="124">
        <f t="shared" si="23"/>
        <v>0</v>
      </c>
      <c r="R365" s="646"/>
    </row>
    <row r="366" spans="1:18" ht="12.75" customHeight="1" hidden="1">
      <c r="A366" s="121"/>
      <c r="B366" s="121"/>
      <c r="C366" s="126" t="s">
        <v>979</v>
      </c>
      <c r="D366" s="308" t="s">
        <v>1317</v>
      </c>
      <c r="E366" s="114"/>
      <c r="F366" s="331">
        <v>152205</v>
      </c>
      <c r="G366" s="122"/>
      <c r="H366" s="122"/>
      <c r="I366" s="122"/>
      <c r="J366" s="122"/>
      <c r="K366" s="122"/>
      <c r="L366" s="123"/>
      <c r="M366" s="123"/>
      <c r="N366" s="123"/>
      <c r="O366" s="122"/>
      <c r="P366" s="122"/>
      <c r="Q366" s="124">
        <f t="shared" si="23"/>
        <v>0</v>
      </c>
      <c r="R366" s="646" t="s">
        <v>1179</v>
      </c>
    </row>
    <row r="367" spans="1:18" ht="12.75" customHeight="1" hidden="1">
      <c r="A367" s="121"/>
      <c r="B367" s="121"/>
      <c r="C367" s="100" t="s">
        <v>666</v>
      </c>
      <c r="D367" s="16" t="s">
        <v>667</v>
      </c>
      <c r="E367" s="114"/>
      <c r="F367" s="331">
        <v>151804</v>
      </c>
      <c r="G367" s="122"/>
      <c r="H367" s="122"/>
      <c r="I367" s="122"/>
      <c r="J367" s="122"/>
      <c r="K367" s="122"/>
      <c r="L367" s="123"/>
      <c r="M367" s="123"/>
      <c r="N367" s="123"/>
      <c r="O367" s="122"/>
      <c r="P367" s="122"/>
      <c r="Q367" s="124">
        <f t="shared" si="23"/>
        <v>0</v>
      </c>
      <c r="R367" s="646" t="s">
        <v>1180</v>
      </c>
    </row>
    <row r="368" spans="1:18" ht="12.75" customHeight="1" hidden="1">
      <c r="A368" s="121"/>
      <c r="B368" s="121"/>
      <c r="C368" s="121" t="s">
        <v>1289</v>
      </c>
      <c r="D368" s="593" t="s">
        <v>521</v>
      </c>
      <c r="E368" s="114"/>
      <c r="F368" s="331"/>
      <c r="G368" s="122"/>
      <c r="H368" s="122"/>
      <c r="I368" s="122"/>
      <c r="J368" s="122"/>
      <c r="K368" s="122"/>
      <c r="L368" s="123"/>
      <c r="M368" s="123"/>
      <c r="N368" s="123"/>
      <c r="O368" s="122"/>
      <c r="P368" s="122"/>
      <c r="Q368" s="124"/>
      <c r="R368" s="646"/>
    </row>
    <row r="369" spans="1:18" ht="12.75" customHeight="1" hidden="1">
      <c r="A369" s="121"/>
      <c r="B369" s="121"/>
      <c r="C369" s="126" t="s">
        <v>1320</v>
      </c>
      <c r="D369" s="367" t="s">
        <v>599</v>
      </c>
      <c r="E369" s="114"/>
      <c r="F369" s="331">
        <v>152325</v>
      </c>
      <c r="G369" s="122"/>
      <c r="H369" s="122"/>
      <c r="I369" s="122"/>
      <c r="J369" s="122"/>
      <c r="K369" s="122"/>
      <c r="L369" s="123"/>
      <c r="M369" s="123"/>
      <c r="N369" s="123"/>
      <c r="O369" s="122"/>
      <c r="P369" s="122"/>
      <c r="Q369" s="124">
        <f aca="true" t="shared" si="24" ref="Q369:Q379">SUM(G369:P369)</f>
        <v>0</v>
      </c>
      <c r="R369" s="646"/>
    </row>
    <row r="370" spans="1:18" ht="12.75" customHeight="1" hidden="1">
      <c r="A370" s="121"/>
      <c r="B370" s="121"/>
      <c r="C370" s="126" t="s">
        <v>1322</v>
      </c>
      <c r="D370" s="368" t="s">
        <v>600</v>
      </c>
      <c r="E370" s="114"/>
      <c r="F370" s="331">
        <v>152326</v>
      </c>
      <c r="G370" s="122"/>
      <c r="H370" s="122"/>
      <c r="I370" s="122"/>
      <c r="J370" s="122"/>
      <c r="K370" s="122"/>
      <c r="L370" s="123"/>
      <c r="M370" s="123"/>
      <c r="N370" s="123"/>
      <c r="O370" s="122"/>
      <c r="P370" s="122"/>
      <c r="Q370" s="124">
        <f t="shared" si="24"/>
        <v>0</v>
      </c>
      <c r="R370" s="646"/>
    </row>
    <row r="371" spans="1:18" ht="12.75" customHeight="1" hidden="1">
      <c r="A371" s="121"/>
      <c r="B371" s="121"/>
      <c r="C371" s="126" t="s">
        <v>1323</v>
      </c>
      <c r="D371" s="368" t="s">
        <v>1193</v>
      </c>
      <c r="E371" s="114"/>
      <c r="F371" s="331">
        <v>152327</v>
      </c>
      <c r="G371" s="122"/>
      <c r="H371" s="122"/>
      <c r="I371" s="122"/>
      <c r="J371" s="122"/>
      <c r="K371" s="122"/>
      <c r="L371" s="123"/>
      <c r="M371" s="123"/>
      <c r="N371" s="123"/>
      <c r="O371" s="122"/>
      <c r="P371" s="122"/>
      <c r="Q371" s="124">
        <f t="shared" si="24"/>
        <v>0</v>
      </c>
      <c r="R371" s="646"/>
    </row>
    <row r="372" spans="1:18" ht="12.75" customHeight="1" hidden="1">
      <c r="A372" s="121"/>
      <c r="B372" s="121"/>
      <c r="C372" s="126" t="s">
        <v>1324</v>
      </c>
      <c r="D372" s="368" t="s">
        <v>603</v>
      </c>
      <c r="E372" s="114"/>
      <c r="F372" s="331">
        <v>152328</v>
      </c>
      <c r="G372" s="122"/>
      <c r="H372" s="122"/>
      <c r="I372" s="122"/>
      <c r="J372" s="122"/>
      <c r="K372" s="122"/>
      <c r="L372" s="123"/>
      <c r="M372" s="123"/>
      <c r="N372" s="123"/>
      <c r="O372" s="122"/>
      <c r="P372" s="122"/>
      <c r="Q372" s="124">
        <f t="shared" si="24"/>
        <v>0</v>
      </c>
      <c r="R372" s="646"/>
    </row>
    <row r="373" spans="1:18" ht="12.75" customHeight="1" hidden="1">
      <c r="A373" s="121"/>
      <c r="B373" s="121"/>
      <c r="C373" s="126" t="s">
        <v>1325</v>
      </c>
      <c r="D373" s="368" t="s">
        <v>604</v>
      </c>
      <c r="E373" s="114"/>
      <c r="F373" s="331">
        <v>152329</v>
      </c>
      <c r="G373" s="122"/>
      <c r="H373" s="122"/>
      <c r="I373" s="122"/>
      <c r="J373" s="122"/>
      <c r="K373" s="122"/>
      <c r="L373" s="123"/>
      <c r="M373" s="123"/>
      <c r="N373" s="123"/>
      <c r="O373" s="122"/>
      <c r="P373" s="122"/>
      <c r="Q373" s="124">
        <f t="shared" si="24"/>
        <v>0</v>
      </c>
      <c r="R373" s="646" t="s">
        <v>1180</v>
      </c>
    </row>
    <row r="374" spans="1:18" ht="12.75" customHeight="1" hidden="1">
      <c r="A374" s="121"/>
      <c r="B374" s="121"/>
      <c r="C374" s="126" t="s">
        <v>1326</v>
      </c>
      <c r="D374" s="368" t="s">
        <v>605</v>
      </c>
      <c r="E374" s="114"/>
      <c r="F374" s="331">
        <v>152330</v>
      </c>
      <c r="G374" s="122"/>
      <c r="H374" s="122"/>
      <c r="I374" s="122"/>
      <c r="J374" s="122"/>
      <c r="K374" s="122"/>
      <c r="L374" s="123"/>
      <c r="M374" s="123"/>
      <c r="N374" s="123"/>
      <c r="O374" s="122"/>
      <c r="P374" s="122"/>
      <c r="Q374" s="124">
        <f t="shared" si="24"/>
        <v>0</v>
      </c>
      <c r="R374" s="646" t="s">
        <v>1180</v>
      </c>
    </row>
    <row r="375" spans="1:18" ht="12.75" customHeight="1" hidden="1">
      <c r="A375" s="121"/>
      <c r="B375" s="121"/>
      <c r="C375" s="126" t="s">
        <v>1327</v>
      </c>
      <c r="D375" s="368" t="s">
        <v>606</v>
      </c>
      <c r="E375" s="114"/>
      <c r="F375" s="331">
        <v>152331</v>
      </c>
      <c r="G375" s="122"/>
      <c r="H375" s="122"/>
      <c r="I375" s="122"/>
      <c r="J375" s="122"/>
      <c r="K375" s="122"/>
      <c r="L375" s="123"/>
      <c r="M375" s="123"/>
      <c r="N375" s="123"/>
      <c r="O375" s="122"/>
      <c r="P375" s="122"/>
      <c r="Q375" s="124">
        <f t="shared" si="24"/>
        <v>0</v>
      </c>
      <c r="R375" s="646" t="s">
        <v>1180</v>
      </c>
    </row>
    <row r="376" spans="1:18" ht="24" customHeight="1" hidden="1">
      <c r="A376" s="121"/>
      <c r="B376" s="121"/>
      <c r="C376" s="126" t="s">
        <v>659</v>
      </c>
      <c r="D376" s="455" t="s">
        <v>159</v>
      </c>
      <c r="E376" s="114"/>
      <c r="F376" s="331">
        <v>152316</v>
      </c>
      <c r="G376" s="122"/>
      <c r="H376" s="122"/>
      <c r="I376" s="122"/>
      <c r="J376" s="122"/>
      <c r="K376" s="122"/>
      <c r="L376" s="123"/>
      <c r="M376" s="123"/>
      <c r="N376" s="123"/>
      <c r="O376" s="122"/>
      <c r="P376" s="122"/>
      <c r="Q376" s="124">
        <f t="shared" si="24"/>
        <v>0</v>
      </c>
      <c r="R376" s="646"/>
    </row>
    <row r="377" spans="1:18" ht="12.75" customHeight="1" hidden="1">
      <c r="A377" s="121"/>
      <c r="B377" s="121"/>
      <c r="C377" s="126" t="s">
        <v>690</v>
      </c>
      <c r="D377" s="457" t="s">
        <v>692</v>
      </c>
      <c r="E377" s="114"/>
      <c r="F377" s="331">
        <v>152320</v>
      </c>
      <c r="G377" s="122"/>
      <c r="H377" s="122"/>
      <c r="I377" s="122"/>
      <c r="J377" s="122"/>
      <c r="K377" s="122"/>
      <c r="L377" s="123"/>
      <c r="M377" s="123"/>
      <c r="N377" s="123"/>
      <c r="O377" s="122"/>
      <c r="P377" s="122"/>
      <c r="Q377" s="124">
        <f t="shared" si="24"/>
        <v>0</v>
      </c>
      <c r="R377" s="646"/>
    </row>
    <row r="378" spans="1:18" ht="12.75" customHeight="1" hidden="1">
      <c r="A378" s="121"/>
      <c r="B378" s="121"/>
      <c r="C378" s="126" t="s">
        <v>691</v>
      </c>
      <c r="D378" s="457" t="s">
        <v>693</v>
      </c>
      <c r="E378" s="114"/>
      <c r="F378" s="331">
        <v>152332</v>
      </c>
      <c r="G378" s="122"/>
      <c r="H378" s="122"/>
      <c r="I378" s="122"/>
      <c r="J378" s="122"/>
      <c r="K378" s="122"/>
      <c r="L378" s="123"/>
      <c r="M378" s="123"/>
      <c r="N378" s="123"/>
      <c r="O378" s="122"/>
      <c r="P378" s="122"/>
      <c r="Q378" s="124">
        <f t="shared" si="24"/>
        <v>0</v>
      </c>
      <c r="R378" s="646"/>
    </row>
    <row r="379" spans="1:18" ht="29.25" customHeight="1" hidden="1">
      <c r="A379" s="112"/>
      <c r="B379" s="121"/>
      <c r="C379" s="126" t="s">
        <v>1413</v>
      </c>
      <c r="D379" s="374" t="s">
        <v>859</v>
      </c>
      <c r="E379" s="114" t="s">
        <v>773</v>
      </c>
      <c r="F379" s="331">
        <v>162975</v>
      </c>
      <c r="G379" s="122"/>
      <c r="H379" s="122"/>
      <c r="I379" s="122"/>
      <c r="J379" s="122"/>
      <c r="K379" s="122"/>
      <c r="L379" s="123"/>
      <c r="M379" s="123"/>
      <c r="N379" s="123"/>
      <c r="O379" s="122"/>
      <c r="P379" s="122"/>
      <c r="Q379" s="124">
        <f t="shared" si="24"/>
        <v>0</v>
      </c>
      <c r="R379" s="646"/>
    </row>
    <row r="380" spans="1:18" ht="12.75" customHeight="1" hidden="1">
      <c r="A380" s="121"/>
      <c r="B380" s="121"/>
      <c r="C380" s="121"/>
      <c r="D380" s="255" t="s">
        <v>421</v>
      </c>
      <c r="E380" s="114"/>
      <c r="F380" s="331"/>
      <c r="G380" s="122"/>
      <c r="H380" s="122"/>
      <c r="I380" s="122"/>
      <c r="J380" s="122"/>
      <c r="K380" s="122"/>
      <c r="L380" s="123"/>
      <c r="M380" s="123"/>
      <c r="N380" s="123"/>
      <c r="O380" s="122"/>
      <c r="P380" s="122"/>
      <c r="Q380" s="124"/>
      <c r="R380" s="646"/>
    </row>
    <row r="381" spans="1:18" ht="12.75" customHeight="1" hidden="1">
      <c r="A381" s="121"/>
      <c r="B381" s="121"/>
      <c r="C381" s="126" t="s">
        <v>1123</v>
      </c>
      <c r="D381" s="256" t="s">
        <v>1122</v>
      </c>
      <c r="E381" s="114"/>
      <c r="F381" s="331">
        <v>152315</v>
      </c>
      <c r="G381" s="122"/>
      <c r="H381" s="122"/>
      <c r="I381" s="122"/>
      <c r="J381" s="122"/>
      <c r="K381" s="122"/>
      <c r="L381" s="123"/>
      <c r="M381" s="123"/>
      <c r="N381" s="123"/>
      <c r="O381" s="122"/>
      <c r="P381" s="122"/>
      <c r="Q381" s="124">
        <f>SUM(G381:P381)</f>
        <v>0</v>
      </c>
      <c r="R381" s="646" t="s">
        <v>1179</v>
      </c>
    </row>
    <row r="382" spans="1:18" ht="12.75" customHeight="1" hidden="1">
      <c r="A382" s="121"/>
      <c r="B382" s="121"/>
      <c r="C382" s="126" t="s">
        <v>1124</v>
      </c>
      <c r="D382" s="224" t="s">
        <v>1321</v>
      </c>
      <c r="E382" s="114"/>
      <c r="F382" s="331">
        <v>152323</v>
      </c>
      <c r="G382" s="122"/>
      <c r="H382" s="122"/>
      <c r="I382" s="122"/>
      <c r="J382" s="122"/>
      <c r="K382" s="122"/>
      <c r="L382" s="123"/>
      <c r="M382" s="123"/>
      <c r="N382" s="123"/>
      <c r="O382" s="122"/>
      <c r="P382" s="122"/>
      <c r="Q382" s="124">
        <f>SUM(G382:P382)</f>
        <v>0</v>
      </c>
      <c r="R382" s="646"/>
    </row>
    <row r="383" spans="1:18" ht="12.75" customHeight="1">
      <c r="A383" s="121"/>
      <c r="B383" s="121"/>
      <c r="C383" s="121" t="s">
        <v>1290</v>
      </c>
      <c r="D383" s="270" t="s">
        <v>337</v>
      </c>
      <c r="E383" s="114"/>
      <c r="F383" s="331"/>
      <c r="G383" s="122"/>
      <c r="H383" s="122"/>
      <c r="I383" s="122"/>
      <c r="J383" s="122"/>
      <c r="K383" s="122"/>
      <c r="L383" s="123"/>
      <c r="M383" s="123"/>
      <c r="N383" s="123"/>
      <c r="O383" s="122"/>
      <c r="P383" s="122"/>
      <c r="Q383" s="124"/>
      <c r="R383" s="646"/>
    </row>
    <row r="384" spans="1:18" ht="15.75" customHeight="1" hidden="1">
      <c r="A384" s="121"/>
      <c r="B384" s="121"/>
      <c r="C384" s="126" t="s">
        <v>1292</v>
      </c>
      <c r="D384" s="460" t="s">
        <v>1047</v>
      </c>
      <c r="E384" s="114"/>
      <c r="F384" s="331">
        <v>152406</v>
      </c>
      <c r="G384" s="122"/>
      <c r="H384" s="122"/>
      <c r="I384" s="123"/>
      <c r="J384" s="122"/>
      <c r="K384" s="122"/>
      <c r="L384" s="123"/>
      <c r="M384" s="123"/>
      <c r="N384" s="123"/>
      <c r="O384" s="122"/>
      <c r="P384" s="122"/>
      <c r="Q384" s="124">
        <f aca="true" t="shared" si="25" ref="Q384:Q415">SUM(G384:P384)</f>
        <v>0</v>
      </c>
      <c r="R384" s="646" t="s">
        <v>1180</v>
      </c>
    </row>
    <row r="385" spans="1:18" ht="15.75" customHeight="1" hidden="1">
      <c r="A385" s="121"/>
      <c r="B385" s="121"/>
      <c r="C385" s="126" t="s">
        <v>806</v>
      </c>
      <c r="D385" s="460" t="s">
        <v>611</v>
      </c>
      <c r="E385" s="114"/>
      <c r="F385" s="331">
        <v>152452</v>
      </c>
      <c r="G385" s="122"/>
      <c r="H385" s="122"/>
      <c r="I385" s="122"/>
      <c r="J385" s="122"/>
      <c r="K385" s="122"/>
      <c r="L385" s="123"/>
      <c r="M385" s="123"/>
      <c r="N385" s="123"/>
      <c r="O385" s="122"/>
      <c r="P385" s="122"/>
      <c r="Q385" s="124">
        <f t="shared" si="25"/>
        <v>0</v>
      </c>
      <c r="R385" s="647" t="s">
        <v>1180</v>
      </c>
    </row>
    <row r="386" spans="1:18" ht="15.75" customHeight="1" hidden="1">
      <c r="A386" s="121"/>
      <c r="B386" s="121"/>
      <c r="C386" s="126" t="s">
        <v>1372</v>
      </c>
      <c r="D386" s="460" t="s">
        <v>612</v>
      </c>
      <c r="E386" s="114"/>
      <c r="F386" s="331">
        <v>154404</v>
      </c>
      <c r="G386" s="122"/>
      <c r="H386" s="122"/>
      <c r="I386" s="122"/>
      <c r="J386" s="122"/>
      <c r="K386" s="122"/>
      <c r="L386" s="123"/>
      <c r="M386" s="123"/>
      <c r="N386" s="123"/>
      <c r="O386" s="122"/>
      <c r="P386" s="122"/>
      <c r="Q386" s="124">
        <f t="shared" si="25"/>
        <v>0</v>
      </c>
      <c r="R386" s="646" t="s">
        <v>1180</v>
      </c>
    </row>
    <row r="387" spans="1:18" ht="15.75" customHeight="1" hidden="1">
      <c r="A387" s="121"/>
      <c r="B387" s="121"/>
      <c r="C387" s="126" t="s">
        <v>1373</v>
      </c>
      <c r="D387" s="460" t="s">
        <v>613</v>
      </c>
      <c r="E387" s="114"/>
      <c r="F387" s="331">
        <v>155444</v>
      </c>
      <c r="G387" s="122"/>
      <c r="H387" s="122"/>
      <c r="I387" s="122"/>
      <c r="J387" s="122"/>
      <c r="K387" s="122"/>
      <c r="L387" s="123"/>
      <c r="M387" s="123"/>
      <c r="N387" s="123"/>
      <c r="O387" s="122"/>
      <c r="P387" s="122"/>
      <c r="Q387" s="124">
        <f t="shared" si="25"/>
        <v>0</v>
      </c>
      <c r="R387" s="646"/>
    </row>
    <row r="388" spans="1:18" ht="15.75" customHeight="1" hidden="1">
      <c r="A388" s="121"/>
      <c r="B388" s="121"/>
      <c r="C388" s="126" t="s">
        <v>1374</v>
      </c>
      <c r="D388" s="460" t="s">
        <v>614</v>
      </c>
      <c r="E388" s="114"/>
      <c r="F388" s="331">
        <v>155445</v>
      </c>
      <c r="G388" s="122"/>
      <c r="H388" s="122"/>
      <c r="I388" s="122"/>
      <c r="J388" s="122"/>
      <c r="K388" s="122"/>
      <c r="L388" s="123"/>
      <c r="M388" s="123"/>
      <c r="N388" s="123"/>
      <c r="O388" s="122"/>
      <c r="P388" s="122"/>
      <c r="Q388" s="124">
        <f t="shared" si="25"/>
        <v>0</v>
      </c>
      <c r="R388" s="646" t="s">
        <v>1180</v>
      </c>
    </row>
    <row r="389" spans="1:18" ht="15.75" customHeight="1" hidden="1">
      <c r="A389" s="121"/>
      <c r="B389" s="121"/>
      <c r="C389" s="126" t="s">
        <v>1375</v>
      </c>
      <c r="D389" s="687" t="s">
        <v>48</v>
      </c>
      <c r="E389" s="114"/>
      <c r="F389" s="331">
        <v>154485</v>
      </c>
      <c r="G389" s="122"/>
      <c r="H389" s="122"/>
      <c r="I389" s="122"/>
      <c r="J389" s="122"/>
      <c r="K389" s="122"/>
      <c r="L389" s="123"/>
      <c r="M389" s="123"/>
      <c r="N389" s="123"/>
      <c r="O389" s="122"/>
      <c r="P389" s="122"/>
      <c r="Q389" s="124">
        <f t="shared" si="25"/>
        <v>0</v>
      </c>
      <c r="R389" s="646" t="s">
        <v>1180</v>
      </c>
    </row>
    <row r="390" spans="1:18" ht="15.75" customHeight="1" hidden="1">
      <c r="A390" s="121"/>
      <c r="B390" s="121"/>
      <c r="C390" s="126" t="s">
        <v>1376</v>
      </c>
      <c r="D390" s="687" t="s">
        <v>615</v>
      </c>
      <c r="E390" s="114"/>
      <c r="F390" s="331">
        <v>154493</v>
      </c>
      <c r="G390" s="122"/>
      <c r="H390" s="122"/>
      <c r="I390" s="122"/>
      <c r="J390" s="122"/>
      <c r="K390" s="122"/>
      <c r="L390" s="123"/>
      <c r="M390" s="123"/>
      <c r="N390" s="123"/>
      <c r="O390" s="122"/>
      <c r="P390" s="122"/>
      <c r="Q390" s="124">
        <f t="shared" si="25"/>
        <v>0</v>
      </c>
      <c r="R390" s="646" t="s">
        <v>1180</v>
      </c>
    </row>
    <row r="391" spans="1:18" ht="15.75" customHeight="1" hidden="1">
      <c r="A391" s="121"/>
      <c r="B391" s="121"/>
      <c r="C391" s="126" t="s">
        <v>1377</v>
      </c>
      <c r="D391" s="688" t="s">
        <v>616</v>
      </c>
      <c r="E391" s="114"/>
      <c r="F391" s="331">
        <v>155446</v>
      </c>
      <c r="G391" s="122"/>
      <c r="H391" s="122"/>
      <c r="I391" s="122"/>
      <c r="J391" s="122"/>
      <c r="K391" s="122"/>
      <c r="L391" s="123"/>
      <c r="M391" s="123"/>
      <c r="N391" s="123"/>
      <c r="O391" s="122"/>
      <c r="P391" s="122"/>
      <c r="Q391" s="124">
        <f t="shared" si="25"/>
        <v>0</v>
      </c>
      <c r="R391" s="646" t="s">
        <v>1180</v>
      </c>
    </row>
    <row r="392" spans="1:18" ht="15.75" customHeight="1" hidden="1">
      <c r="A392" s="121"/>
      <c r="B392" s="121"/>
      <c r="C392" s="126" t="s">
        <v>1378</v>
      </c>
      <c r="D392" s="688" t="s">
        <v>617</v>
      </c>
      <c r="E392" s="114"/>
      <c r="F392" s="331">
        <v>155416</v>
      </c>
      <c r="G392" s="122"/>
      <c r="H392" s="122"/>
      <c r="I392" s="122"/>
      <c r="J392" s="122"/>
      <c r="K392" s="122"/>
      <c r="L392" s="123"/>
      <c r="M392" s="123"/>
      <c r="N392" s="123"/>
      <c r="O392" s="122"/>
      <c r="P392" s="122"/>
      <c r="Q392" s="124">
        <f t="shared" si="25"/>
        <v>0</v>
      </c>
      <c r="R392" s="646"/>
    </row>
    <row r="393" spans="1:18" ht="15.75" customHeight="1" hidden="1">
      <c r="A393" s="121"/>
      <c r="B393" s="121"/>
      <c r="C393" s="126" t="s">
        <v>1379</v>
      </c>
      <c r="D393" s="687" t="s">
        <v>618</v>
      </c>
      <c r="E393" s="114"/>
      <c r="F393" s="331">
        <v>155447</v>
      </c>
      <c r="G393" s="122"/>
      <c r="H393" s="122"/>
      <c r="I393" s="122"/>
      <c r="J393" s="122"/>
      <c r="K393" s="122"/>
      <c r="L393" s="123"/>
      <c r="M393" s="123"/>
      <c r="N393" s="123"/>
      <c r="O393" s="122"/>
      <c r="P393" s="122"/>
      <c r="Q393" s="124">
        <f t="shared" si="25"/>
        <v>0</v>
      </c>
      <c r="R393" s="646"/>
    </row>
    <row r="394" spans="1:18" ht="26.25" customHeight="1" hidden="1">
      <c r="A394" s="121"/>
      <c r="B394" s="121"/>
      <c r="C394" s="126" t="s">
        <v>1388</v>
      </c>
      <c r="D394" s="687" t="s">
        <v>622</v>
      </c>
      <c r="E394" s="114"/>
      <c r="F394" s="328">
        <v>154412</v>
      </c>
      <c r="G394" s="122"/>
      <c r="H394" s="122"/>
      <c r="I394" s="122"/>
      <c r="J394" s="122"/>
      <c r="K394" s="122"/>
      <c r="L394" s="123"/>
      <c r="M394" s="123"/>
      <c r="N394" s="123"/>
      <c r="O394" s="122"/>
      <c r="P394" s="122"/>
      <c r="Q394" s="124">
        <f t="shared" si="25"/>
        <v>0</v>
      </c>
      <c r="R394" s="646" t="s">
        <v>1180</v>
      </c>
    </row>
    <row r="395" spans="1:18" ht="15.75" customHeight="1" hidden="1">
      <c r="A395" s="121"/>
      <c r="B395" s="121"/>
      <c r="C395" s="126" t="s">
        <v>1389</v>
      </c>
      <c r="D395" s="687" t="s">
        <v>623</v>
      </c>
      <c r="E395" s="114"/>
      <c r="F395" s="331">
        <v>154487</v>
      </c>
      <c r="G395" s="122"/>
      <c r="H395" s="122"/>
      <c r="I395" s="122"/>
      <c r="J395" s="122"/>
      <c r="K395" s="122"/>
      <c r="L395" s="123"/>
      <c r="M395" s="15"/>
      <c r="N395" s="123"/>
      <c r="O395" s="122"/>
      <c r="P395" s="122"/>
      <c r="Q395" s="124">
        <f t="shared" si="25"/>
        <v>0</v>
      </c>
      <c r="R395" s="646" t="s">
        <v>1180</v>
      </c>
    </row>
    <row r="396" spans="1:18" ht="15.75" customHeight="1" hidden="1">
      <c r="A396" s="121"/>
      <c r="B396" s="121"/>
      <c r="C396" s="126" t="s">
        <v>1390</v>
      </c>
      <c r="D396" s="687" t="s">
        <v>860</v>
      </c>
      <c r="E396" s="114"/>
      <c r="F396" s="331">
        <v>155448</v>
      </c>
      <c r="G396" s="122"/>
      <c r="H396" s="122"/>
      <c r="I396" s="122"/>
      <c r="J396" s="122"/>
      <c r="K396" s="122"/>
      <c r="L396" s="123"/>
      <c r="M396" s="123"/>
      <c r="N396" s="123"/>
      <c r="O396" s="122"/>
      <c r="P396" s="122"/>
      <c r="Q396" s="124">
        <f t="shared" si="25"/>
        <v>0</v>
      </c>
      <c r="R396" s="646"/>
    </row>
    <row r="397" spans="1:18" ht="24.75" customHeight="1" hidden="1">
      <c r="A397" s="121"/>
      <c r="B397" s="121"/>
      <c r="C397" s="126" t="s">
        <v>1391</v>
      </c>
      <c r="D397" s="687" t="s">
        <v>624</v>
      </c>
      <c r="E397" s="114"/>
      <c r="F397" s="331">
        <v>155449</v>
      </c>
      <c r="G397" s="122"/>
      <c r="H397" s="122"/>
      <c r="I397" s="122"/>
      <c r="J397" s="122"/>
      <c r="K397" s="122"/>
      <c r="L397" s="123"/>
      <c r="M397" s="123"/>
      <c r="N397" s="123"/>
      <c r="O397" s="122"/>
      <c r="P397" s="122"/>
      <c r="Q397" s="124">
        <f t="shared" si="25"/>
        <v>0</v>
      </c>
      <c r="R397" s="646"/>
    </row>
    <row r="398" spans="1:18" ht="15.75" customHeight="1" hidden="1">
      <c r="A398" s="121"/>
      <c r="B398" s="121"/>
      <c r="C398" s="126" t="s">
        <v>1392</v>
      </c>
      <c r="D398" s="689" t="s">
        <v>625</v>
      </c>
      <c r="E398" s="114"/>
      <c r="F398" s="331">
        <v>154492</v>
      </c>
      <c r="G398" s="122"/>
      <c r="H398" s="122"/>
      <c r="I398" s="122"/>
      <c r="J398" s="122"/>
      <c r="K398" s="122"/>
      <c r="L398" s="123"/>
      <c r="M398" s="123"/>
      <c r="N398" s="123"/>
      <c r="O398" s="122"/>
      <c r="P398" s="122"/>
      <c r="Q398" s="124">
        <f t="shared" si="25"/>
        <v>0</v>
      </c>
      <c r="R398" s="646"/>
    </row>
    <row r="399" spans="1:18" ht="15.75" customHeight="1" hidden="1">
      <c r="A399" s="121"/>
      <c r="B399" s="121"/>
      <c r="C399" s="126" t="s">
        <v>1393</v>
      </c>
      <c r="D399" s="687" t="s">
        <v>626</v>
      </c>
      <c r="E399" s="114"/>
      <c r="F399" s="331">
        <v>155450</v>
      </c>
      <c r="G399" s="122"/>
      <c r="H399" s="122"/>
      <c r="I399" s="122"/>
      <c r="J399" s="122"/>
      <c r="K399" s="122"/>
      <c r="L399" s="123"/>
      <c r="M399" s="123"/>
      <c r="N399" s="123"/>
      <c r="O399" s="122"/>
      <c r="P399" s="122"/>
      <c r="Q399" s="124">
        <f t="shared" si="25"/>
        <v>0</v>
      </c>
      <c r="R399" s="646"/>
    </row>
    <row r="400" spans="1:18" ht="15.75" customHeight="1" hidden="1">
      <c r="A400" s="121"/>
      <c r="B400" s="121"/>
      <c r="C400" s="126" t="s">
        <v>1394</v>
      </c>
      <c r="D400" s="687" t="s">
        <v>627</v>
      </c>
      <c r="E400" s="283"/>
      <c r="F400" s="542">
        <v>155451</v>
      </c>
      <c r="G400" s="523"/>
      <c r="H400" s="523"/>
      <c r="I400" s="523"/>
      <c r="J400" s="523"/>
      <c r="K400" s="523"/>
      <c r="L400" s="524"/>
      <c r="M400" s="524"/>
      <c r="N400" s="524"/>
      <c r="O400" s="523"/>
      <c r="P400" s="523"/>
      <c r="Q400" s="640">
        <f t="shared" si="25"/>
        <v>0</v>
      </c>
      <c r="R400" s="646" t="s">
        <v>1180</v>
      </c>
    </row>
    <row r="401" spans="1:18" ht="15" customHeight="1" hidden="1">
      <c r="A401" s="121"/>
      <c r="B401" s="121"/>
      <c r="C401" s="126" t="s">
        <v>1395</v>
      </c>
      <c r="D401" s="690" t="s">
        <v>638</v>
      </c>
      <c r="E401" s="696"/>
      <c r="F401" s="543">
        <v>155452</v>
      </c>
      <c r="G401" s="527"/>
      <c r="H401" s="527"/>
      <c r="I401" s="527"/>
      <c r="J401" s="527"/>
      <c r="K401" s="527"/>
      <c r="L401" s="527"/>
      <c r="M401" s="527"/>
      <c r="N401" s="527"/>
      <c r="O401" s="527"/>
      <c r="P401" s="527"/>
      <c r="Q401" s="322">
        <f t="shared" si="25"/>
        <v>0</v>
      </c>
      <c r="R401" s="646"/>
    </row>
    <row r="402" spans="1:18" ht="26.25" customHeight="1" hidden="1">
      <c r="A402" s="121"/>
      <c r="B402" s="121"/>
      <c r="C402" s="126" t="s">
        <v>1396</v>
      </c>
      <c r="D402" s="690" t="s">
        <v>639</v>
      </c>
      <c r="E402" s="287"/>
      <c r="F402" s="544">
        <v>155442</v>
      </c>
      <c r="G402" s="525"/>
      <c r="H402" s="525"/>
      <c r="I402" s="525"/>
      <c r="J402" s="525"/>
      <c r="K402" s="525"/>
      <c r="L402" s="526"/>
      <c r="M402" s="526"/>
      <c r="N402" s="526"/>
      <c r="O402" s="525"/>
      <c r="P402" s="525"/>
      <c r="Q402" s="641">
        <f t="shared" si="25"/>
        <v>0</v>
      </c>
      <c r="R402" s="646" t="s">
        <v>1180</v>
      </c>
    </row>
    <row r="403" spans="1:18" ht="12.75" customHeight="1" hidden="1">
      <c r="A403" s="121"/>
      <c r="B403" s="121"/>
      <c r="C403" s="126" t="s">
        <v>1397</v>
      </c>
      <c r="D403" s="691" t="s">
        <v>644</v>
      </c>
      <c r="E403" s="114"/>
      <c r="F403" s="331">
        <v>154406</v>
      </c>
      <c r="G403" s="122"/>
      <c r="H403" s="122"/>
      <c r="I403" s="122"/>
      <c r="J403" s="122"/>
      <c r="K403" s="122"/>
      <c r="L403" s="123"/>
      <c r="M403" s="123"/>
      <c r="N403" s="123"/>
      <c r="O403" s="122"/>
      <c r="P403" s="122"/>
      <c r="Q403" s="124">
        <f t="shared" si="25"/>
        <v>0</v>
      </c>
      <c r="R403" s="646"/>
    </row>
    <row r="404" spans="1:18" ht="12.75" customHeight="1" hidden="1">
      <c r="A404" s="121"/>
      <c r="B404" s="121"/>
      <c r="C404" s="126" t="s">
        <v>1407</v>
      </c>
      <c r="D404" s="692" t="s">
        <v>645</v>
      </c>
      <c r="E404" s="114"/>
      <c r="F404" s="331">
        <v>155401</v>
      </c>
      <c r="G404" s="122"/>
      <c r="H404" s="122"/>
      <c r="I404" s="122"/>
      <c r="J404" s="122"/>
      <c r="K404" s="122"/>
      <c r="L404" s="123"/>
      <c r="M404" s="123"/>
      <c r="N404" s="123"/>
      <c r="O404" s="122"/>
      <c r="P404" s="122"/>
      <c r="Q404" s="124">
        <f t="shared" si="25"/>
        <v>0</v>
      </c>
      <c r="R404" s="646"/>
    </row>
    <row r="405" spans="1:18" ht="12.75" customHeight="1" hidden="1">
      <c r="A405" s="121"/>
      <c r="B405" s="121"/>
      <c r="C405" s="126" t="s">
        <v>1408</v>
      </c>
      <c r="D405" s="690" t="s">
        <v>646</v>
      </c>
      <c r="E405" s="114"/>
      <c r="F405" s="331">
        <v>155423</v>
      </c>
      <c r="G405" s="122"/>
      <c r="H405" s="122"/>
      <c r="I405" s="122"/>
      <c r="J405" s="122"/>
      <c r="K405" s="122"/>
      <c r="L405" s="123"/>
      <c r="M405" s="123"/>
      <c r="N405" s="123"/>
      <c r="O405" s="122"/>
      <c r="P405" s="122"/>
      <c r="Q405" s="124">
        <f t="shared" si="25"/>
        <v>0</v>
      </c>
      <c r="R405" s="646"/>
    </row>
    <row r="406" spans="1:18" ht="21" customHeight="1" hidden="1">
      <c r="A406" s="121"/>
      <c r="B406" s="121"/>
      <c r="C406" s="126" t="s">
        <v>1409</v>
      </c>
      <c r="D406" s="693" t="s">
        <v>649</v>
      </c>
      <c r="E406" s="114"/>
      <c r="F406" s="331">
        <v>155420</v>
      </c>
      <c r="G406" s="122"/>
      <c r="H406" s="122"/>
      <c r="I406" s="122"/>
      <c r="J406" s="122"/>
      <c r="K406" s="122"/>
      <c r="L406" s="123"/>
      <c r="M406" s="123"/>
      <c r="N406" s="123"/>
      <c r="O406" s="122"/>
      <c r="P406" s="122"/>
      <c r="Q406" s="124">
        <f t="shared" si="25"/>
        <v>0</v>
      </c>
      <c r="R406" s="646"/>
    </row>
    <row r="407" spans="1:18" ht="27" customHeight="1" hidden="1">
      <c r="A407" s="121"/>
      <c r="B407" s="121"/>
      <c r="C407" s="126" t="s">
        <v>1410</v>
      </c>
      <c r="D407" s="693" t="s">
        <v>650</v>
      </c>
      <c r="E407" s="114"/>
      <c r="F407" s="331">
        <v>155453</v>
      </c>
      <c r="G407" s="122"/>
      <c r="H407" s="122"/>
      <c r="I407" s="122"/>
      <c r="J407" s="122"/>
      <c r="K407" s="122"/>
      <c r="L407" s="123"/>
      <c r="M407" s="123"/>
      <c r="N407" s="123"/>
      <c r="O407" s="122"/>
      <c r="P407" s="122"/>
      <c r="Q407" s="124">
        <f t="shared" si="25"/>
        <v>0</v>
      </c>
      <c r="R407" s="646" t="s">
        <v>1180</v>
      </c>
    </row>
    <row r="408" spans="1:18" ht="27" customHeight="1" hidden="1">
      <c r="A408" s="121"/>
      <c r="B408" s="121"/>
      <c r="C408" s="126" t="s">
        <v>1411</v>
      </c>
      <c r="D408" s="693" t="s">
        <v>651</v>
      </c>
      <c r="E408" s="114"/>
      <c r="F408" s="331">
        <v>155425</v>
      </c>
      <c r="G408" s="122"/>
      <c r="H408" s="122"/>
      <c r="I408" s="122"/>
      <c r="J408" s="122"/>
      <c r="K408" s="122"/>
      <c r="L408" s="123"/>
      <c r="M408" s="123"/>
      <c r="N408" s="123"/>
      <c r="O408" s="122"/>
      <c r="P408" s="122"/>
      <c r="Q408" s="124">
        <f t="shared" si="25"/>
        <v>0</v>
      </c>
      <c r="R408" s="646" t="s">
        <v>1180</v>
      </c>
    </row>
    <row r="409" spans="1:18" ht="12.75" customHeight="1" hidden="1">
      <c r="A409" s="121"/>
      <c r="B409" s="121"/>
      <c r="C409" s="126" t="s">
        <v>1412</v>
      </c>
      <c r="D409" s="693" t="s">
        <v>652</v>
      </c>
      <c r="E409" s="114"/>
      <c r="F409" s="331">
        <v>155454</v>
      </c>
      <c r="G409" s="122"/>
      <c r="H409" s="122"/>
      <c r="I409" s="122"/>
      <c r="J409" s="122"/>
      <c r="K409" s="122"/>
      <c r="L409" s="123"/>
      <c r="M409" s="123"/>
      <c r="N409" s="123"/>
      <c r="O409" s="122"/>
      <c r="P409" s="122"/>
      <c r="Q409" s="124">
        <f t="shared" si="25"/>
        <v>0</v>
      </c>
      <c r="R409" s="646"/>
    </row>
    <row r="410" spans="1:18" ht="23.25" customHeight="1" hidden="1">
      <c r="A410" s="121"/>
      <c r="B410" s="121"/>
      <c r="C410" s="126" t="s">
        <v>762</v>
      </c>
      <c r="D410" s="693" t="s">
        <v>883</v>
      </c>
      <c r="E410" s="114"/>
      <c r="F410" s="331">
        <v>155455</v>
      </c>
      <c r="G410" s="122"/>
      <c r="H410" s="122"/>
      <c r="I410" s="122"/>
      <c r="J410" s="122"/>
      <c r="K410" s="122"/>
      <c r="L410" s="123"/>
      <c r="M410" s="123"/>
      <c r="N410" s="123"/>
      <c r="O410" s="122"/>
      <c r="P410" s="122"/>
      <c r="Q410" s="124">
        <f t="shared" si="25"/>
        <v>0</v>
      </c>
      <c r="R410" s="646" t="s">
        <v>1180</v>
      </c>
    </row>
    <row r="411" spans="1:18" ht="12.75" customHeight="1" hidden="1">
      <c r="A411" s="121"/>
      <c r="B411" s="121"/>
      <c r="C411" s="126" t="s">
        <v>763</v>
      </c>
      <c r="D411" s="694" t="s">
        <v>653</v>
      </c>
      <c r="E411" s="114"/>
      <c r="F411" s="331">
        <v>155456</v>
      </c>
      <c r="G411" s="122"/>
      <c r="H411" s="122"/>
      <c r="I411" s="122"/>
      <c r="J411" s="122"/>
      <c r="K411" s="122"/>
      <c r="L411" s="123"/>
      <c r="M411" s="123"/>
      <c r="N411" s="123"/>
      <c r="O411" s="122"/>
      <c r="P411" s="122"/>
      <c r="Q411" s="124">
        <f t="shared" si="25"/>
        <v>0</v>
      </c>
      <c r="R411" s="646"/>
    </row>
    <row r="412" spans="1:18" ht="12.75" customHeight="1" hidden="1">
      <c r="A412" s="121"/>
      <c r="B412" s="121"/>
      <c r="C412" s="126" t="s">
        <v>764</v>
      </c>
      <c r="D412" s="694" t="s">
        <v>657</v>
      </c>
      <c r="E412" s="114"/>
      <c r="F412" s="331">
        <v>155407</v>
      </c>
      <c r="G412" s="122"/>
      <c r="H412" s="122"/>
      <c r="I412" s="122"/>
      <c r="J412" s="122"/>
      <c r="K412" s="122"/>
      <c r="L412" s="123"/>
      <c r="M412" s="123"/>
      <c r="N412" s="123"/>
      <c r="O412" s="122"/>
      <c r="P412" s="122"/>
      <c r="Q412" s="124">
        <f t="shared" si="25"/>
        <v>0</v>
      </c>
      <c r="R412" s="646"/>
    </row>
    <row r="413" spans="1:18" ht="21.75" customHeight="1" hidden="1">
      <c r="A413" s="121"/>
      <c r="B413" s="121"/>
      <c r="C413" s="126" t="s">
        <v>765</v>
      </c>
      <c r="D413" s="694" t="s">
        <v>658</v>
      </c>
      <c r="E413" s="114"/>
      <c r="F413" s="331">
        <v>155457</v>
      </c>
      <c r="G413" s="122"/>
      <c r="H413" s="122"/>
      <c r="I413" s="122"/>
      <c r="J413" s="122"/>
      <c r="K413" s="122"/>
      <c r="L413" s="123"/>
      <c r="M413" s="123"/>
      <c r="N413" s="123"/>
      <c r="O413" s="122"/>
      <c r="P413" s="122"/>
      <c r="Q413" s="124">
        <f t="shared" si="25"/>
        <v>0</v>
      </c>
      <c r="R413" s="646"/>
    </row>
    <row r="414" spans="1:18" ht="12.75" customHeight="1" hidden="1">
      <c r="A414" s="121"/>
      <c r="B414" s="121"/>
      <c r="C414" s="126" t="s">
        <v>766</v>
      </c>
      <c r="D414" s="694" t="s">
        <v>668</v>
      </c>
      <c r="E414" s="114"/>
      <c r="F414" s="331">
        <v>155458</v>
      </c>
      <c r="G414" s="122"/>
      <c r="H414" s="122"/>
      <c r="I414" s="122"/>
      <c r="J414" s="122"/>
      <c r="K414" s="122"/>
      <c r="L414" s="123"/>
      <c r="M414" s="123"/>
      <c r="N414" s="123"/>
      <c r="O414" s="122"/>
      <c r="P414" s="122"/>
      <c r="Q414" s="124">
        <f t="shared" si="25"/>
        <v>0</v>
      </c>
      <c r="R414" s="646"/>
    </row>
    <row r="415" spans="1:18" ht="12.75" customHeight="1" hidden="1">
      <c r="A415" s="121"/>
      <c r="B415" s="121"/>
      <c r="C415" s="126" t="s">
        <v>767</v>
      </c>
      <c r="D415" s="694" t="s">
        <v>671</v>
      </c>
      <c r="E415" s="114"/>
      <c r="F415" s="331">
        <v>154407</v>
      </c>
      <c r="G415" s="122"/>
      <c r="H415" s="122"/>
      <c r="I415" s="122"/>
      <c r="J415" s="122"/>
      <c r="K415" s="122"/>
      <c r="L415" s="123"/>
      <c r="M415" s="123"/>
      <c r="N415" s="123"/>
      <c r="O415" s="122"/>
      <c r="P415" s="122"/>
      <c r="Q415" s="124">
        <f t="shared" si="25"/>
        <v>0</v>
      </c>
      <c r="R415" s="646"/>
    </row>
    <row r="416" spans="1:18" ht="25.5" customHeight="1" hidden="1">
      <c r="A416" s="121"/>
      <c r="B416" s="121"/>
      <c r="C416" s="126" t="s">
        <v>768</v>
      </c>
      <c r="D416" s="694" t="s">
        <v>669</v>
      </c>
      <c r="E416" s="114"/>
      <c r="F416" s="331">
        <v>155459</v>
      </c>
      <c r="G416" s="122"/>
      <c r="H416" s="122"/>
      <c r="I416" s="122"/>
      <c r="J416" s="122"/>
      <c r="K416" s="122"/>
      <c r="L416" s="123"/>
      <c r="M416" s="123"/>
      <c r="N416" s="123"/>
      <c r="O416" s="122"/>
      <c r="P416" s="122"/>
      <c r="Q416" s="124">
        <f aca="true" t="shared" si="26" ref="Q416:Q452">SUM(G416:P416)</f>
        <v>0</v>
      </c>
      <c r="R416" s="646" t="s">
        <v>1180</v>
      </c>
    </row>
    <row r="417" spans="1:18" ht="12.75" customHeight="1" hidden="1">
      <c r="A417" s="121"/>
      <c r="B417" s="121"/>
      <c r="C417" s="126" t="s">
        <v>769</v>
      </c>
      <c r="D417" s="694" t="s">
        <v>670</v>
      </c>
      <c r="E417" s="114"/>
      <c r="F417" s="331">
        <v>155460</v>
      </c>
      <c r="G417" s="122"/>
      <c r="H417" s="122"/>
      <c r="I417" s="122"/>
      <c r="J417" s="122"/>
      <c r="K417" s="122"/>
      <c r="L417" s="123"/>
      <c r="M417" s="123"/>
      <c r="N417" s="123"/>
      <c r="O417" s="122"/>
      <c r="P417" s="122"/>
      <c r="Q417" s="124">
        <f t="shared" si="26"/>
        <v>0</v>
      </c>
      <c r="R417" s="646" t="s">
        <v>1180</v>
      </c>
    </row>
    <row r="418" spans="1:18" ht="14.25" customHeight="1" hidden="1">
      <c r="A418" s="121"/>
      <c r="B418" s="121"/>
      <c r="C418" s="126" t="s">
        <v>770</v>
      </c>
      <c r="D418" s="694" t="s">
        <v>672</v>
      </c>
      <c r="E418" s="114"/>
      <c r="F418" s="331">
        <v>154405</v>
      </c>
      <c r="G418" s="122"/>
      <c r="H418" s="122"/>
      <c r="I418" s="122"/>
      <c r="J418" s="122"/>
      <c r="K418" s="122"/>
      <c r="L418" s="123"/>
      <c r="M418" s="123"/>
      <c r="N418" s="123"/>
      <c r="O418" s="122"/>
      <c r="P418" s="122"/>
      <c r="Q418" s="124">
        <f t="shared" si="26"/>
        <v>0</v>
      </c>
      <c r="R418" s="646" t="s">
        <v>1180</v>
      </c>
    </row>
    <row r="419" spans="1:18" ht="12.75" customHeight="1" hidden="1">
      <c r="A419" s="121"/>
      <c r="B419" s="121"/>
      <c r="C419" s="126" t="s">
        <v>771</v>
      </c>
      <c r="D419" s="694" t="s">
        <v>673</v>
      </c>
      <c r="E419" s="114"/>
      <c r="F419" s="331">
        <v>151618</v>
      </c>
      <c r="G419" s="122"/>
      <c r="H419" s="122"/>
      <c r="I419" s="122"/>
      <c r="J419" s="122"/>
      <c r="K419" s="122"/>
      <c r="L419" s="123"/>
      <c r="M419" s="123"/>
      <c r="N419" s="123"/>
      <c r="O419" s="122"/>
      <c r="P419" s="122"/>
      <c r="Q419" s="124">
        <f t="shared" si="26"/>
        <v>0</v>
      </c>
      <c r="R419" s="646" t="s">
        <v>1180</v>
      </c>
    </row>
    <row r="420" spans="1:18" ht="15.75" customHeight="1" hidden="1">
      <c r="A420" s="121"/>
      <c r="B420" s="121"/>
      <c r="C420" s="126" t="s">
        <v>772</v>
      </c>
      <c r="D420" s="693" t="s">
        <v>682</v>
      </c>
      <c r="E420" s="114"/>
      <c r="F420" s="331">
        <v>152453</v>
      </c>
      <c r="G420" s="122"/>
      <c r="H420" s="122"/>
      <c r="I420" s="122"/>
      <c r="J420" s="122"/>
      <c r="K420" s="122"/>
      <c r="L420" s="123"/>
      <c r="M420" s="123"/>
      <c r="N420" s="123"/>
      <c r="O420" s="122"/>
      <c r="P420" s="122"/>
      <c r="Q420" s="124">
        <f t="shared" si="26"/>
        <v>0</v>
      </c>
      <c r="R420" s="646"/>
    </row>
    <row r="421" spans="1:18" ht="15" customHeight="1" hidden="1">
      <c r="A421" s="121"/>
      <c r="B421" s="121"/>
      <c r="C421" s="126" t="s">
        <v>509</v>
      </c>
      <c r="D421" s="693" t="s">
        <v>683</v>
      </c>
      <c r="E421" s="114"/>
      <c r="F421" s="331">
        <v>155461</v>
      </c>
      <c r="G421" s="122"/>
      <c r="H421" s="122"/>
      <c r="I421" s="122"/>
      <c r="J421" s="122"/>
      <c r="K421" s="122"/>
      <c r="L421" s="123"/>
      <c r="M421" s="123"/>
      <c r="N421" s="123"/>
      <c r="O421" s="122"/>
      <c r="P421" s="122"/>
      <c r="Q421" s="124">
        <f t="shared" si="26"/>
        <v>0</v>
      </c>
      <c r="R421" s="646"/>
    </row>
    <row r="422" spans="1:18" ht="15.75" customHeight="1" hidden="1">
      <c r="A422" s="121"/>
      <c r="B422" s="121"/>
      <c r="C422" s="126" t="s">
        <v>510</v>
      </c>
      <c r="D422" s="693" t="s">
        <v>689</v>
      </c>
      <c r="E422" s="114"/>
      <c r="F422" s="331">
        <v>155462</v>
      </c>
      <c r="G422" s="122"/>
      <c r="H422" s="122"/>
      <c r="I422" s="122"/>
      <c r="J422" s="122"/>
      <c r="K422" s="122"/>
      <c r="L422" s="123"/>
      <c r="M422" s="123"/>
      <c r="N422" s="123"/>
      <c r="O422" s="122"/>
      <c r="P422" s="122"/>
      <c r="Q422" s="124">
        <f t="shared" si="26"/>
        <v>0</v>
      </c>
      <c r="R422" s="646"/>
    </row>
    <row r="423" spans="1:18" ht="24.75" customHeight="1" hidden="1">
      <c r="A423" s="121"/>
      <c r="B423" s="121"/>
      <c r="C423" s="126" t="s">
        <v>511</v>
      </c>
      <c r="D423" s="692" t="s">
        <v>694</v>
      </c>
      <c r="E423" s="114"/>
      <c r="F423" s="331">
        <v>155463</v>
      </c>
      <c r="G423" s="122"/>
      <c r="H423" s="122"/>
      <c r="I423" s="122"/>
      <c r="J423" s="122"/>
      <c r="K423" s="122"/>
      <c r="L423" s="123"/>
      <c r="M423" s="123"/>
      <c r="N423" s="123"/>
      <c r="O423" s="122"/>
      <c r="P423" s="122"/>
      <c r="Q423" s="124">
        <f t="shared" si="26"/>
        <v>0</v>
      </c>
      <c r="R423" s="646"/>
    </row>
    <row r="424" spans="1:18" ht="23.25" customHeight="1" hidden="1">
      <c r="A424" s="121"/>
      <c r="B424" s="121"/>
      <c r="C424" s="126" t="s">
        <v>512</v>
      </c>
      <c r="D424" s="692" t="s">
        <v>696</v>
      </c>
      <c r="E424" s="114"/>
      <c r="F424" s="331">
        <v>154418</v>
      </c>
      <c r="G424" s="122"/>
      <c r="H424" s="122"/>
      <c r="I424" s="122"/>
      <c r="J424" s="122"/>
      <c r="K424" s="122"/>
      <c r="L424" s="123"/>
      <c r="M424" s="123"/>
      <c r="N424" s="123"/>
      <c r="O424" s="122"/>
      <c r="P424" s="122"/>
      <c r="Q424" s="124">
        <f t="shared" si="26"/>
        <v>0</v>
      </c>
      <c r="R424" s="646"/>
    </row>
    <row r="425" spans="1:18" ht="27" customHeight="1" hidden="1">
      <c r="A425" s="121"/>
      <c r="B425" s="121"/>
      <c r="C425" s="126" t="s">
        <v>684</v>
      </c>
      <c r="D425" s="692" t="s">
        <v>697</v>
      </c>
      <c r="E425" s="114"/>
      <c r="F425" s="331">
        <v>155464</v>
      </c>
      <c r="G425" s="122"/>
      <c r="H425" s="122"/>
      <c r="I425" s="122"/>
      <c r="J425" s="122"/>
      <c r="K425" s="122"/>
      <c r="L425" s="123"/>
      <c r="M425" s="123"/>
      <c r="N425" s="123"/>
      <c r="O425" s="122"/>
      <c r="P425" s="122"/>
      <c r="Q425" s="124">
        <f t="shared" si="26"/>
        <v>0</v>
      </c>
      <c r="R425" s="646"/>
    </row>
    <row r="426" spans="1:18" ht="12.75" customHeight="1" hidden="1">
      <c r="A426" s="121"/>
      <c r="B426" s="121"/>
      <c r="C426" s="126" t="s">
        <v>685</v>
      </c>
      <c r="D426" s="692" t="s">
        <v>699</v>
      </c>
      <c r="E426" s="114"/>
      <c r="F426" s="331">
        <v>155465</v>
      </c>
      <c r="G426" s="122"/>
      <c r="H426" s="122"/>
      <c r="I426" s="122"/>
      <c r="J426" s="122"/>
      <c r="K426" s="122"/>
      <c r="L426" s="123"/>
      <c r="M426" s="123"/>
      <c r="N426" s="123"/>
      <c r="O426" s="122"/>
      <c r="P426" s="122"/>
      <c r="Q426" s="124">
        <f t="shared" si="26"/>
        <v>0</v>
      </c>
      <c r="R426" s="646"/>
    </row>
    <row r="427" spans="1:18" ht="12.75" customHeight="1" hidden="1">
      <c r="A427" s="121"/>
      <c r="B427" s="121"/>
      <c r="C427" s="126" t="s">
        <v>686</v>
      </c>
      <c r="D427" s="692" t="s">
        <v>700</v>
      </c>
      <c r="E427" s="114"/>
      <c r="F427" s="331">
        <v>155466</v>
      </c>
      <c r="G427" s="122"/>
      <c r="H427" s="122"/>
      <c r="I427" s="122"/>
      <c r="J427" s="122"/>
      <c r="K427" s="122"/>
      <c r="L427" s="123"/>
      <c r="M427" s="123"/>
      <c r="N427" s="123"/>
      <c r="O427" s="122"/>
      <c r="P427" s="122"/>
      <c r="Q427" s="124">
        <f t="shared" si="26"/>
        <v>0</v>
      </c>
      <c r="R427" s="646"/>
    </row>
    <row r="428" spans="1:18" ht="12.75" customHeight="1" hidden="1">
      <c r="A428" s="121"/>
      <c r="B428" s="121"/>
      <c r="C428" s="126" t="s">
        <v>687</v>
      </c>
      <c r="D428" s="692" t="s">
        <v>701</v>
      </c>
      <c r="E428" s="114"/>
      <c r="F428" s="331">
        <v>155467</v>
      </c>
      <c r="G428" s="122"/>
      <c r="H428" s="122"/>
      <c r="I428" s="122"/>
      <c r="J428" s="122"/>
      <c r="K428" s="122"/>
      <c r="L428" s="123"/>
      <c r="M428" s="123"/>
      <c r="N428" s="123"/>
      <c r="O428" s="122"/>
      <c r="P428" s="122"/>
      <c r="Q428" s="124">
        <f t="shared" si="26"/>
        <v>0</v>
      </c>
      <c r="R428" s="646" t="s">
        <v>1180</v>
      </c>
    </row>
    <row r="429" spans="1:18" ht="25.5" customHeight="1" hidden="1">
      <c r="A429" s="121"/>
      <c r="B429" s="121"/>
      <c r="C429" s="126" t="s">
        <v>688</v>
      </c>
      <c r="D429" s="694" t="s">
        <v>704</v>
      </c>
      <c r="E429" s="114"/>
      <c r="F429" s="331">
        <v>155468</v>
      </c>
      <c r="G429" s="122"/>
      <c r="H429" s="122"/>
      <c r="I429" s="122"/>
      <c r="J429" s="122"/>
      <c r="K429" s="122"/>
      <c r="L429" s="123"/>
      <c r="M429" s="123"/>
      <c r="N429" s="123"/>
      <c r="O429" s="122"/>
      <c r="P429" s="122"/>
      <c r="Q429" s="124">
        <f t="shared" si="26"/>
        <v>0</v>
      </c>
      <c r="R429" s="646"/>
    </row>
    <row r="430" spans="1:18" ht="18" customHeight="1" hidden="1">
      <c r="A430" s="121"/>
      <c r="B430" s="121"/>
      <c r="C430" s="126" t="s">
        <v>705</v>
      </c>
      <c r="D430" s="692" t="s">
        <v>709</v>
      </c>
      <c r="E430" s="114"/>
      <c r="F430" s="331">
        <v>155469</v>
      </c>
      <c r="G430" s="122"/>
      <c r="H430" s="122"/>
      <c r="I430" s="122"/>
      <c r="J430" s="122"/>
      <c r="K430" s="122"/>
      <c r="L430" s="123"/>
      <c r="M430" s="123"/>
      <c r="N430" s="123"/>
      <c r="O430" s="122"/>
      <c r="P430" s="122"/>
      <c r="Q430" s="124">
        <f t="shared" si="26"/>
        <v>0</v>
      </c>
      <c r="R430" s="646"/>
    </row>
    <row r="431" spans="1:18" ht="25.5" customHeight="1" hidden="1">
      <c r="A431" s="121"/>
      <c r="B431" s="121"/>
      <c r="C431" s="126" t="s">
        <v>706</v>
      </c>
      <c r="D431" s="692" t="s">
        <v>719</v>
      </c>
      <c r="E431" s="114"/>
      <c r="F431" s="331">
        <v>152454</v>
      </c>
      <c r="G431" s="122"/>
      <c r="H431" s="122"/>
      <c r="I431" s="122"/>
      <c r="J431" s="122"/>
      <c r="K431" s="122"/>
      <c r="L431" s="123"/>
      <c r="M431" s="123"/>
      <c r="N431" s="123"/>
      <c r="O431" s="122"/>
      <c r="P431" s="122"/>
      <c r="Q431" s="124">
        <f t="shared" si="26"/>
        <v>0</v>
      </c>
      <c r="R431" s="646" t="s">
        <v>1180</v>
      </c>
    </row>
    <row r="432" spans="1:18" ht="25.5" customHeight="1" hidden="1">
      <c r="A432" s="121"/>
      <c r="B432" s="121"/>
      <c r="C432" s="126" t="s">
        <v>724</v>
      </c>
      <c r="D432" s="692" t="s">
        <v>722</v>
      </c>
      <c r="E432" s="114"/>
      <c r="F432" s="331">
        <v>155471</v>
      </c>
      <c r="G432" s="122"/>
      <c r="H432" s="122"/>
      <c r="I432" s="122"/>
      <c r="J432" s="122"/>
      <c r="K432" s="122"/>
      <c r="L432" s="123"/>
      <c r="M432" s="123"/>
      <c r="N432" s="123"/>
      <c r="O432" s="122"/>
      <c r="P432" s="122"/>
      <c r="Q432" s="124">
        <f t="shared" si="26"/>
        <v>0</v>
      </c>
      <c r="R432" s="646"/>
    </row>
    <row r="433" spans="1:18" ht="14.25" customHeight="1" hidden="1">
      <c r="A433" s="121"/>
      <c r="B433" s="121"/>
      <c r="C433" s="126" t="s">
        <v>725</v>
      </c>
      <c r="D433" s="692" t="s">
        <v>723</v>
      </c>
      <c r="E433" s="114"/>
      <c r="F433" s="331">
        <v>155472</v>
      </c>
      <c r="G433" s="122"/>
      <c r="H433" s="122"/>
      <c r="I433" s="122"/>
      <c r="J433" s="122"/>
      <c r="K433" s="122"/>
      <c r="L433" s="123"/>
      <c r="M433" s="123"/>
      <c r="N433" s="123"/>
      <c r="O433" s="122"/>
      <c r="P433" s="122"/>
      <c r="Q433" s="124">
        <f t="shared" si="26"/>
        <v>0</v>
      </c>
      <c r="R433" s="646"/>
    </row>
    <row r="434" spans="1:18" ht="36.75" customHeight="1" hidden="1">
      <c r="A434" s="121"/>
      <c r="B434" s="121"/>
      <c r="C434" s="126" t="s">
        <v>726</v>
      </c>
      <c r="D434" s="692" t="s">
        <v>728</v>
      </c>
      <c r="E434" s="114"/>
      <c r="F434" s="331">
        <v>155473</v>
      </c>
      <c r="G434" s="122"/>
      <c r="H434" s="122"/>
      <c r="I434" s="122"/>
      <c r="J434" s="122"/>
      <c r="K434" s="122"/>
      <c r="L434" s="123"/>
      <c r="M434" s="123"/>
      <c r="N434" s="123"/>
      <c r="O434" s="122"/>
      <c r="P434" s="122"/>
      <c r="Q434" s="124">
        <f t="shared" si="26"/>
        <v>0</v>
      </c>
      <c r="R434" s="646"/>
    </row>
    <row r="435" spans="1:18" ht="12.75" customHeight="1" hidden="1">
      <c r="A435" s="121"/>
      <c r="B435" s="121"/>
      <c r="C435" s="126" t="s">
        <v>727</v>
      </c>
      <c r="D435" s="695" t="s">
        <v>729</v>
      </c>
      <c r="E435" s="114"/>
      <c r="F435" s="331">
        <v>155474</v>
      </c>
      <c r="G435" s="122"/>
      <c r="H435" s="122"/>
      <c r="I435" s="122"/>
      <c r="J435" s="122"/>
      <c r="K435" s="122"/>
      <c r="L435" s="123"/>
      <c r="M435" s="123"/>
      <c r="N435" s="123"/>
      <c r="O435" s="122"/>
      <c r="P435" s="122"/>
      <c r="Q435" s="124">
        <f t="shared" si="26"/>
        <v>0</v>
      </c>
      <c r="R435" s="646" t="s">
        <v>1180</v>
      </c>
    </row>
    <row r="436" spans="1:18" ht="12.75" customHeight="1" hidden="1">
      <c r="A436" s="121"/>
      <c r="B436" s="121"/>
      <c r="C436" s="126" t="s">
        <v>733</v>
      </c>
      <c r="D436" s="693" t="s">
        <v>730</v>
      </c>
      <c r="E436" s="114"/>
      <c r="F436" s="331">
        <v>155475</v>
      </c>
      <c r="G436" s="122"/>
      <c r="H436" s="122"/>
      <c r="I436" s="122"/>
      <c r="J436" s="122"/>
      <c r="K436" s="122"/>
      <c r="L436" s="123"/>
      <c r="M436" s="123"/>
      <c r="N436" s="123"/>
      <c r="O436" s="122"/>
      <c r="P436" s="122"/>
      <c r="Q436" s="124">
        <f t="shared" si="26"/>
        <v>0</v>
      </c>
      <c r="R436" s="646" t="s">
        <v>1180</v>
      </c>
    </row>
    <row r="437" spans="1:18" ht="36.75" customHeight="1" hidden="1">
      <c r="A437" s="121"/>
      <c r="B437" s="121"/>
      <c r="C437" s="126" t="s">
        <v>734</v>
      </c>
      <c r="D437" s="693" t="s">
        <v>731</v>
      </c>
      <c r="E437" s="114"/>
      <c r="F437" s="331">
        <v>155476</v>
      </c>
      <c r="G437" s="122"/>
      <c r="H437" s="122"/>
      <c r="I437" s="122"/>
      <c r="J437" s="122"/>
      <c r="K437" s="122"/>
      <c r="L437" s="123"/>
      <c r="M437" s="123"/>
      <c r="N437" s="123"/>
      <c r="O437" s="122"/>
      <c r="P437" s="122"/>
      <c r="Q437" s="124">
        <f t="shared" si="26"/>
        <v>0</v>
      </c>
      <c r="R437" s="646"/>
    </row>
    <row r="438" spans="1:18" ht="12.75" customHeight="1" hidden="1">
      <c r="A438" s="121"/>
      <c r="B438" s="121"/>
      <c r="C438" s="126" t="s">
        <v>735</v>
      </c>
      <c r="D438" s="693" t="s">
        <v>732</v>
      </c>
      <c r="E438" s="114"/>
      <c r="F438" s="331">
        <v>155477</v>
      </c>
      <c r="G438" s="122"/>
      <c r="H438" s="122"/>
      <c r="I438" s="122"/>
      <c r="J438" s="122"/>
      <c r="K438" s="122"/>
      <c r="L438" s="123"/>
      <c r="M438" s="123"/>
      <c r="N438" s="123"/>
      <c r="O438" s="122"/>
      <c r="P438" s="122"/>
      <c r="Q438" s="124">
        <f t="shared" si="26"/>
        <v>0</v>
      </c>
      <c r="R438" s="646" t="s">
        <v>1180</v>
      </c>
    </row>
    <row r="439" spans="1:18" ht="12.75" customHeight="1" hidden="1">
      <c r="A439" s="121"/>
      <c r="B439" s="121"/>
      <c r="C439" s="126" t="s">
        <v>736</v>
      </c>
      <c r="D439" s="692" t="s">
        <v>1457</v>
      </c>
      <c r="E439" s="114"/>
      <c r="F439" s="331">
        <v>155478</v>
      </c>
      <c r="G439" s="122"/>
      <c r="H439" s="122"/>
      <c r="I439" s="122"/>
      <c r="J439" s="122"/>
      <c r="K439" s="122"/>
      <c r="L439" s="123"/>
      <c r="M439" s="123"/>
      <c r="N439" s="123"/>
      <c r="O439" s="122"/>
      <c r="P439" s="122"/>
      <c r="Q439" s="124">
        <f t="shared" si="26"/>
        <v>0</v>
      </c>
      <c r="R439" s="646" t="s">
        <v>1180</v>
      </c>
    </row>
    <row r="440" spans="1:18" ht="12.75" customHeight="1" hidden="1">
      <c r="A440" s="121"/>
      <c r="B440" s="121"/>
      <c r="C440" s="126" t="s">
        <v>740</v>
      </c>
      <c r="D440" s="692" t="s">
        <v>737</v>
      </c>
      <c r="E440" s="114"/>
      <c r="F440" s="331">
        <v>152455</v>
      </c>
      <c r="G440" s="122"/>
      <c r="H440" s="122"/>
      <c r="I440" s="122"/>
      <c r="J440" s="122"/>
      <c r="K440" s="122"/>
      <c r="L440" s="123"/>
      <c r="M440" s="123"/>
      <c r="N440" s="123"/>
      <c r="O440" s="122"/>
      <c r="P440" s="122"/>
      <c r="Q440" s="124">
        <f t="shared" si="26"/>
        <v>0</v>
      </c>
      <c r="R440" s="646"/>
    </row>
    <row r="441" spans="1:18" ht="12.75" customHeight="1" hidden="1">
      <c r="A441" s="121"/>
      <c r="B441" s="121"/>
      <c r="C441" s="126" t="s">
        <v>741</v>
      </c>
      <c r="D441" s="692" t="s">
        <v>738</v>
      </c>
      <c r="E441" s="114"/>
      <c r="F441" s="331">
        <v>154420</v>
      </c>
      <c r="G441" s="122"/>
      <c r="H441" s="122"/>
      <c r="I441" s="122"/>
      <c r="J441" s="122"/>
      <c r="K441" s="122"/>
      <c r="L441" s="123"/>
      <c r="M441" s="123"/>
      <c r="N441" s="123"/>
      <c r="O441" s="122"/>
      <c r="P441" s="122"/>
      <c r="Q441" s="124">
        <f t="shared" si="26"/>
        <v>0</v>
      </c>
      <c r="R441" s="646"/>
    </row>
    <row r="442" spans="1:18" ht="12.75" customHeight="1" hidden="1">
      <c r="A442" s="121"/>
      <c r="B442" s="121"/>
      <c r="C442" s="126" t="s">
        <v>742</v>
      </c>
      <c r="D442" s="692" t="s">
        <v>739</v>
      </c>
      <c r="E442" s="114"/>
      <c r="F442" s="331">
        <v>155479</v>
      </c>
      <c r="G442" s="122"/>
      <c r="H442" s="122"/>
      <c r="I442" s="122"/>
      <c r="J442" s="122"/>
      <c r="K442" s="122"/>
      <c r="L442" s="123"/>
      <c r="M442" s="123"/>
      <c r="N442" s="123"/>
      <c r="O442" s="122"/>
      <c r="P442" s="122"/>
      <c r="Q442" s="124">
        <f t="shared" si="26"/>
        <v>0</v>
      </c>
      <c r="R442" s="646" t="s">
        <v>1180</v>
      </c>
    </row>
    <row r="443" spans="1:18" ht="12.75" customHeight="1" hidden="1">
      <c r="A443" s="121"/>
      <c r="B443" s="121"/>
      <c r="C443" s="126" t="s">
        <v>753</v>
      </c>
      <c r="D443" s="457" t="s">
        <v>748</v>
      </c>
      <c r="E443" s="114"/>
      <c r="F443" s="331">
        <v>152456</v>
      </c>
      <c r="G443" s="122"/>
      <c r="H443" s="122"/>
      <c r="I443" s="122"/>
      <c r="J443" s="122"/>
      <c r="K443" s="122"/>
      <c r="L443" s="123"/>
      <c r="M443" s="123"/>
      <c r="N443" s="123"/>
      <c r="O443" s="122"/>
      <c r="P443" s="122"/>
      <c r="Q443" s="124">
        <f t="shared" si="26"/>
        <v>0</v>
      </c>
      <c r="R443" s="646"/>
    </row>
    <row r="444" spans="1:18" ht="12.75" customHeight="1" hidden="1">
      <c r="A444" s="121"/>
      <c r="B444" s="121"/>
      <c r="C444" s="126" t="s">
        <v>754</v>
      </c>
      <c r="D444" s="457" t="s">
        <v>749</v>
      </c>
      <c r="E444" s="114"/>
      <c r="F444" s="331">
        <v>152457</v>
      </c>
      <c r="G444" s="122"/>
      <c r="H444" s="122"/>
      <c r="I444" s="122"/>
      <c r="J444" s="122"/>
      <c r="K444" s="122"/>
      <c r="L444" s="123"/>
      <c r="M444" s="123"/>
      <c r="N444" s="123"/>
      <c r="O444" s="122"/>
      <c r="P444" s="122"/>
      <c r="Q444" s="124">
        <f t="shared" si="26"/>
        <v>0</v>
      </c>
      <c r="R444" s="646" t="s">
        <v>1180</v>
      </c>
    </row>
    <row r="445" spans="1:18" ht="12.75" customHeight="1" hidden="1">
      <c r="A445" s="121"/>
      <c r="B445" s="121"/>
      <c r="C445" s="126" t="s">
        <v>755</v>
      </c>
      <c r="D445" s="457" t="s">
        <v>751</v>
      </c>
      <c r="E445" s="114"/>
      <c r="F445" s="331">
        <v>152458</v>
      </c>
      <c r="G445" s="122"/>
      <c r="H445" s="122"/>
      <c r="I445" s="122"/>
      <c r="J445" s="122"/>
      <c r="K445" s="122"/>
      <c r="L445" s="123"/>
      <c r="M445" s="123"/>
      <c r="N445" s="123"/>
      <c r="O445" s="122"/>
      <c r="P445" s="122"/>
      <c r="Q445" s="124">
        <f t="shared" si="26"/>
        <v>0</v>
      </c>
      <c r="R445" s="646" t="s">
        <v>1180</v>
      </c>
    </row>
    <row r="446" spans="1:18" ht="12.75" customHeight="1" hidden="1">
      <c r="A446" s="121"/>
      <c r="B446" s="121"/>
      <c r="C446" s="126" t="s">
        <v>756</v>
      </c>
      <c r="D446" s="457" t="s">
        <v>752</v>
      </c>
      <c r="E446" s="114"/>
      <c r="F446" s="331">
        <v>155470</v>
      </c>
      <c r="G446" s="122"/>
      <c r="H446" s="122"/>
      <c r="I446" s="122"/>
      <c r="J446" s="122"/>
      <c r="K446" s="122"/>
      <c r="L446" s="123"/>
      <c r="M446" s="123"/>
      <c r="N446" s="123"/>
      <c r="O446" s="122"/>
      <c r="P446" s="122"/>
      <c r="Q446" s="124">
        <f t="shared" si="26"/>
        <v>0</v>
      </c>
      <c r="R446" s="646"/>
    </row>
    <row r="447" spans="1:18" ht="26.25" customHeight="1" hidden="1">
      <c r="A447" s="121"/>
      <c r="B447" s="121"/>
      <c r="C447" s="100" t="s">
        <v>835</v>
      </c>
      <c r="D447" s="680" t="s">
        <v>383</v>
      </c>
      <c r="E447" s="102"/>
      <c r="F447" s="328">
        <v>152460</v>
      </c>
      <c r="G447" s="122"/>
      <c r="H447" s="122"/>
      <c r="I447" s="122"/>
      <c r="J447" s="122"/>
      <c r="K447" s="122"/>
      <c r="L447" s="123"/>
      <c r="M447" s="123"/>
      <c r="N447" s="123"/>
      <c r="O447" s="122"/>
      <c r="P447" s="122"/>
      <c r="Q447" s="124">
        <f t="shared" si="26"/>
        <v>0</v>
      </c>
      <c r="R447" s="646" t="s">
        <v>1180</v>
      </c>
    </row>
    <row r="448" spans="1:18" ht="12.75" customHeight="1" hidden="1">
      <c r="A448" s="121"/>
      <c r="B448" s="121"/>
      <c r="C448" s="100" t="s">
        <v>836</v>
      </c>
      <c r="D448" s="680" t="s">
        <v>837</v>
      </c>
      <c r="E448" s="102"/>
      <c r="F448" s="328">
        <v>154496</v>
      </c>
      <c r="G448" s="122"/>
      <c r="H448" s="122"/>
      <c r="I448" s="122"/>
      <c r="J448" s="122"/>
      <c r="K448" s="122"/>
      <c r="L448" s="123"/>
      <c r="M448" s="123"/>
      <c r="N448" s="123"/>
      <c r="O448" s="122"/>
      <c r="P448" s="122"/>
      <c r="Q448" s="124">
        <f t="shared" si="26"/>
        <v>0</v>
      </c>
      <c r="R448" s="646" t="s">
        <v>1180</v>
      </c>
    </row>
    <row r="449" spans="1:18" ht="12.75" customHeight="1" hidden="1">
      <c r="A449" s="121"/>
      <c r="B449" s="121"/>
      <c r="C449" s="100" t="s">
        <v>838</v>
      </c>
      <c r="D449" s="680" t="s">
        <v>839</v>
      </c>
      <c r="E449" s="102"/>
      <c r="F449" s="328">
        <v>152459</v>
      </c>
      <c r="G449" s="122"/>
      <c r="H449" s="122"/>
      <c r="I449" s="122"/>
      <c r="J449" s="122"/>
      <c r="K449" s="122"/>
      <c r="L449" s="123"/>
      <c r="M449" s="123"/>
      <c r="N449" s="123"/>
      <c r="O449" s="122"/>
      <c r="P449" s="122"/>
      <c r="Q449" s="124">
        <f t="shared" si="26"/>
        <v>0</v>
      </c>
      <c r="R449" s="646" t="s">
        <v>1180</v>
      </c>
    </row>
    <row r="450" spans="1:18" ht="12.75" customHeight="1" hidden="1">
      <c r="A450" s="121"/>
      <c r="B450" s="121"/>
      <c r="C450" s="100" t="s">
        <v>1424</v>
      </c>
      <c r="D450" s="717" t="s">
        <v>1423</v>
      </c>
      <c r="E450" s="102"/>
      <c r="F450" s="328">
        <v>152461</v>
      </c>
      <c r="G450" s="122"/>
      <c r="H450" s="122"/>
      <c r="I450" s="122"/>
      <c r="J450" s="122"/>
      <c r="K450" s="122"/>
      <c r="L450" s="123"/>
      <c r="M450" s="123"/>
      <c r="N450" s="123"/>
      <c r="O450" s="122"/>
      <c r="P450" s="122"/>
      <c r="Q450" s="124">
        <f t="shared" si="26"/>
        <v>0</v>
      </c>
      <c r="R450" s="646" t="s">
        <v>1180</v>
      </c>
    </row>
    <row r="451" spans="1:18" ht="12.75" customHeight="1" hidden="1">
      <c r="A451" s="121"/>
      <c r="B451" s="121"/>
      <c r="C451" s="100" t="s">
        <v>1428</v>
      </c>
      <c r="D451" s="718" t="s">
        <v>1430</v>
      </c>
      <c r="E451" s="102"/>
      <c r="F451" s="328">
        <v>152462</v>
      </c>
      <c r="G451" s="122"/>
      <c r="H451" s="122"/>
      <c r="I451" s="122"/>
      <c r="J451" s="122"/>
      <c r="K451" s="122"/>
      <c r="L451" s="123"/>
      <c r="M451" s="123"/>
      <c r="N451" s="123"/>
      <c r="O451" s="122"/>
      <c r="P451" s="122"/>
      <c r="Q451" s="124">
        <f t="shared" si="26"/>
        <v>0</v>
      </c>
      <c r="R451" s="646" t="s">
        <v>1180</v>
      </c>
    </row>
    <row r="452" spans="1:18" ht="12.75" customHeight="1">
      <c r="A452" s="121"/>
      <c r="B452" s="121"/>
      <c r="C452" s="100" t="s">
        <v>1429</v>
      </c>
      <c r="D452" s="718" t="s">
        <v>1431</v>
      </c>
      <c r="E452" s="102"/>
      <c r="F452" s="328">
        <v>152463</v>
      </c>
      <c r="G452" s="122"/>
      <c r="H452" s="122"/>
      <c r="I452" s="122"/>
      <c r="J452" s="122"/>
      <c r="K452" s="122"/>
      <c r="L452" s="123"/>
      <c r="M452" s="123">
        <v>-245</v>
      </c>
      <c r="N452" s="123"/>
      <c r="O452" s="122"/>
      <c r="P452" s="122"/>
      <c r="Q452" s="124">
        <f t="shared" si="26"/>
        <v>-245</v>
      </c>
      <c r="R452" s="646" t="s">
        <v>1180</v>
      </c>
    </row>
    <row r="453" spans="1:18" ht="12.75" customHeight="1" hidden="1">
      <c r="A453" s="121"/>
      <c r="B453" s="121"/>
      <c r="C453" s="121"/>
      <c r="D453" s="255" t="s">
        <v>421</v>
      </c>
      <c r="E453" s="114"/>
      <c r="F453" s="331"/>
      <c r="G453" s="122"/>
      <c r="H453" s="122"/>
      <c r="I453" s="122"/>
      <c r="J453" s="122"/>
      <c r="K453" s="122"/>
      <c r="L453" s="123"/>
      <c r="M453" s="123"/>
      <c r="N453" s="123"/>
      <c r="O453" s="122"/>
      <c r="P453" s="122"/>
      <c r="Q453" s="124"/>
      <c r="R453" s="646"/>
    </row>
    <row r="454" spans="1:18" ht="12.75" customHeight="1" hidden="1">
      <c r="A454" s="121"/>
      <c r="B454" s="121"/>
      <c r="C454" s="126" t="s">
        <v>1056</v>
      </c>
      <c r="D454" s="467" t="s">
        <v>919</v>
      </c>
      <c r="E454" s="114"/>
      <c r="F454" s="331">
        <v>152444</v>
      </c>
      <c r="G454" s="122"/>
      <c r="H454" s="122"/>
      <c r="I454" s="122"/>
      <c r="J454" s="122"/>
      <c r="K454" s="122"/>
      <c r="L454" s="123"/>
      <c r="M454" s="123"/>
      <c r="N454" s="123"/>
      <c r="O454" s="122"/>
      <c r="P454" s="122"/>
      <c r="Q454" s="124">
        <f aca="true" t="shared" si="27" ref="Q454:Q465">SUM(G454:P454)</f>
        <v>0</v>
      </c>
      <c r="R454" s="646" t="s">
        <v>1180</v>
      </c>
    </row>
    <row r="455" spans="1:18" ht="12.75" customHeight="1" hidden="1">
      <c r="A455" s="121"/>
      <c r="B455" s="121"/>
      <c r="C455" s="126" t="s">
        <v>1057</v>
      </c>
      <c r="D455" s="351" t="s">
        <v>227</v>
      </c>
      <c r="E455" s="114"/>
      <c r="F455" s="331">
        <v>154403</v>
      </c>
      <c r="G455" s="122"/>
      <c r="H455" s="122"/>
      <c r="I455" s="122"/>
      <c r="J455" s="122"/>
      <c r="K455" s="122"/>
      <c r="L455" s="123"/>
      <c r="M455" s="123"/>
      <c r="N455" s="123"/>
      <c r="O455" s="122"/>
      <c r="P455" s="122"/>
      <c r="Q455" s="124">
        <f t="shared" si="27"/>
        <v>0</v>
      </c>
      <c r="R455" s="646"/>
    </row>
    <row r="456" spans="1:18" ht="12.75" customHeight="1" hidden="1">
      <c r="A456" s="121"/>
      <c r="B456" s="121"/>
      <c r="C456" s="126" t="s">
        <v>1058</v>
      </c>
      <c r="D456" s="308" t="s">
        <v>920</v>
      </c>
      <c r="E456" s="114"/>
      <c r="F456" s="331">
        <v>154409</v>
      </c>
      <c r="G456" s="122"/>
      <c r="H456" s="122"/>
      <c r="I456" s="122"/>
      <c r="J456" s="122"/>
      <c r="K456" s="122"/>
      <c r="L456" s="123"/>
      <c r="M456" s="123"/>
      <c r="N456" s="123"/>
      <c r="O456" s="122"/>
      <c r="P456" s="122"/>
      <c r="Q456" s="124">
        <f t="shared" si="27"/>
        <v>0</v>
      </c>
      <c r="R456" s="646"/>
    </row>
    <row r="457" spans="1:18" ht="25.5" customHeight="1" hidden="1">
      <c r="A457" s="121"/>
      <c r="B457" s="121"/>
      <c r="C457" s="126" t="s">
        <v>49</v>
      </c>
      <c r="D457" s="468" t="s">
        <v>225</v>
      </c>
      <c r="E457" s="114"/>
      <c r="F457" s="331">
        <v>154418</v>
      </c>
      <c r="G457" s="122"/>
      <c r="H457" s="122"/>
      <c r="I457" s="122"/>
      <c r="J457" s="122"/>
      <c r="K457" s="122"/>
      <c r="L457" s="123"/>
      <c r="M457" s="123"/>
      <c r="N457" s="123"/>
      <c r="O457" s="122"/>
      <c r="P457" s="122"/>
      <c r="Q457" s="124">
        <f t="shared" si="27"/>
        <v>0</v>
      </c>
      <c r="R457" s="646"/>
    </row>
    <row r="458" spans="1:18" ht="12.75" customHeight="1" hidden="1">
      <c r="A458" s="121"/>
      <c r="B458" s="121"/>
      <c r="C458" s="126" t="s">
        <v>50</v>
      </c>
      <c r="D458" s="468" t="s">
        <v>226</v>
      </c>
      <c r="E458" s="114"/>
      <c r="F458" s="331">
        <v>154420</v>
      </c>
      <c r="G458" s="122"/>
      <c r="H458" s="122"/>
      <c r="I458" s="122"/>
      <c r="J458" s="122"/>
      <c r="K458" s="122"/>
      <c r="L458" s="123"/>
      <c r="M458" s="123"/>
      <c r="N458" s="123"/>
      <c r="O458" s="122"/>
      <c r="P458" s="122"/>
      <c r="Q458" s="124">
        <f t="shared" si="27"/>
        <v>0</v>
      </c>
      <c r="R458" s="646"/>
    </row>
    <row r="459" spans="1:18" ht="26.25" customHeight="1" hidden="1">
      <c r="A459" s="121"/>
      <c r="B459" s="121"/>
      <c r="C459" s="126" t="s">
        <v>51</v>
      </c>
      <c r="D459" s="459" t="s">
        <v>925</v>
      </c>
      <c r="E459" s="114"/>
      <c r="F459" s="331">
        <v>152447</v>
      </c>
      <c r="G459" s="122"/>
      <c r="H459" s="122"/>
      <c r="I459" s="122"/>
      <c r="J459" s="122"/>
      <c r="K459" s="122"/>
      <c r="L459" s="123"/>
      <c r="M459" s="123"/>
      <c r="N459" s="123"/>
      <c r="O459" s="122"/>
      <c r="P459" s="122"/>
      <c r="Q459" s="124">
        <f t="shared" si="27"/>
        <v>0</v>
      </c>
      <c r="R459" s="646"/>
    </row>
    <row r="460" spans="1:18" ht="15.75" customHeight="1" hidden="1">
      <c r="A460" s="121"/>
      <c r="B460" s="121"/>
      <c r="C460" s="126" t="s">
        <v>52</v>
      </c>
      <c r="D460" s="459" t="s">
        <v>926</v>
      </c>
      <c r="E460" s="114"/>
      <c r="F460" s="331">
        <v>152449</v>
      </c>
      <c r="G460" s="122"/>
      <c r="H460" s="122"/>
      <c r="I460" s="122"/>
      <c r="J460" s="122"/>
      <c r="K460" s="122"/>
      <c r="L460" s="123"/>
      <c r="M460" s="123"/>
      <c r="N460" s="123"/>
      <c r="O460" s="122"/>
      <c r="P460" s="122"/>
      <c r="Q460" s="124">
        <f t="shared" si="27"/>
        <v>0</v>
      </c>
      <c r="R460" s="646"/>
    </row>
    <row r="461" spans="1:18" ht="25.5" customHeight="1" hidden="1">
      <c r="A461" s="121"/>
      <c r="B461" s="121"/>
      <c r="C461" s="126" t="s">
        <v>982</v>
      </c>
      <c r="D461" s="459" t="s">
        <v>930</v>
      </c>
      <c r="E461" s="114"/>
      <c r="F461" s="331">
        <v>154436</v>
      </c>
      <c r="G461" s="122"/>
      <c r="H461" s="122"/>
      <c r="I461" s="122"/>
      <c r="J461" s="122"/>
      <c r="K461" s="122"/>
      <c r="L461" s="123"/>
      <c r="M461" s="123"/>
      <c r="N461" s="123"/>
      <c r="O461" s="122"/>
      <c r="P461" s="122"/>
      <c r="Q461" s="124">
        <f t="shared" si="27"/>
        <v>0</v>
      </c>
      <c r="R461" s="646"/>
    </row>
    <row r="462" spans="1:18" ht="25.5" customHeight="1">
      <c r="A462" s="121"/>
      <c r="B462" s="121"/>
      <c r="C462" s="126" t="s">
        <v>983</v>
      </c>
      <c r="D462" s="333" t="s">
        <v>1102</v>
      </c>
      <c r="E462" s="114"/>
      <c r="F462" s="331">
        <v>152405</v>
      </c>
      <c r="G462" s="122"/>
      <c r="H462" s="122"/>
      <c r="I462" s="123">
        <v>-5</v>
      </c>
      <c r="J462" s="122"/>
      <c r="K462" s="122"/>
      <c r="L462" s="18">
        <v>1176</v>
      </c>
      <c r="M462" s="123">
        <v>-216</v>
      </c>
      <c r="N462" s="123"/>
      <c r="O462" s="122"/>
      <c r="P462" s="122"/>
      <c r="Q462" s="124">
        <f t="shared" si="27"/>
        <v>955</v>
      </c>
      <c r="R462" s="646" t="s">
        <v>1180</v>
      </c>
    </row>
    <row r="463" spans="1:18" ht="12.75" customHeight="1" hidden="1">
      <c r="A463" s="121"/>
      <c r="B463" s="121"/>
      <c r="C463" s="126" t="s">
        <v>984</v>
      </c>
      <c r="D463" s="256" t="s">
        <v>980</v>
      </c>
      <c r="E463" s="114"/>
      <c r="F463" s="331">
        <v>152401</v>
      </c>
      <c r="G463" s="122"/>
      <c r="H463" s="122"/>
      <c r="I463" s="122"/>
      <c r="J463" s="122"/>
      <c r="K463" s="122"/>
      <c r="L463" s="18"/>
      <c r="M463" s="123"/>
      <c r="N463" s="123"/>
      <c r="O463" s="122"/>
      <c r="P463" s="122"/>
      <c r="Q463" s="124">
        <f t="shared" si="27"/>
        <v>0</v>
      </c>
      <c r="R463" s="646"/>
    </row>
    <row r="464" spans="1:18" ht="12.75" customHeight="1" hidden="1">
      <c r="A464" s="121"/>
      <c r="B464" s="121"/>
      <c r="C464" s="126" t="s">
        <v>369</v>
      </c>
      <c r="D464" s="360" t="s">
        <v>789</v>
      </c>
      <c r="E464" s="114"/>
      <c r="F464" s="331">
        <v>164406</v>
      </c>
      <c r="G464" s="18"/>
      <c r="H464" s="231"/>
      <c r="I464" s="18"/>
      <c r="J464" s="18"/>
      <c r="K464" s="18"/>
      <c r="L464" s="15"/>
      <c r="M464" s="15"/>
      <c r="N464" s="18"/>
      <c r="O464" s="18"/>
      <c r="P464" s="18"/>
      <c r="Q464" s="17">
        <f t="shared" si="27"/>
        <v>0</v>
      </c>
      <c r="R464" s="646"/>
    </row>
    <row r="465" spans="1:18" ht="24.75" customHeight="1" hidden="1">
      <c r="A465" s="121"/>
      <c r="B465" s="121"/>
      <c r="C465" s="100" t="s">
        <v>312</v>
      </c>
      <c r="D465" s="308" t="s">
        <v>313</v>
      </c>
      <c r="E465" s="15"/>
      <c r="F465" s="100">
        <v>151421</v>
      </c>
      <c r="G465" s="18"/>
      <c r="H465" s="231"/>
      <c r="I465" s="18"/>
      <c r="J465" s="18"/>
      <c r="K465" s="18"/>
      <c r="L465" s="15"/>
      <c r="M465" s="15"/>
      <c r="N465" s="18"/>
      <c r="O465" s="18"/>
      <c r="P465" s="18"/>
      <c r="Q465" s="17">
        <f t="shared" si="27"/>
        <v>0</v>
      </c>
      <c r="R465" s="646"/>
    </row>
    <row r="466" spans="1:18" ht="12.75" customHeight="1">
      <c r="A466" s="121"/>
      <c r="B466" s="121"/>
      <c r="C466" s="121" t="s">
        <v>1252</v>
      </c>
      <c r="D466" s="350" t="s">
        <v>150</v>
      </c>
      <c r="E466" s="114"/>
      <c r="F466" s="331"/>
      <c r="G466" s="122"/>
      <c r="H466" s="122"/>
      <c r="I466" s="122"/>
      <c r="J466" s="122"/>
      <c r="K466" s="122"/>
      <c r="L466" s="123"/>
      <c r="M466" s="123"/>
      <c r="N466" s="123"/>
      <c r="O466" s="122"/>
      <c r="P466" s="122"/>
      <c r="Q466" s="124"/>
      <c r="R466" s="646"/>
    </row>
    <row r="467" spans="1:18" ht="12.75" customHeight="1" hidden="1">
      <c r="A467" s="121"/>
      <c r="B467" s="121"/>
      <c r="C467" s="126" t="s">
        <v>1249</v>
      </c>
      <c r="D467" s="469" t="s">
        <v>314</v>
      </c>
      <c r="E467" s="114"/>
      <c r="F467" s="331">
        <v>152537</v>
      </c>
      <c r="G467" s="122"/>
      <c r="H467" s="122"/>
      <c r="I467" s="122"/>
      <c r="J467" s="122"/>
      <c r="K467" s="122"/>
      <c r="L467" s="123"/>
      <c r="M467" s="123"/>
      <c r="N467" s="123"/>
      <c r="O467" s="122"/>
      <c r="P467" s="122"/>
      <c r="Q467" s="124">
        <f aca="true" t="shared" si="28" ref="Q467:Q489">SUM(G467:P467)</f>
        <v>0</v>
      </c>
      <c r="R467" s="646" t="s">
        <v>1180</v>
      </c>
    </row>
    <row r="468" spans="1:18" ht="12.75" customHeight="1" hidden="1">
      <c r="A468" s="121"/>
      <c r="B468" s="121"/>
      <c r="C468" s="126" t="s">
        <v>142</v>
      </c>
      <c r="D468" s="470" t="s">
        <v>373</v>
      </c>
      <c r="E468" s="114"/>
      <c r="F468" s="331">
        <v>152538</v>
      </c>
      <c r="G468" s="122"/>
      <c r="H468" s="122"/>
      <c r="I468" s="123"/>
      <c r="J468" s="122"/>
      <c r="K468" s="122"/>
      <c r="L468" s="123"/>
      <c r="M468" s="123"/>
      <c r="N468" s="123"/>
      <c r="O468" s="122"/>
      <c r="P468" s="122"/>
      <c r="Q468" s="124">
        <f t="shared" si="28"/>
        <v>0</v>
      </c>
      <c r="R468" s="646" t="s">
        <v>1180</v>
      </c>
    </row>
    <row r="469" spans="1:18" ht="12.75" customHeight="1" hidden="1">
      <c r="A469" s="121"/>
      <c r="B469" s="121"/>
      <c r="C469" s="126" t="s">
        <v>1382</v>
      </c>
      <c r="D469" s="458" t="s">
        <v>239</v>
      </c>
      <c r="E469" s="114"/>
      <c r="F469" s="331">
        <v>154504</v>
      </c>
      <c r="G469" s="122"/>
      <c r="H469" s="122"/>
      <c r="I469" s="122"/>
      <c r="J469" s="122"/>
      <c r="K469" s="122"/>
      <c r="L469" s="123"/>
      <c r="M469" s="123"/>
      <c r="N469" s="123"/>
      <c r="O469" s="122"/>
      <c r="P469" s="122"/>
      <c r="Q469" s="124">
        <f t="shared" si="28"/>
        <v>0</v>
      </c>
      <c r="R469" s="646" t="s">
        <v>1178</v>
      </c>
    </row>
    <row r="470" spans="1:18" ht="24" customHeight="1" hidden="1">
      <c r="A470" s="121"/>
      <c r="B470" s="121"/>
      <c r="C470" s="126" t="s">
        <v>143</v>
      </c>
      <c r="D470" s="471" t="s">
        <v>884</v>
      </c>
      <c r="E470" s="114"/>
      <c r="F470" s="331">
        <v>152539</v>
      </c>
      <c r="G470" s="122"/>
      <c r="H470" s="122"/>
      <c r="I470" s="123"/>
      <c r="J470" s="122"/>
      <c r="K470" s="122"/>
      <c r="L470" s="123"/>
      <c r="M470" s="123"/>
      <c r="N470" s="123"/>
      <c r="O470" s="122"/>
      <c r="P470" s="122"/>
      <c r="Q470" s="124">
        <f t="shared" si="28"/>
        <v>0</v>
      </c>
      <c r="R470" s="646"/>
    </row>
    <row r="471" spans="1:18" ht="12.75" customHeight="1" hidden="1">
      <c r="A471" s="121"/>
      <c r="B471" s="121"/>
      <c r="C471" s="126" t="s">
        <v>1266</v>
      </c>
      <c r="D471" s="685" t="s">
        <v>640</v>
      </c>
      <c r="E471" s="114"/>
      <c r="F471" s="331">
        <v>152540</v>
      </c>
      <c r="G471" s="122"/>
      <c r="H471" s="122"/>
      <c r="I471" s="122"/>
      <c r="J471" s="122"/>
      <c r="K471" s="122"/>
      <c r="L471" s="123"/>
      <c r="M471" s="123"/>
      <c r="N471" s="123"/>
      <c r="O471" s="122"/>
      <c r="P471" s="122"/>
      <c r="Q471" s="124">
        <f t="shared" si="28"/>
        <v>0</v>
      </c>
      <c r="R471" s="646"/>
    </row>
    <row r="472" spans="1:18" ht="12.75" customHeight="1" hidden="1">
      <c r="A472" s="121"/>
      <c r="B472" s="121"/>
      <c r="C472" s="126" t="s">
        <v>1267</v>
      </c>
      <c r="D472" s="459" t="s">
        <v>235</v>
      </c>
      <c r="E472" s="114"/>
      <c r="F472" s="331">
        <v>152925</v>
      </c>
      <c r="G472" s="122"/>
      <c r="H472" s="122"/>
      <c r="I472" s="122"/>
      <c r="J472" s="122"/>
      <c r="K472" s="123"/>
      <c r="L472" s="123"/>
      <c r="M472" s="123"/>
      <c r="N472" s="123"/>
      <c r="O472" s="122"/>
      <c r="P472" s="122"/>
      <c r="Q472" s="124">
        <f t="shared" si="28"/>
        <v>0</v>
      </c>
      <c r="R472" s="646"/>
    </row>
    <row r="473" spans="1:18" ht="12.75" customHeight="1" hidden="1">
      <c r="A473" s="121"/>
      <c r="B473" s="121"/>
      <c r="C473" s="126" t="s">
        <v>1383</v>
      </c>
      <c r="D473" s="686" t="s">
        <v>642</v>
      </c>
      <c r="E473" s="114"/>
      <c r="F473" s="331">
        <v>154513</v>
      </c>
      <c r="G473" s="122"/>
      <c r="H473" s="122"/>
      <c r="I473" s="122"/>
      <c r="J473" s="122"/>
      <c r="K473" s="122"/>
      <c r="L473" s="123"/>
      <c r="M473" s="123"/>
      <c r="N473" s="123"/>
      <c r="O473" s="122"/>
      <c r="P473" s="122"/>
      <c r="Q473" s="124">
        <f t="shared" si="28"/>
        <v>0</v>
      </c>
      <c r="R473" s="646"/>
    </row>
    <row r="474" spans="1:18" ht="23.25" customHeight="1" hidden="1">
      <c r="A474" s="121"/>
      <c r="B474" s="121"/>
      <c r="C474" s="126" t="s">
        <v>1384</v>
      </c>
      <c r="D474" s="463" t="s">
        <v>1038</v>
      </c>
      <c r="E474" s="114"/>
      <c r="F474" s="331">
        <v>154514</v>
      </c>
      <c r="G474" s="122"/>
      <c r="H474" s="122"/>
      <c r="I474" s="122"/>
      <c r="J474" s="122"/>
      <c r="K474" s="122"/>
      <c r="L474" s="123"/>
      <c r="M474" s="123"/>
      <c r="N474" s="123"/>
      <c r="O474" s="122"/>
      <c r="P474" s="122"/>
      <c r="Q474" s="124">
        <f t="shared" si="28"/>
        <v>0</v>
      </c>
      <c r="R474" s="646"/>
    </row>
    <row r="475" spans="1:18" ht="27.75" customHeight="1" hidden="1">
      <c r="A475" s="121"/>
      <c r="B475" s="121"/>
      <c r="C475" s="126" t="s">
        <v>1385</v>
      </c>
      <c r="D475" s="463" t="s">
        <v>648</v>
      </c>
      <c r="E475" s="114"/>
      <c r="F475" s="331">
        <v>152926</v>
      </c>
      <c r="G475" s="122"/>
      <c r="H475" s="122"/>
      <c r="I475" s="122"/>
      <c r="J475" s="122"/>
      <c r="K475" s="122"/>
      <c r="L475" s="123"/>
      <c r="M475" s="123"/>
      <c r="N475" s="123"/>
      <c r="O475" s="122"/>
      <c r="P475" s="122"/>
      <c r="Q475" s="124">
        <f t="shared" si="28"/>
        <v>0</v>
      </c>
      <c r="R475" s="646" t="s">
        <v>1180</v>
      </c>
    </row>
    <row r="476" spans="1:18" ht="15.75" customHeight="1" hidden="1">
      <c r="A476" s="121"/>
      <c r="B476" s="121"/>
      <c r="C476" s="126" t="s">
        <v>1386</v>
      </c>
      <c r="D476" s="457" t="s">
        <v>654</v>
      </c>
      <c r="E476" s="114"/>
      <c r="F476" s="331">
        <v>154515</v>
      </c>
      <c r="G476" s="122"/>
      <c r="H476" s="122"/>
      <c r="I476" s="122"/>
      <c r="J476" s="122"/>
      <c r="K476" s="122"/>
      <c r="L476" s="123"/>
      <c r="M476" s="123"/>
      <c r="N476" s="123"/>
      <c r="O476" s="122"/>
      <c r="P476" s="122"/>
      <c r="Q476" s="124">
        <f t="shared" si="28"/>
        <v>0</v>
      </c>
      <c r="R476" s="646"/>
    </row>
    <row r="477" spans="1:18" ht="15" customHeight="1" hidden="1">
      <c r="A477" s="121"/>
      <c r="B477" s="121"/>
      <c r="C477" s="126" t="s">
        <v>1387</v>
      </c>
      <c r="D477" s="457" t="s">
        <v>655</v>
      </c>
      <c r="E477" s="114"/>
      <c r="F477" s="331">
        <v>152541</v>
      </c>
      <c r="G477" s="122"/>
      <c r="H477" s="122"/>
      <c r="I477" s="122"/>
      <c r="J477" s="122"/>
      <c r="K477" s="122"/>
      <c r="L477" s="123"/>
      <c r="M477" s="123"/>
      <c r="N477" s="123"/>
      <c r="O477" s="122"/>
      <c r="P477" s="122"/>
      <c r="Q477" s="124">
        <f t="shared" si="28"/>
        <v>0</v>
      </c>
      <c r="R477" s="646"/>
    </row>
    <row r="478" spans="1:18" ht="16.5" customHeight="1" hidden="1">
      <c r="A478" s="121"/>
      <c r="B478" s="121"/>
      <c r="C478" s="126" t="s">
        <v>513</v>
      </c>
      <c r="D478" s="472" t="s">
        <v>656</v>
      </c>
      <c r="E478" s="114"/>
      <c r="F478" s="331">
        <v>154516</v>
      </c>
      <c r="G478" s="122"/>
      <c r="H478" s="122"/>
      <c r="I478" s="122"/>
      <c r="J478" s="122"/>
      <c r="K478" s="122"/>
      <c r="L478" s="123"/>
      <c r="M478" s="123"/>
      <c r="N478" s="123"/>
      <c r="O478" s="122"/>
      <c r="P478" s="122"/>
      <c r="Q478" s="124">
        <f t="shared" si="28"/>
        <v>0</v>
      </c>
      <c r="R478" s="646"/>
    </row>
    <row r="479" spans="1:18" ht="26.25" customHeight="1" hidden="1">
      <c r="A479" s="121"/>
      <c r="B479" s="121"/>
      <c r="C479" s="126" t="s">
        <v>514</v>
      </c>
      <c r="D479" s="473" t="s">
        <v>676</v>
      </c>
      <c r="E479" s="114"/>
      <c r="F479" s="331">
        <v>154517</v>
      </c>
      <c r="G479" s="122"/>
      <c r="H479" s="122"/>
      <c r="I479" s="122"/>
      <c r="J479" s="122"/>
      <c r="K479" s="122"/>
      <c r="L479" s="123"/>
      <c r="M479" s="123"/>
      <c r="N479" s="123"/>
      <c r="O479" s="122"/>
      <c r="P479" s="122"/>
      <c r="Q479" s="124">
        <f t="shared" si="28"/>
        <v>0</v>
      </c>
      <c r="R479" s="646"/>
    </row>
    <row r="480" spans="1:18" ht="15.75" customHeight="1" hidden="1">
      <c r="A480" s="121"/>
      <c r="B480" s="121"/>
      <c r="C480" s="126" t="s">
        <v>515</v>
      </c>
      <c r="D480" s="456" t="s">
        <v>681</v>
      </c>
      <c r="E480" s="114"/>
      <c r="F480" s="331">
        <v>154518</v>
      </c>
      <c r="G480" s="122"/>
      <c r="H480" s="122"/>
      <c r="I480" s="123"/>
      <c r="J480" s="122"/>
      <c r="K480" s="122"/>
      <c r="L480" s="123"/>
      <c r="M480" s="123"/>
      <c r="N480" s="123"/>
      <c r="O480" s="122"/>
      <c r="P480" s="122"/>
      <c r="Q480" s="124">
        <f t="shared" si="28"/>
        <v>0</v>
      </c>
      <c r="R480" s="646" t="s">
        <v>1180</v>
      </c>
    </row>
    <row r="481" spans="1:18" ht="15.75" customHeight="1" hidden="1">
      <c r="A481" s="121"/>
      <c r="B481" s="121"/>
      <c r="C481" s="126" t="s">
        <v>516</v>
      </c>
      <c r="D481" s="457" t="s">
        <v>885</v>
      </c>
      <c r="E481" s="114"/>
      <c r="F481" s="331">
        <v>154519</v>
      </c>
      <c r="G481" s="122"/>
      <c r="H481" s="122"/>
      <c r="I481" s="123"/>
      <c r="J481" s="122"/>
      <c r="K481" s="122"/>
      <c r="L481" s="123"/>
      <c r="M481" s="123"/>
      <c r="N481" s="123"/>
      <c r="O481" s="122"/>
      <c r="P481" s="122"/>
      <c r="Q481" s="124">
        <f t="shared" si="28"/>
        <v>0</v>
      </c>
      <c r="R481" s="646" t="s">
        <v>1180</v>
      </c>
    </row>
    <row r="482" spans="1:18" ht="25.5" customHeight="1" hidden="1">
      <c r="A482" s="121"/>
      <c r="B482" s="121"/>
      <c r="C482" s="126" t="s">
        <v>931</v>
      </c>
      <c r="D482" s="456" t="s">
        <v>698</v>
      </c>
      <c r="E482" s="114"/>
      <c r="F482" s="331">
        <v>152542</v>
      </c>
      <c r="G482" s="122"/>
      <c r="H482" s="122"/>
      <c r="I482" s="122"/>
      <c r="J482" s="122"/>
      <c r="K482" s="122"/>
      <c r="L482" s="123"/>
      <c r="M482" s="123"/>
      <c r="N482" s="123"/>
      <c r="O482" s="122"/>
      <c r="P482" s="122"/>
      <c r="Q482" s="124">
        <f t="shared" si="28"/>
        <v>0</v>
      </c>
      <c r="R482" s="646"/>
    </row>
    <row r="483" spans="1:18" ht="15.75" customHeight="1" hidden="1">
      <c r="A483" s="121"/>
      <c r="B483" s="121"/>
      <c r="C483" s="126" t="s">
        <v>932</v>
      </c>
      <c r="D483" s="455" t="s">
        <v>702</v>
      </c>
      <c r="E483" s="114"/>
      <c r="F483" s="331">
        <v>154520</v>
      </c>
      <c r="G483" s="122"/>
      <c r="H483" s="122"/>
      <c r="I483" s="122"/>
      <c r="J483" s="122"/>
      <c r="K483" s="122"/>
      <c r="L483" s="123"/>
      <c r="M483" s="123"/>
      <c r="N483" s="123"/>
      <c r="O483" s="122"/>
      <c r="P483" s="122"/>
      <c r="Q483" s="124">
        <f t="shared" si="28"/>
        <v>0</v>
      </c>
      <c r="R483" s="646"/>
    </row>
    <row r="484" spans="1:18" ht="24.75" customHeight="1" hidden="1">
      <c r="A484" s="121"/>
      <c r="B484" s="121"/>
      <c r="C484" s="126" t="s">
        <v>678</v>
      </c>
      <c r="D484" s="456" t="s">
        <v>708</v>
      </c>
      <c r="E484" s="114"/>
      <c r="F484" s="331">
        <v>152543</v>
      </c>
      <c r="G484" s="122"/>
      <c r="H484" s="122"/>
      <c r="I484" s="122"/>
      <c r="J484" s="122"/>
      <c r="K484" s="122"/>
      <c r="L484" s="123"/>
      <c r="M484" s="123"/>
      <c r="N484" s="123"/>
      <c r="O484" s="122"/>
      <c r="P484" s="122"/>
      <c r="Q484" s="124">
        <f t="shared" si="28"/>
        <v>0</v>
      </c>
      <c r="R484" s="646"/>
    </row>
    <row r="485" spans="1:18" ht="26.25" customHeight="1" hidden="1">
      <c r="A485" s="121"/>
      <c r="B485" s="121"/>
      <c r="C485" s="126" t="s">
        <v>679</v>
      </c>
      <c r="D485" s="456" t="s">
        <v>721</v>
      </c>
      <c r="E485" s="114"/>
      <c r="F485" s="331">
        <v>154521</v>
      </c>
      <c r="G485" s="122"/>
      <c r="H485" s="122"/>
      <c r="I485" s="122"/>
      <c r="J485" s="122"/>
      <c r="K485" s="122"/>
      <c r="L485" s="123"/>
      <c r="M485" s="123"/>
      <c r="N485" s="123"/>
      <c r="O485" s="122"/>
      <c r="P485" s="122"/>
      <c r="Q485" s="124">
        <f t="shared" si="28"/>
        <v>0</v>
      </c>
      <c r="R485" s="646"/>
    </row>
    <row r="486" spans="1:18" ht="15.75" customHeight="1" hidden="1">
      <c r="A486" s="121"/>
      <c r="B486" s="121"/>
      <c r="C486" s="126" t="s">
        <v>680</v>
      </c>
      <c r="D486" s="456" t="s">
        <v>747</v>
      </c>
      <c r="E486" s="114"/>
      <c r="F486" s="331">
        <v>152544</v>
      </c>
      <c r="G486" s="122"/>
      <c r="H486" s="122"/>
      <c r="I486" s="123"/>
      <c r="J486" s="122"/>
      <c r="K486" s="122"/>
      <c r="L486" s="123"/>
      <c r="M486" s="123"/>
      <c r="N486" s="123"/>
      <c r="O486" s="122"/>
      <c r="P486" s="122"/>
      <c r="Q486" s="124">
        <f t="shared" si="28"/>
        <v>0</v>
      </c>
      <c r="R486" s="646"/>
    </row>
    <row r="487" spans="1:18" ht="15.75" customHeight="1" hidden="1">
      <c r="A487" s="121"/>
      <c r="B487" s="121"/>
      <c r="C487" s="682" t="s">
        <v>1194</v>
      </c>
      <c r="D487" s="683" t="s">
        <v>1195</v>
      </c>
      <c r="E487" s="15"/>
      <c r="F487" s="100">
        <v>154522</v>
      </c>
      <c r="G487" s="122"/>
      <c r="H487" s="122"/>
      <c r="I487" s="123"/>
      <c r="J487" s="122"/>
      <c r="K487" s="122"/>
      <c r="L487" s="123"/>
      <c r="M487" s="123"/>
      <c r="N487" s="123"/>
      <c r="O487" s="122"/>
      <c r="P487" s="122"/>
      <c r="Q487" s="124">
        <f t="shared" si="28"/>
        <v>0</v>
      </c>
      <c r="R487" s="646"/>
    </row>
    <row r="488" spans="1:18" ht="15.75" customHeight="1" hidden="1">
      <c r="A488" s="121"/>
      <c r="B488" s="121"/>
      <c r="C488" s="100" t="s">
        <v>1196</v>
      </c>
      <c r="D488" s="683" t="s">
        <v>1197</v>
      </c>
      <c r="E488" s="15"/>
      <c r="F488" s="100">
        <v>152545</v>
      </c>
      <c r="G488" s="122"/>
      <c r="H488" s="122"/>
      <c r="I488" s="123"/>
      <c r="J488" s="122"/>
      <c r="K488" s="122"/>
      <c r="L488" s="123"/>
      <c r="M488" s="123"/>
      <c r="N488" s="123"/>
      <c r="O488" s="122"/>
      <c r="P488" s="122"/>
      <c r="Q488" s="124">
        <f t="shared" si="28"/>
        <v>0</v>
      </c>
      <c r="R488" s="646"/>
    </row>
    <row r="489" spans="1:18" ht="15.75" customHeight="1" hidden="1">
      <c r="A489" s="121"/>
      <c r="B489" s="121"/>
      <c r="C489" s="100" t="s">
        <v>840</v>
      </c>
      <c r="D489" s="683" t="s">
        <v>841</v>
      </c>
      <c r="E489" s="15"/>
      <c r="F489" s="100">
        <v>152546</v>
      </c>
      <c r="G489" s="122"/>
      <c r="H489" s="122"/>
      <c r="I489" s="123"/>
      <c r="J489" s="122"/>
      <c r="K489" s="122"/>
      <c r="L489" s="123"/>
      <c r="M489" s="123"/>
      <c r="N489" s="123"/>
      <c r="O489" s="122"/>
      <c r="P489" s="122"/>
      <c r="Q489" s="124">
        <f t="shared" si="28"/>
        <v>0</v>
      </c>
      <c r="R489" s="646" t="s">
        <v>1180</v>
      </c>
    </row>
    <row r="490" spans="1:18" ht="12.75" customHeight="1" hidden="1">
      <c r="A490" s="121"/>
      <c r="B490" s="121"/>
      <c r="C490" s="126"/>
      <c r="D490" s="255" t="s">
        <v>421</v>
      </c>
      <c r="E490" s="114"/>
      <c r="F490" s="331"/>
      <c r="G490" s="122"/>
      <c r="H490" s="122"/>
      <c r="I490" s="122"/>
      <c r="J490" s="122"/>
      <c r="K490" s="122"/>
      <c r="L490" s="123"/>
      <c r="M490" s="123"/>
      <c r="N490" s="123"/>
      <c r="O490" s="122"/>
      <c r="P490" s="122"/>
      <c r="Q490" s="124"/>
      <c r="R490" s="646"/>
    </row>
    <row r="491" spans="1:18" ht="12.75" customHeight="1" hidden="1">
      <c r="A491" s="121"/>
      <c r="B491" s="121"/>
      <c r="C491" s="126" t="s">
        <v>205</v>
      </c>
      <c r="D491" s="255" t="s">
        <v>1265</v>
      </c>
      <c r="E491" s="114"/>
      <c r="F491" s="331">
        <v>152908</v>
      </c>
      <c r="G491" s="122"/>
      <c r="H491" s="122"/>
      <c r="I491" s="122"/>
      <c r="J491" s="122"/>
      <c r="K491" s="122"/>
      <c r="L491" s="123"/>
      <c r="M491" s="123"/>
      <c r="N491" s="123"/>
      <c r="O491" s="122"/>
      <c r="P491" s="122"/>
      <c r="Q491" s="124">
        <f aca="true" t="shared" si="29" ref="Q491:Q504">SUM(G491:P491)</f>
        <v>0</v>
      </c>
      <c r="R491" s="646" t="s">
        <v>1178</v>
      </c>
    </row>
    <row r="492" spans="1:18" ht="12.75" customHeight="1">
      <c r="A492" s="121"/>
      <c r="B492" s="121"/>
      <c r="C492" s="126" t="s">
        <v>207</v>
      </c>
      <c r="D492" s="308" t="s">
        <v>228</v>
      </c>
      <c r="E492" s="114"/>
      <c r="F492" s="331">
        <v>162921</v>
      </c>
      <c r="G492" s="122"/>
      <c r="H492" s="122"/>
      <c r="I492" s="123">
        <v>414</v>
      </c>
      <c r="J492" s="122"/>
      <c r="K492" s="122"/>
      <c r="L492" s="123">
        <v>-414</v>
      </c>
      <c r="M492" s="123"/>
      <c r="N492" s="123"/>
      <c r="O492" s="122"/>
      <c r="P492" s="122"/>
      <c r="Q492" s="124">
        <f t="shared" si="29"/>
        <v>0</v>
      </c>
      <c r="R492" s="646" t="s">
        <v>1180</v>
      </c>
    </row>
    <row r="493" spans="1:18" ht="12.75" customHeight="1" hidden="1">
      <c r="A493" s="121"/>
      <c r="B493" s="121"/>
      <c r="C493" s="126" t="s">
        <v>208</v>
      </c>
      <c r="D493" s="308" t="s">
        <v>229</v>
      </c>
      <c r="E493" s="114"/>
      <c r="F493" s="331">
        <v>152924</v>
      </c>
      <c r="G493" s="122"/>
      <c r="H493" s="122"/>
      <c r="I493" s="122"/>
      <c r="J493" s="122"/>
      <c r="K493" s="122"/>
      <c r="L493" s="123"/>
      <c r="M493" s="123"/>
      <c r="N493" s="123"/>
      <c r="O493" s="122"/>
      <c r="P493" s="122"/>
      <c r="Q493" s="124">
        <f t="shared" si="29"/>
        <v>0</v>
      </c>
      <c r="R493" s="646"/>
    </row>
    <row r="494" spans="1:18" ht="12.75" customHeight="1" hidden="1">
      <c r="A494" s="121"/>
      <c r="B494" s="121"/>
      <c r="C494" s="126" t="s">
        <v>1049</v>
      </c>
      <c r="D494" s="308" t="s">
        <v>236</v>
      </c>
      <c r="E494" s="114"/>
      <c r="F494" s="331">
        <v>152926</v>
      </c>
      <c r="G494" s="122"/>
      <c r="H494" s="122"/>
      <c r="I494" s="122"/>
      <c r="J494" s="122"/>
      <c r="K494" s="122"/>
      <c r="L494" s="123"/>
      <c r="M494" s="123"/>
      <c r="N494" s="123"/>
      <c r="O494" s="122"/>
      <c r="P494" s="122"/>
      <c r="Q494" s="124">
        <f t="shared" si="29"/>
        <v>0</v>
      </c>
      <c r="R494" s="646"/>
    </row>
    <row r="495" spans="1:18" ht="12.75" customHeight="1" hidden="1">
      <c r="A495" s="121"/>
      <c r="B495" s="121"/>
      <c r="C495" s="126" t="s">
        <v>1050</v>
      </c>
      <c r="D495" s="308" t="s">
        <v>237</v>
      </c>
      <c r="E495" s="114"/>
      <c r="F495" s="331">
        <v>152505</v>
      </c>
      <c r="G495" s="122"/>
      <c r="H495" s="122"/>
      <c r="I495" s="123"/>
      <c r="J495" s="122"/>
      <c r="K495" s="122"/>
      <c r="L495" s="123"/>
      <c r="M495" s="123"/>
      <c r="N495" s="123"/>
      <c r="O495" s="122"/>
      <c r="P495" s="122"/>
      <c r="Q495" s="124">
        <f t="shared" si="29"/>
        <v>0</v>
      </c>
      <c r="R495" s="646" t="s">
        <v>1180</v>
      </c>
    </row>
    <row r="496" spans="1:18" ht="12.75" customHeight="1" hidden="1">
      <c r="A496" s="121"/>
      <c r="B496" s="121"/>
      <c r="C496" s="126" t="s">
        <v>981</v>
      </c>
      <c r="D496" s="468" t="s">
        <v>1004</v>
      </c>
      <c r="E496" s="114"/>
      <c r="F496" s="331">
        <v>152912</v>
      </c>
      <c r="G496" s="122"/>
      <c r="H496" s="122"/>
      <c r="I496" s="122"/>
      <c r="J496" s="122"/>
      <c r="K496" s="122"/>
      <c r="L496" s="123"/>
      <c r="M496" s="123"/>
      <c r="N496" s="123"/>
      <c r="O496" s="122"/>
      <c r="P496" s="122"/>
      <c r="Q496" s="124">
        <f t="shared" si="29"/>
        <v>0</v>
      </c>
      <c r="R496" s="646"/>
    </row>
    <row r="497" spans="1:18" ht="24" customHeight="1" hidden="1">
      <c r="A497" s="121"/>
      <c r="B497" s="121"/>
      <c r="C497" s="126" t="s">
        <v>517</v>
      </c>
      <c r="D497" s="474" t="s">
        <v>238</v>
      </c>
      <c r="E497" s="114"/>
      <c r="F497" s="331">
        <v>152503</v>
      </c>
      <c r="G497" s="122"/>
      <c r="H497" s="122"/>
      <c r="I497" s="122"/>
      <c r="J497" s="122"/>
      <c r="K497" s="122"/>
      <c r="L497" s="123"/>
      <c r="M497" s="123"/>
      <c r="N497" s="123"/>
      <c r="O497" s="122"/>
      <c r="P497" s="122"/>
      <c r="Q497" s="124">
        <f t="shared" si="29"/>
        <v>0</v>
      </c>
      <c r="R497" s="646"/>
    </row>
    <row r="498" spans="1:18" ht="17.25" customHeight="1">
      <c r="A498" s="121"/>
      <c r="B498" s="121"/>
      <c r="C498" s="126" t="s">
        <v>518</v>
      </c>
      <c r="D498" s="458" t="s">
        <v>240</v>
      </c>
      <c r="E498" s="114"/>
      <c r="F498" s="331">
        <v>154511</v>
      </c>
      <c r="G498" s="122"/>
      <c r="H498" s="122"/>
      <c r="I498" s="123">
        <v>574</v>
      </c>
      <c r="J498" s="122"/>
      <c r="K498" s="122"/>
      <c r="L498" s="123"/>
      <c r="M498" s="123"/>
      <c r="N498" s="123"/>
      <c r="O498" s="122"/>
      <c r="P498" s="122"/>
      <c r="Q498" s="124">
        <f t="shared" si="29"/>
        <v>574</v>
      </c>
      <c r="R498" s="646" t="s">
        <v>1178</v>
      </c>
    </row>
    <row r="499" spans="1:18" ht="16.5" customHeight="1" hidden="1">
      <c r="A499" s="121"/>
      <c r="B499" s="121"/>
      <c r="C499" s="126" t="s">
        <v>519</v>
      </c>
      <c r="D499" s="308" t="s">
        <v>245</v>
      </c>
      <c r="E499" s="114"/>
      <c r="F499" s="331">
        <v>154901</v>
      </c>
      <c r="G499" s="122"/>
      <c r="H499" s="122"/>
      <c r="I499" s="123"/>
      <c r="J499" s="122"/>
      <c r="K499" s="122"/>
      <c r="L499" s="123"/>
      <c r="M499" s="123"/>
      <c r="N499" s="123"/>
      <c r="O499" s="122"/>
      <c r="P499" s="122"/>
      <c r="Q499" s="124">
        <f t="shared" si="29"/>
        <v>0</v>
      </c>
      <c r="R499" s="646"/>
    </row>
    <row r="500" spans="1:18" ht="16.5" customHeight="1" hidden="1">
      <c r="A500" s="121"/>
      <c r="B500" s="121"/>
      <c r="C500" s="126" t="s">
        <v>28</v>
      </c>
      <c r="D500" s="308" t="s">
        <v>246</v>
      </c>
      <c r="E500" s="114"/>
      <c r="F500" s="331">
        <v>152523</v>
      </c>
      <c r="G500" s="122"/>
      <c r="H500" s="122"/>
      <c r="I500" s="122"/>
      <c r="J500" s="122"/>
      <c r="K500" s="122"/>
      <c r="L500" s="123"/>
      <c r="M500" s="123"/>
      <c r="N500" s="123"/>
      <c r="O500" s="122"/>
      <c r="P500" s="122"/>
      <c r="Q500" s="124">
        <f t="shared" si="29"/>
        <v>0</v>
      </c>
      <c r="R500" s="646"/>
    </row>
    <row r="501" spans="1:18" ht="18.75" customHeight="1" hidden="1">
      <c r="A501" s="121"/>
      <c r="B501" s="121"/>
      <c r="C501" s="126" t="s">
        <v>29</v>
      </c>
      <c r="D501" s="308" t="s">
        <v>247</v>
      </c>
      <c r="E501" s="114"/>
      <c r="F501" s="331">
        <v>154505</v>
      </c>
      <c r="G501" s="122"/>
      <c r="H501" s="122"/>
      <c r="I501" s="123"/>
      <c r="J501" s="122"/>
      <c r="K501" s="122"/>
      <c r="L501" s="123"/>
      <c r="M501" s="123"/>
      <c r="N501" s="123"/>
      <c r="O501" s="122"/>
      <c r="P501" s="122"/>
      <c r="Q501" s="124">
        <f t="shared" si="29"/>
        <v>0</v>
      </c>
      <c r="R501" s="646"/>
    </row>
    <row r="502" spans="1:18" ht="24" customHeight="1" hidden="1">
      <c r="A502" s="121"/>
      <c r="B502" s="121"/>
      <c r="C502" s="126" t="s">
        <v>338</v>
      </c>
      <c r="D502" s="349" t="s">
        <v>1264</v>
      </c>
      <c r="E502" s="114"/>
      <c r="F502" s="331">
        <v>152532</v>
      </c>
      <c r="G502" s="122"/>
      <c r="H502" s="122"/>
      <c r="I502" s="122"/>
      <c r="J502" s="122"/>
      <c r="K502" s="122"/>
      <c r="L502" s="123"/>
      <c r="M502" s="123"/>
      <c r="N502" s="123"/>
      <c r="O502" s="122"/>
      <c r="P502" s="122"/>
      <c r="Q502" s="124">
        <f t="shared" si="29"/>
        <v>0</v>
      </c>
      <c r="R502" s="646" t="s">
        <v>1180</v>
      </c>
    </row>
    <row r="503" spans="1:18" ht="18.75" customHeight="1" hidden="1">
      <c r="A503" s="121"/>
      <c r="B503" s="121"/>
      <c r="C503" s="126" t="s">
        <v>339</v>
      </c>
      <c r="D503" s="333" t="s">
        <v>783</v>
      </c>
      <c r="E503" s="114"/>
      <c r="F503" s="331">
        <v>154508</v>
      </c>
      <c r="G503" s="122"/>
      <c r="H503" s="122"/>
      <c r="I503" s="123"/>
      <c r="J503" s="122"/>
      <c r="K503" s="122"/>
      <c r="L503" s="123"/>
      <c r="M503" s="123"/>
      <c r="N503" s="123"/>
      <c r="O503" s="122"/>
      <c r="P503" s="122"/>
      <c r="Q503" s="124">
        <f t="shared" si="29"/>
        <v>0</v>
      </c>
      <c r="R503" s="646" t="s">
        <v>1180</v>
      </c>
    </row>
    <row r="504" spans="1:18" ht="18.75" customHeight="1" hidden="1">
      <c r="A504" s="121"/>
      <c r="B504" s="121"/>
      <c r="C504" s="126" t="s">
        <v>340</v>
      </c>
      <c r="D504" s="266" t="s">
        <v>1121</v>
      </c>
      <c r="E504" s="114"/>
      <c r="F504" s="331">
        <v>152501</v>
      </c>
      <c r="G504" s="122"/>
      <c r="H504" s="122"/>
      <c r="I504" s="122"/>
      <c r="J504" s="122"/>
      <c r="K504" s="122"/>
      <c r="L504" s="123"/>
      <c r="M504" s="123"/>
      <c r="N504" s="123"/>
      <c r="O504" s="122"/>
      <c r="P504" s="122"/>
      <c r="Q504" s="124">
        <f t="shared" si="29"/>
        <v>0</v>
      </c>
      <c r="R504" s="646"/>
    </row>
    <row r="505" spans="1:18" ht="16.5" customHeight="1" hidden="1">
      <c r="A505" s="121"/>
      <c r="B505" s="121"/>
      <c r="C505" s="315" t="s">
        <v>1253</v>
      </c>
      <c r="D505" s="352" t="s">
        <v>1254</v>
      </c>
      <c r="E505" s="114"/>
      <c r="F505" s="331"/>
      <c r="G505" s="122"/>
      <c r="H505" s="122"/>
      <c r="I505" s="122"/>
      <c r="J505" s="122"/>
      <c r="K505" s="122"/>
      <c r="L505" s="123"/>
      <c r="M505" s="123"/>
      <c r="N505" s="123"/>
      <c r="O505" s="122"/>
      <c r="P505" s="122"/>
      <c r="Q505" s="124"/>
      <c r="R505" s="646"/>
    </row>
    <row r="506" spans="1:18" ht="12.75" customHeight="1" hidden="1">
      <c r="A506" s="121"/>
      <c r="B506" s="121"/>
      <c r="C506" s="121" t="s">
        <v>1255</v>
      </c>
      <c r="D506" s="350" t="s">
        <v>1256</v>
      </c>
      <c r="E506" s="114"/>
      <c r="F506" s="331"/>
      <c r="G506" s="122"/>
      <c r="H506" s="122"/>
      <c r="I506" s="122"/>
      <c r="J506" s="122"/>
      <c r="K506" s="122"/>
      <c r="L506" s="123"/>
      <c r="M506" s="123"/>
      <c r="N506" s="123"/>
      <c r="O506" s="122"/>
      <c r="P506" s="122"/>
      <c r="Q506" s="124"/>
      <c r="R506" s="646"/>
    </row>
    <row r="507" spans="1:18" ht="12.75" customHeight="1" hidden="1">
      <c r="A507" s="121"/>
      <c r="B507" s="121"/>
      <c r="C507" s="126" t="s">
        <v>372</v>
      </c>
      <c r="D507" s="475" t="s">
        <v>365</v>
      </c>
      <c r="E507" s="114"/>
      <c r="F507" s="331">
        <v>152810</v>
      </c>
      <c r="G507" s="122"/>
      <c r="H507" s="122"/>
      <c r="I507" s="123"/>
      <c r="J507" s="122"/>
      <c r="K507" s="122"/>
      <c r="L507" s="123"/>
      <c r="M507" s="123"/>
      <c r="N507" s="123"/>
      <c r="O507" s="122"/>
      <c r="P507" s="122"/>
      <c r="Q507" s="124">
        <f>SUM(I507:P507)</f>
        <v>0</v>
      </c>
      <c r="R507" s="646" t="s">
        <v>1180</v>
      </c>
    </row>
    <row r="508" spans="1:18" ht="12.75" customHeight="1" hidden="1">
      <c r="A508" s="121"/>
      <c r="B508" s="121"/>
      <c r="C508" s="100" t="s">
        <v>315</v>
      </c>
      <c r="D508" s="658" t="s">
        <v>321</v>
      </c>
      <c r="E508" s="15"/>
      <c r="F508" s="100">
        <v>154419</v>
      </c>
      <c r="G508" s="122"/>
      <c r="H508" s="122"/>
      <c r="I508" s="122"/>
      <c r="J508" s="122"/>
      <c r="K508" s="122"/>
      <c r="L508" s="123"/>
      <c r="M508" s="123"/>
      <c r="N508" s="123"/>
      <c r="O508" s="122"/>
      <c r="P508" s="122"/>
      <c r="Q508" s="124">
        <f>SUM(L508:P508)</f>
        <v>0</v>
      </c>
      <c r="R508" s="646"/>
    </row>
    <row r="509" spans="1:18" ht="12.75" customHeight="1" hidden="1">
      <c r="A509" s="121"/>
      <c r="B509" s="121"/>
      <c r="C509" s="100" t="s">
        <v>1198</v>
      </c>
      <c r="D509" s="658" t="s">
        <v>1199</v>
      </c>
      <c r="E509" s="15"/>
      <c r="F509" s="100">
        <v>152801</v>
      </c>
      <c r="G509" s="122"/>
      <c r="H509" s="122"/>
      <c r="I509" s="123"/>
      <c r="J509" s="122"/>
      <c r="K509" s="122"/>
      <c r="L509" s="123"/>
      <c r="M509" s="123"/>
      <c r="N509" s="123"/>
      <c r="O509" s="122"/>
      <c r="P509" s="122"/>
      <c r="Q509" s="124">
        <f>SUM(I509:P509)</f>
        <v>0</v>
      </c>
      <c r="R509" s="646" t="s">
        <v>1180</v>
      </c>
    </row>
    <row r="510" spans="1:18" ht="12.75" customHeight="1" hidden="1">
      <c r="A510" s="121"/>
      <c r="B510" s="121"/>
      <c r="C510" s="126"/>
      <c r="D510" s="255" t="s">
        <v>421</v>
      </c>
      <c r="E510" s="114"/>
      <c r="F510" s="331"/>
      <c r="G510" s="122"/>
      <c r="H510" s="122"/>
      <c r="I510" s="122"/>
      <c r="J510" s="122"/>
      <c r="K510" s="122"/>
      <c r="L510" s="123"/>
      <c r="M510" s="123"/>
      <c r="N510" s="123"/>
      <c r="O510" s="122"/>
      <c r="P510" s="122"/>
      <c r="Q510" s="124"/>
      <c r="R510" s="646"/>
    </row>
    <row r="511" spans="1:18" ht="12.75" customHeight="1" hidden="1">
      <c r="A511" s="121"/>
      <c r="B511" s="121"/>
      <c r="C511" s="126" t="s">
        <v>807</v>
      </c>
      <c r="D511" s="353" t="s">
        <v>1268</v>
      </c>
      <c r="E511" s="114"/>
      <c r="F511" s="331">
        <v>154807</v>
      </c>
      <c r="G511" s="122"/>
      <c r="H511" s="122"/>
      <c r="I511" s="123"/>
      <c r="J511" s="122"/>
      <c r="K511" s="122"/>
      <c r="L511" s="123"/>
      <c r="M511" s="123"/>
      <c r="N511" s="123"/>
      <c r="O511" s="122"/>
      <c r="P511" s="122"/>
      <c r="Q511" s="124">
        <f>SUM(I511:P511)</f>
        <v>0</v>
      </c>
      <c r="R511" s="646"/>
    </row>
    <row r="512" spans="1:18" ht="12.75" customHeight="1" hidden="1">
      <c r="A512" s="121"/>
      <c r="B512" s="121"/>
      <c r="C512" s="121" t="s">
        <v>1257</v>
      </c>
      <c r="D512" s="350" t="s">
        <v>1259</v>
      </c>
      <c r="E512" s="114"/>
      <c r="F512" s="331"/>
      <c r="G512" s="122"/>
      <c r="H512" s="122"/>
      <c r="I512" s="122"/>
      <c r="J512" s="122"/>
      <c r="K512" s="122"/>
      <c r="L512" s="123"/>
      <c r="M512" s="123"/>
      <c r="N512" s="123"/>
      <c r="O512" s="122"/>
      <c r="P512" s="122"/>
      <c r="Q512" s="124"/>
      <c r="R512" s="646"/>
    </row>
    <row r="513" spans="1:18" ht="19.5" customHeight="1" hidden="1">
      <c r="A513" s="121"/>
      <c r="B513" s="121"/>
      <c r="C513" s="126" t="s">
        <v>1258</v>
      </c>
      <c r="D513" s="463" t="s">
        <v>643</v>
      </c>
      <c r="E513" s="114"/>
      <c r="F513" s="331">
        <v>154913</v>
      </c>
      <c r="G513" s="122"/>
      <c r="H513" s="122"/>
      <c r="I513" s="122"/>
      <c r="J513" s="122"/>
      <c r="K513" s="122"/>
      <c r="L513" s="123"/>
      <c r="M513" s="123"/>
      <c r="N513" s="123"/>
      <c r="O513" s="122"/>
      <c r="P513" s="122"/>
      <c r="Q513" s="124">
        <f>SUM(G513:P513)</f>
        <v>0</v>
      </c>
      <c r="R513" s="646"/>
    </row>
    <row r="514" spans="1:18" ht="26.25" customHeight="1" hidden="1">
      <c r="A514" s="121"/>
      <c r="B514" s="121"/>
      <c r="C514" s="126" t="s">
        <v>1319</v>
      </c>
      <c r="D514" s="455" t="s">
        <v>1200</v>
      </c>
      <c r="E514" s="114"/>
      <c r="F514" s="331">
        <v>152932</v>
      </c>
      <c r="G514" s="122"/>
      <c r="H514" s="122"/>
      <c r="I514" s="122"/>
      <c r="J514" s="122"/>
      <c r="K514" s="122"/>
      <c r="L514" s="123"/>
      <c r="M514" s="123"/>
      <c r="N514" s="123"/>
      <c r="O514" s="122"/>
      <c r="P514" s="122"/>
      <c r="Q514" s="124">
        <f>SUM(G514:P514)</f>
        <v>0</v>
      </c>
      <c r="R514" s="646"/>
    </row>
    <row r="515" spans="1:18" ht="15" customHeight="1" hidden="1">
      <c r="A515" s="121"/>
      <c r="B515" s="121"/>
      <c r="C515" s="126" t="s">
        <v>787</v>
      </c>
      <c r="D515" s="457" t="s">
        <v>750</v>
      </c>
      <c r="E515" s="114"/>
      <c r="F515" s="331">
        <v>154914</v>
      </c>
      <c r="G515" s="122"/>
      <c r="H515" s="122"/>
      <c r="I515" s="122"/>
      <c r="J515" s="122"/>
      <c r="K515" s="122"/>
      <c r="L515" s="123"/>
      <c r="M515" s="123"/>
      <c r="N515" s="123"/>
      <c r="O515" s="122"/>
      <c r="P515" s="122"/>
      <c r="Q515" s="124">
        <f>SUM(G515:P515)</f>
        <v>0</v>
      </c>
      <c r="R515" s="646"/>
    </row>
    <row r="516" spans="1:18" ht="15" customHeight="1" hidden="1">
      <c r="A516" s="121"/>
      <c r="B516" s="121"/>
      <c r="C516" s="100" t="s">
        <v>842</v>
      </c>
      <c r="D516" s="680" t="s">
        <v>843</v>
      </c>
      <c r="E516" s="15"/>
      <c r="F516" s="100">
        <v>152933</v>
      </c>
      <c r="G516" s="105"/>
      <c r="H516" s="122"/>
      <c r="I516" s="122"/>
      <c r="J516" s="122"/>
      <c r="K516" s="122"/>
      <c r="L516" s="123"/>
      <c r="M516" s="123"/>
      <c r="N516" s="123"/>
      <c r="O516" s="122"/>
      <c r="P516" s="122"/>
      <c r="Q516" s="124">
        <f>SUM(G516:P516)</f>
        <v>0</v>
      </c>
      <c r="R516" s="646" t="s">
        <v>1180</v>
      </c>
    </row>
    <row r="517" spans="1:18" ht="13.5" customHeight="1">
      <c r="A517" s="104"/>
      <c r="B517" s="104"/>
      <c r="C517" s="245"/>
      <c r="D517" s="106" t="s">
        <v>288</v>
      </c>
      <c r="E517" s="107"/>
      <c r="F517" s="532"/>
      <c r="G517" s="111">
        <f>SUM(G336:G516)</f>
        <v>782</v>
      </c>
      <c r="H517" s="111">
        <f aca="true" t="shared" si="30" ref="H517:Q517">SUM(H336:H516)</f>
        <v>843</v>
      </c>
      <c r="I517" s="111">
        <f t="shared" si="30"/>
        <v>29276</v>
      </c>
      <c r="J517" s="111">
        <f t="shared" si="30"/>
        <v>0</v>
      </c>
      <c r="K517" s="111">
        <f t="shared" si="30"/>
        <v>0</v>
      </c>
      <c r="L517" s="111">
        <f t="shared" si="30"/>
        <v>1887</v>
      </c>
      <c r="M517" s="111">
        <f t="shared" si="30"/>
        <v>-12363</v>
      </c>
      <c r="N517" s="111">
        <f t="shared" si="30"/>
        <v>0</v>
      </c>
      <c r="O517" s="111">
        <f t="shared" si="30"/>
        <v>0</v>
      </c>
      <c r="P517" s="111">
        <f t="shared" si="30"/>
        <v>0</v>
      </c>
      <c r="Q517" s="111">
        <f t="shared" si="30"/>
        <v>20425</v>
      </c>
      <c r="R517" s="646"/>
    </row>
    <row r="518" spans="1:18" ht="13.5" customHeight="1">
      <c r="A518" s="113">
        <v>1</v>
      </c>
      <c r="B518" s="113">
        <v>16</v>
      </c>
      <c r="C518" s="248"/>
      <c r="D518" s="273" t="s">
        <v>289</v>
      </c>
      <c r="E518" s="114"/>
      <c r="F518" s="331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7"/>
      <c r="R518" s="646"/>
    </row>
    <row r="519" spans="1:18" ht="13.5" customHeight="1" hidden="1">
      <c r="A519" s="113"/>
      <c r="B519" s="113"/>
      <c r="C519" s="248"/>
      <c r="D519" s="274" t="s">
        <v>117</v>
      </c>
      <c r="E519" s="114"/>
      <c r="F519" s="331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7"/>
      <c r="R519" s="646"/>
    </row>
    <row r="520" spans="1:18" ht="13.5" customHeight="1" hidden="1">
      <c r="A520" s="113"/>
      <c r="B520" s="113"/>
      <c r="C520" s="248"/>
      <c r="D520" s="258" t="s">
        <v>479</v>
      </c>
      <c r="E520" s="18">
        <v>2</v>
      </c>
      <c r="F520" s="113">
        <v>161903</v>
      </c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7">
        <f>SUM(I520:P520)</f>
        <v>0</v>
      </c>
      <c r="R520" s="646"/>
    </row>
    <row r="521" spans="1:18" ht="24" customHeight="1" hidden="1">
      <c r="A521" s="113"/>
      <c r="B521" s="113"/>
      <c r="C521" s="248"/>
      <c r="D521" s="214" t="s">
        <v>480</v>
      </c>
      <c r="E521" s="18">
        <v>2</v>
      </c>
      <c r="F521" s="113">
        <v>161904</v>
      </c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7">
        <f>SUM(I521:P521)</f>
        <v>0</v>
      </c>
      <c r="R521" s="646"/>
    </row>
    <row r="522" spans="1:18" ht="35.25" customHeight="1" hidden="1">
      <c r="A522" s="113"/>
      <c r="B522" s="113"/>
      <c r="C522" s="248"/>
      <c r="D522" s="206" t="s">
        <v>1201</v>
      </c>
      <c r="E522" s="18">
        <v>2</v>
      </c>
      <c r="F522" s="113">
        <v>171911</v>
      </c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7">
        <f>SUM(I522:P522)</f>
        <v>0</v>
      </c>
      <c r="R522" s="646"/>
    </row>
    <row r="523" spans="1:18" ht="28.5" customHeight="1" hidden="1">
      <c r="A523" s="113"/>
      <c r="B523" s="113"/>
      <c r="C523" s="248"/>
      <c r="D523" s="49" t="s">
        <v>333</v>
      </c>
      <c r="E523" s="15">
        <v>2</v>
      </c>
      <c r="F523" s="100">
        <v>171971</v>
      </c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7">
        <f>SUM(I523:P523)</f>
        <v>0</v>
      </c>
      <c r="R523" s="646"/>
    </row>
    <row r="524" spans="1:18" ht="13.5" customHeight="1">
      <c r="A524" s="267"/>
      <c r="B524" s="267"/>
      <c r="C524" s="268"/>
      <c r="D524" s="120" t="s">
        <v>985</v>
      </c>
      <c r="E524" s="229"/>
      <c r="F524" s="520"/>
      <c r="G524" s="230"/>
      <c r="H524" s="230"/>
      <c r="I524" s="230">
        <f aca="true" t="shared" si="31" ref="I524:Q524">SUM(I520:I523)</f>
        <v>0</v>
      </c>
      <c r="J524" s="230">
        <f t="shared" si="31"/>
        <v>0</v>
      </c>
      <c r="K524" s="230">
        <f t="shared" si="31"/>
        <v>0</v>
      </c>
      <c r="L524" s="230">
        <f t="shared" si="31"/>
        <v>0</v>
      </c>
      <c r="M524" s="230">
        <f t="shared" si="31"/>
        <v>0</v>
      </c>
      <c r="N524" s="230">
        <f t="shared" si="31"/>
        <v>0</v>
      </c>
      <c r="O524" s="230">
        <f t="shared" si="31"/>
        <v>0</v>
      </c>
      <c r="P524" s="230">
        <f t="shared" si="31"/>
        <v>0</v>
      </c>
      <c r="Q524" s="230">
        <f t="shared" si="31"/>
        <v>0</v>
      </c>
      <c r="R524" s="646"/>
    </row>
    <row r="525" spans="1:18" ht="12.75" customHeight="1">
      <c r="A525" s="113"/>
      <c r="B525" s="113"/>
      <c r="C525" s="248"/>
      <c r="D525" s="157" t="s">
        <v>986</v>
      </c>
      <c r="E525" s="114"/>
      <c r="F525" s="331"/>
      <c r="G525" s="18"/>
      <c r="H525" s="231"/>
      <c r="I525" s="18"/>
      <c r="J525" s="18"/>
      <c r="K525" s="18"/>
      <c r="L525" s="18"/>
      <c r="M525" s="18"/>
      <c r="N525" s="18"/>
      <c r="O525" s="18"/>
      <c r="P525" s="18"/>
      <c r="Q525" s="17"/>
      <c r="R525" s="646"/>
    </row>
    <row r="526" spans="1:18" ht="12.75" customHeight="1">
      <c r="A526" s="113"/>
      <c r="B526" s="113"/>
      <c r="C526" s="282" t="s">
        <v>1288</v>
      </c>
      <c r="D526" s="592" t="s">
        <v>152</v>
      </c>
      <c r="E526" s="283"/>
      <c r="F526" s="542"/>
      <c r="G526" s="284"/>
      <c r="H526" s="285"/>
      <c r="I526" s="284"/>
      <c r="J526" s="284"/>
      <c r="K526" s="284"/>
      <c r="L526" s="310"/>
      <c r="M526" s="284"/>
      <c r="N526" s="284"/>
      <c r="O526" s="284"/>
      <c r="P526" s="284"/>
      <c r="Q526" s="642"/>
      <c r="R526" s="646"/>
    </row>
    <row r="527" spans="1:18" ht="12.75" customHeight="1" hidden="1">
      <c r="A527" s="113"/>
      <c r="B527" s="113"/>
      <c r="C527" s="659" t="s">
        <v>1338</v>
      </c>
      <c r="D527" s="709" t="s">
        <v>210</v>
      </c>
      <c r="E527" s="18"/>
      <c r="F527" s="100">
        <v>162126</v>
      </c>
      <c r="G527" s="284"/>
      <c r="H527" s="285"/>
      <c r="I527" s="284"/>
      <c r="J527" s="284"/>
      <c r="K527" s="284"/>
      <c r="L527" s="310"/>
      <c r="M527" s="284"/>
      <c r="N527" s="284"/>
      <c r="O527" s="284"/>
      <c r="P527" s="284"/>
      <c r="Q527" s="642">
        <f>SUM(G527:P527)</f>
        <v>0</v>
      </c>
      <c r="R527" s="646"/>
    </row>
    <row r="528" spans="1:18" ht="12.75" customHeight="1" hidden="1">
      <c r="A528" s="113"/>
      <c r="B528" s="113"/>
      <c r="C528" s="289"/>
      <c r="D528" s="354" t="s">
        <v>421</v>
      </c>
      <c r="E528" s="114"/>
      <c r="F528" s="328"/>
      <c r="G528" s="18"/>
      <c r="H528" s="231"/>
      <c r="I528" s="18"/>
      <c r="J528" s="18"/>
      <c r="K528" s="18"/>
      <c r="L528" s="15"/>
      <c r="M528" s="18"/>
      <c r="N528" s="18"/>
      <c r="O528" s="18"/>
      <c r="P528" s="18"/>
      <c r="Q528" s="17"/>
      <c r="R528" s="646"/>
    </row>
    <row r="529" spans="1:18" ht="23.25" customHeight="1" hidden="1">
      <c r="A529" s="113"/>
      <c r="B529" s="113"/>
      <c r="C529" s="286" t="s">
        <v>1060</v>
      </c>
      <c r="D529" s="594" t="s">
        <v>1366</v>
      </c>
      <c r="E529" s="287"/>
      <c r="F529" s="713">
        <v>162112</v>
      </c>
      <c r="G529" s="202"/>
      <c r="H529" s="288"/>
      <c r="I529" s="202"/>
      <c r="J529" s="202"/>
      <c r="K529" s="202"/>
      <c r="L529" s="355"/>
      <c r="M529" s="202"/>
      <c r="N529" s="202"/>
      <c r="O529" s="202"/>
      <c r="P529" s="202"/>
      <c r="Q529" s="17">
        <f aca="true" t="shared" si="32" ref="Q529:Q540">SUM(G529:P529)</f>
        <v>0</v>
      </c>
      <c r="R529" s="646"/>
    </row>
    <row r="530" spans="1:18" ht="12.75" customHeight="1" hidden="1">
      <c r="A530" s="113"/>
      <c r="B530" s="113"/>
      <c r="C530" s="286" t="s">
        <v>1061</v>
      </c>
      <c r="D530" s="594" t="s">
        <v>1367</v>
      </c>
      <c r="E530" s="287"/>
      <c r="F530" s="713">
        <v>162107</v>
      </c>
      <c r="G530" s="202"/>
      <c r="H530" s="288"/>
      <c r="I530" s="202"/>
      <c r="J530" s="202"/>
      <c r="K530" s="202"/>
      <c r="L530" s="355"/>
      <c r="M530" s="202"/>
      <c r="N530" s="202"/>
      <c r="O530" s="202"/>
      <c r="P530" s="202"/>
      <c r="Q530" s="17">
        <f t="shared" si="32"/>
        <v>0</v>
      </c>
      <c r="R530" s="646"/>
    </row>
    <row r="531" spans="1:18" ht="12.75" customHeight="1" hidden="1">
      <c r="A531" s="113"/>
      <c r="B531" s="113"/>
      <c r="C531" s="286" t="s">
        <v>1062</v>
      </c>
      <c r="D531" s="594" t="s">
        <v>908</v>
      </c>
      <c r="E531" s="287"/>
      <c r="F531" s="713">
        <v>162108</v>
      </c>
      <c r="G531" s="202"/>
      <c r="H531" s="288"/>
      <c r="I531" s="202"/>
      <c r="J531" s="202"/>
      <c r="K531" s="202"/>
      <c r="L531" s="355"/>
      <c r="M531" s="202"/>
      <c r="N531" s="202"/>
      <c r="O531" s="202"/>
      <c r="P531" s="202"/>
      <c r="Q531" s="17">
        <f t="shared" si="32"/>
        <v>0</v>
      </c>
      <c r="R531" s="646"/>
    </row>
    <row r="532" spans="1:18" ht="24" customHeight="1">
      <c r="A532" s="113"/>
      <c r="B532" s="113"/>
      <c r="C532" s="286" t="s">
        <v>1063</v>
      </c>
      <c r="D532" s="589" t="s">
        <v>362</v>
      </c>
      <c r="E532" s="114"/>
      <c r="F532" s="328">
        <v>162111</v>
      </c>
      <c r="G532" s="18"/>
      <c r="H532" s="231"/>
      <c r="I532" s="18">
        <v>-5</v>
      </c>
      <c r="J532" s="18"/>
      <c r="K532" s="18"/>
      <c r="L532" s="15">
        <v>5</v>
      </c>
      <c r="M532" s="15"/>
      <c r="N532" s="18"/>
      <c r="O532" s="18"/>
      <c r="P532" s="18"/>
      <c r="Q532" s="17">
        <f t="shared" si="32"/>
        <v>0</v>
      </c>
      <c r="R532" s="646" t="s">
        <v>1178</v>
      </c>
    </row>
    <row r="533" spans="1:18" ht="36" customHeight="1" hidden="1">
      <c r="A533" s="113"/>
      <c r="B533" s="113"/>
      <c r="C533" s="286" t="s">
        <v>42</v>
      </c>
      <c r="D533" s="329" t="s">
        <v>1202</v>
      </c>
      <c r="E533" s="287"/>
      <c r="F533" s="713">
        <v>162113</v>
      </c>
      <c r="G533" s="202"/>
      <c r="H533" s="288"/>
      <c r="I533" s="202"/>
      <c r="J533" s="202"/>
      <c r="K533" s="202"/>
      <c r="L533" s="355"/>
      <c r="M533" s="202"/>
      <c r="N533" s="202"/>
      <c r="O533" s="202"/>
      <c r="P533" s="202"/>
      <c r="Q533" s="17">
        <f t="shared" si="32"/>
        <v>0</v>
      </c>
      <c r="R533" s="646" t="s">
        <v>1180</v>
      </c>
    </row>
    <row r="534" spans="1:18" ht="24.75" customHeight="1" hidden="1">
      <c r="A534" s="113"/>
      <c r="B534" s="113"/>
      <c r="C534" s="286" t="s">
        <v>1312</v>
      </c>
      <c r="D534" s="212" t="s">
        <v>1128</v>
      </c>
      <c r="E534" s="287"/>
      <c r="F534" s="713">
        <v>152113</v>
      </c>
      <c r="G534" s="202"/>
      <c r="H534" s="288"/>
      <c r="I534" s="202"/>
      <c r="J534" s="202"/>
      <c r="K534" s="202"/>
      <c r="L534" s="355"/>
      <c r="M534" s="202"/>
      <c r="N534" s="202"/>
      <c r="O534" s="202"/>
      <c r="P534" s="202"/>
      <c r="Q534" s="17">
        <f t="shared" si="32"/>
        <v>0</v>
      </c>
      <c r="R534" s="646"/>
    </row>
    <row r="535" spans="1:18" ht="17.25" customHeight="1" hidden="1">
      <c r="A535" s="113"/>
      <c r="B535" s="113"/>
      <c r="C535" s="286" t="s">
        <v>499</v>
      </c>
      <c r="D535" s="281" t="s">
        <v>82</v>
      </c>
      <c r="E535" s="114"/>
      <c r="F535" s="328">
        <v>152123</v>
      </c>
      <c r="G535" s="122"/>
      <c r="H535" s="122"/>
      <c r="I535" s="123"/>
      <c r="J535" s="122"/>
      <c r="K535" s="122"/>
      <c r="L535" s="123"/>
      <c r="M535" s="123"/>
      <c r="N535" s="123"/>
      <c r="O535" s="122"/>
      <c r="P535" s="122"/>
      <c r="Q535" s="124">
        <f t="shared" si="32"/>
        <v>0</v>
      </c>
      <c r="R535" s="646" t="s">
        <v>1178</v>
      </c>
    </row>
    <row r="536" spans="1:18" ht="12.75" customHeight="1" hidden="1">
      <c r="A536" s="113"/>
      <c r="B536" s="113"/>
      <c r="C536" s="261" t="s">
        <v>1287</v>
      </c>
      <c r="D536" s="357" t="s">
        <v>433</v>
      </c>
      <c r="E536" s="114"/>
      <c r="F536" s="328"/>
      <c r="G536" s="18"/>
      <c r="H536" s="231"/>
      <c r="I536" s="18"/>
      <c r="J536" s="18"/>
      <c r="K536" s="18"/>
      <c r="L536" s="15"/>
      <c r="M536" s="18"/>
      <c r="N536" s="18"/>
      <c r="O536" s="18"/>
      <c r="P536" s="18"/>
      <c r="Q536" s="17"/>
      <c r="R536" s="646"/>
    </row>
    <row r="537" spans="1:18" ht="12.75" customHeight="1" hidden="1">
      <c r="A537" s="113"/>
      <c r="B537" s="113"/>
      <c r="C537" s="262" t="s">
        <v>1053</v>
      </c>
      <c r="D537" s="364" t="s">
        <v>886</v>
      </c>
      <c r="E537" s="114"/>
      <c r="F537" s="328">
        <v>162214</v>
      </c>
      <c r="G537" s="18"/>
      <c r="H537" s="231"/>
      <c r="I537" s="18"/>
      <c r="J537" s="18"/>
      <c r="K537" s="18"/>
      <c r="L537" s="15"/>
      <c r="M537" s="18"/>
      <c r="N537" s="18"/>
      <c r="O537" s="18"/>
      <c r="P537" s="18"/>
      <c r="Q537" s="17">
        <f t="shared" si="32"/>
        <v>0</v>
      </c>
      <c r="R537" s="646"/>
    </row>
    <row r="538" spans="1:18" ht="12.75" customHeight="1" hidden="1">
      <c r="A538" s="113"/>
      <c r="B538" s="113"/>
      <c r="C538" s="262" t="s">
        <v>1315</v>
      </c>
      <c r="D538" s="364" t="s">
        <v>1298</v>
      </c>
      <c r="E538" s="114"/>
      <c r="F538" s="328">
        <v>164201</v>
      </c>
      <c r="G538" s="18"/>
      <c r="H538" s="231"/>
      <c r="I538" s="18"/>
      <c r="J538" s="18"/>
      <c r="K538" s="18"/>
      <c r="L538" s="15"/>
      <c r="M538" s="18"/>
      <c r="N538" s="18"/>
      <c r="O538" s="18"/>
      <c r="P538" s="18"/>
      <c r="Q538" s="17">
        <f t="shared" si="32"/>
        <v>0</v>
      </c>
      <c r="R538" s="646" t="s">
        <v>1178</v>
      </c>
    </row>
    <row r="539" spans="1:18" ht="12.75" customHeight="1" hidden="1">
      <c r="A539" s="113"/>
      <c r="B539" s="113"/>
      <c r="C539" s="659" t="s">
        <v>322</v>
      </c>
      <c r="D539" s="651" t="s">
        <v>323</v>
      </c>
      <c r="E539" s="15"/>
      <c r="F539" s="100">
        <v>162216</v>
      </c>
      <c r="G539" s="18"/>
      <c r="H539" s="231"/>
      <c r="I539" s="18"/>
      <c r="J539" s="18"/>
      <c r="K539" s="18"/>
      <c r="L539" s="15"/>
      <c r="M539" s="18"/>
      <c r="N539" s="18"/>
      <c r="O539" s="18"/>
      <c r="P539" s="18"/>
      <c r="Q539" s="17">
        <f t="shared" si="32"/>
        <v>0</v>
      </c>
      <c r="R539" s="646" t="s">
        <v>1180</v>
      </c>
    </row>
    <row r="540" spans="1:18" ht="12.75" customHeight="1" hidden="1">
      <c r="A540" s="113"/>
      <c r="B540" s="113"/>
      <c r="C540" s="659" t="s">
        <v>211</v>
      </c>
      <c r="D540" s="651" t="s">
        <v>212</v>
      </c>
      <c r="E540" s="15"/>
      <c r="F540" s="100">
        <v>162218</v>
      </c>
      <c r="G540" s="18"/>
      <c r="H540" s="231"/>
      <c r="I540" s="18"/>
      <c r="J540" s="18"/>
      <c r="K540" s="18"/>
      <c r="L540" s="15"/>
      <c r="M540" s="18"/>
      <c r="N540" s="18"/>
      <c r="O540" s="18"/>
      <c r="P540" s="18"/>
      <c r="Q540" s="17">
        <f t="shared" si="32"/>
        <v>0</v>
      </c>
      <c r="R540" s="646" t="s">
        <v>1178</v>
      </c>
    </row>
    <row r="541" spans="1:18" ht="12.75" customHeight="1" hidden="1">
      <c r="A541" s="113"/>
      <c r="B541" s="113"/>
      <c r="C541" s="261"/>
      <c r="D541" s="358" t="s">
        <v>421</v>
      </c>
      <c r="E541" s="114"/>
      <c r="F541" s="328"/>
      <c r="G541" s="18"/>
      <c r="H541" s="231"/>
      <c r="I541" s="18"/>
      <c r="J541" s="18"/>
      <c r="K541" s="18"/>
      <c r="L541" s="15"/>
      <c r="M541" s="18"/>
      <c r="N541" s="18"/>
      <c r="O541" s="18"/>
      <c r="P541" s="18"/>
      <c r="Q541" s="17"/>
      <c r="R541" s="646"/>
    </row>
    <row r="542" spans="1:18" ht="12.75" customHeight="1" hidden="1">
      <c r="A542" s="113"/>
      <c r="B542" s="113"/>
      <c r="C542" s="262" t="s">
        <v>341</v>
      </c>
      <c r="D542" s="589" t="s">
        <v>1368</v>
      </c>
      <c r="E542" s="114"/>
      <c r="F542" s="328">
        <v>162207</v>
      </c>
      <c r="G542" s="18"/>
      <c r="H542" s="231"/>
      <c r="I542" s="18"/>
      <c r="J542" s="18"/>
      <c r="K542" s="18"/>
      <c r="L542" s="15"/>
      <c r="M542" s="18"/>
      <c r="N542" s="18"/>
      <c r="O542" s="18"/>
      <c r="P542" s="18"/>
      <c r="Q542" s="17">
        <f aca="true" t="shared" si="33" ref="Q542:Q547">SUM(G542:P542)</f>
        <v>0</v>
      </c>
      <c r="R542" s="646"/>
    </row>
    <row r="543" spans="1:18" ht="12.75" customHeight="1" hidden="1">
      <c r="A543" s="113"/>
      <c r="B543" s="113"/>
      <c r="C543" s="262" t="s">
        <v>342</v>
      </c>
      <c r="D543" s="334" t="s">
        <v>933</v>
      </c>
      <c r="E543" s="114"/>
      <c r="F543" s="328">
        <v>162208</v>
      </c>
      <c r="G543" s="18"/>
      <c r="H543" s="231"/>
      <c r="I543" s="18"/>
      <c r="J543" s="18"/>
      <c r="K543" s="18"/>
      <c r="L543" s="15"/>
      <c r="M543" s="18"/>
      <c r="N543" s="18"/>
      <c r="O543" s="18"/>
      <c r="P543" s="18"/>
      <c r="Q543" s="17">
        <f t="shared" si="33"/>
        <v>0</v>
      </c>
      <c r="R543" s="646"/>
    </row>
    <row r="544" spans="1:18" ht="12.75" customHeight="1" hidden="1">
      <c r="A544" s="113"/>
      <c r="B544" s="113"/>
      <c r="C544" s="262" t="s">
        <v>343</v>
      </c>
      <c r="D544" s="334" t="s">
        <v>934</v>
      </c>
      <c r="E544" s="114"/>
      <c r="F544" s="328">
        <v>162209</v>
      </c>
      <c r="G544" s="18"/>
      <c r="H544" s="231"/>
      <c r="I544" s="18"/>
      <c r="J544" s="18"/>
      <c r="K544" s="18"/>
      <c r="L544" s="15"/>
      <c r="M544" s="18"/>
      <c r="N544" s="18"/>
      <c r="O544" s="18"/>
      <c r="P544" s="18"/>
      <c r="Q544" s="17">
        <f t="shared" si="33"/>
        <v>0</v>
      </c>
      <c r="R544" s="646" t="s">
        <v>1178</v>
      </c>
    </row>
    <row r="545" spans="1:18" ht="12.75" customHeight="1" hidden="1">
      <c r="A545" s="113"/>
      <c r="B545" s="113"/>
      <c r="C545" s="262" t="s">
        <v>344</v>
      </c>
      <c r="D545" s="335" t="s">
        <v>935</v>
      </c>
      <c r="E545" s="114"/>
      <c r="F545" s="328">
        <v>162210</v>
      </c>
      <c r="G545" s="18"/>
      <c r="H545" s="231"/>
      <c r="I545" s="18"/>
      <c r="J545" s="18"/>
      <c r="K545" s="18"/>
      <c r="L545" s="15"/>
      <c r="M545" s="18"/>
      <c r="N545" s="18"/>
      <c r="O545" s="18"/>
      <c r="P545" s="18"/>
      <c r="Q545" s="17">
        <f t="shared" si="33"/>
        <v>0</v>
      </c>
      <c r="R545" s="646" t="s">
        <v>1178</v>
      </c>
    </row>
    <row r="546" spans="1:18" ht="12.75" customHeight="1" hidden="1">
      <c r="A546" s="113"/>
      <c r="B546" s="113"/>
      <c r="C546" s="262" t="s">
        <v>345</v>
      </c>
      <c r="D546" s="336" t="s">
        <v>936</v>
      </c>
      <c r="E546" s="114"/>
      <c r="F546" s="328">
        <v>162211</v>
      </c>
      <c r="G546" s="18"/>
      <c r="H546" s="231"/>
      <c r="I546" s="18"/>
      <c r="J546" s="18"/>
      <c r="K546" s="18"/>
      <c r="L546" s="15"/>
      <c r="M546" s="18"/>
      <c r="N546" s="18"/>
      <c r="O546" s="18"/>
      <c r="P546" s="18"/>
      <c r="Q546" s="17">
        <f t="shared" si="33"/>
        <v>0</v>
      </c>
      <c r="R546" s="646" t="s">
        <v>1178</v>
      </c>
    </row>
    <row r="547" spans="1:18" ht="12.75" customHeight="1" hidden="1">
      <c r="A547" s="113"/>
      <c r="B547" s="113"/>
      <c r="C547" s="262" t="s">
        <v>346</v>
      </c>
      <c r="D547" s="335" t="s">
        <v>937</v>
      </c>
      <c r="E547" s="114"/>
      <c r="F547" s="328">
        <v>162212</v>
      </c>
      <c r="G547" s="18"/>
      <c r="H547" s="231"/>
      <c r="I547" s="18"/>
      <c r="J547" s="18"/>
      <c r="K547" s="18"/>
      <c r="L547" s="15"/>
      <c r="M547" s="18"/>
      <c r="N547" s="18"/>
      <c r="O547" s="18"/>
      <c r="P547" s="18"/>
      <c r="Q547" s="17">
        <f t="shared" si="33"/>
        <v>0</v>
      </c>
      <c r="R547" s="646" t="s">
        <v>1178</v>
      </c>
    </row>
    <row r="548" spans="1:18" ht="12.75" customHeight="1" hidden="1">
      <c r="A548" s="113"/>
      <c r="B548" s="113"/>
      <c r="C548" s="263" t="s">
        <v>1289</v>
      </c>
      <c r="D548" s="270" t="s">
        <v>444</v>
      </c>
      <c r="E548" s="114"/>
      <c r="F548" s="328"/>
      <c r="G548" s="18"/>
      <c r="H548" s="231"/>
      <c r="I548" s="18"/>
      <c r="J548" s="18"/>
      <c r="K548" s="18"/>
      <c r="L548" s="18"/>
      <c r="M548" s="18"/>
      <c r="N548" s="18"/>
      <c r="O548" s="18"/>
      <c r="P548" s="18"/>
      <c r="Q548" s="17"/>
      <c r="R548" s="646"/>
    </row>
    <row r="549" spans="1:18" ht="12.75" customHeight="1" hidden="1">
      <c r="A549" s="113"/>
      <c r="B549" s="113"/>
      <c r="C549" s="263" t="s">
        <v>1290</v>
      </c>
      <c r="D549" s="270" t="s">
        <v>1291</v>
      </c>
      <c r="E549" s="114"/>
      <c r="F549" s="328"/>
      <c r="G549" s="18"/>
      <c r="H549" s="231"/>
      <c r="I549" s="18"/>
      <c r="J549" s="18"/>
      <c r="K549" s="18"/>
      <c r="L549" s="18"/>
      <c r="M549" s="18"/>
      <c r="N549" s="18"/>
      <c r="O549" s="18"/>
      <c r="P549" s="18"/>
      <c r="Q549" s="17"/>
      <c r="R549" s="646"/>
    </row>
    <row r="550" spans="1:18" ht="13.5" customHeight="1" hidden="1">
      <c r="A550" s="113"/>
      <c r="B550" s="113"/>
      <c r="C550" s="264" t="s">
        <v>1292</v>
      </c>
      <c r="D550" s="589" t="s">
        <v>363</v>
      </c>
      <c r="E550" s="114"/>
      <c r="F550" s="328">
        <v>162495</v>
      </c>
      <c r="G550" s="18"/>
      <c r="H550" s="231"/>
      <c r="I550" s="18"/>
      <c r="J550" s="18"/>
      <c r="K550" s="18"/>
      <c r="L550" s="15"/>
      <c r="M550" s="15"/>
      <c r="N550" s="18"/>
      <c r="O550" s="18"/>
      <c r="P550" s="18"/>
      <c r="Q550" s="17">
        <f aca="true" t="shared" si="34" ref="Q550:Q558">SUM(G550:P550)</f>
        <v>0</v>
      </c>
      <c r="R550" s="646" t="s">
        <v>1180</v>
      </c>
    </row>
    <row r="551" spans="1:18" ht="13.5" customHeight="1" hidden="1">
      <c r="A551" s="113"/>
      <c r="B551" s="113"/>
      <c r="C551" s="264" t="s">
        <v>806</v>
      </c>
      <c r="D551" s="463" t="s">
        <v>647</v>
      </c>
      <c r="E551" s="114"/>
      <c r="F551" s="328">
        <v>152121</v>
      </c>
      <c r="G551" s="18"/>
      <c r="H551" s="231"/>
      <c r="I551" s="18"/>
      <c r="J551" s="18"/>
      <c r="K551" s="18"/>
      <c r="L551" s="15"/>
      <c r="M551" s="15"/>
      <c r="N551" s="18"/>
      <c r="O551" s="18"/>
      <c r="P551" s="18"/>
      <c r="Q551" s="17">
        <f t="shared" si="34"/>
        <v>0</v>
      </c>
      <c r="R551" s="646"/>
    </row>
    <row r="552" spans="1:18" ht="12.75" customHeight="1" hidden="1">
      <c r="A552" s="113"/>
      <c r="B552" s="113"/>
      <c r="C552" s="264" t="s">
        <v>1372</v>
      </c>
      <c r="D552" s="464" t="s">
        <v>1458</v>
      </c>
      <c r="E552" s="114"/>
      <c r="F552" s="328">
        <v>164407</v>
      </c>
      <c r="G552" s="18"/>
      <c r="H552" s="231"/>
      <c r="I552" s="18"/>
      <c r="J552" s="18"/>
      <c r="K552" s="18"/>
      <c r="L552" s="15"/>
      <c r="M552" s="15"/>
      <c r="N552" s="18"/>
      <c r="O552" s="18"/>
      <c r="P552" s="18"/>
      <c r="Q552" s="17">
        <f t="shared" si="34"/>
        <v>0</v>
      </c>
      <c r="R552" s="646"/>
    </row>
    <row r="553" spans="1:18" ht="11.25" customHeight="1" hidden="1">
      <c r="A553" s="113"/>
      <c r="B553" s="113"/>
      <c r="C553" s="263"/>
      <c r="D553" s="595" t="s">
        <v>421</v>
      </c>
      <c r="E553" s="114"/>
      <c r="F553" s="328"/>
      <c r="G553" s="18"/>
      <c r="H553" s="231"/>
      <c r="I553" s="18"/>
      <c r="J553" s="18"/>
      <c r="K553" s="18"/>
      <c r="L553" s="15"/>
      <c r="M553" s="15"/>
      <c r="N553" s="18"/>
      <c r="O553" s="18"/>
      <c r="P553" s="18"/>
      <c r="Q553" s="17"/>
      <c r="R553" s="646"/>
    </row>
    <row r="554" spans="1:18" ht="24" customHeight="1" hidden="1">
      <c r="A554" s="113"/>
      <c r="B554" s="113"/>
      <c r="C554" s="264" t="s">
        <v>1056</v>
      </c>
      <c r="D554" s="589" t="s">
        <v>1369</v>
      </c>
      <c r="E554" s="114"/>
      <c r="F554" s="328">
        <v>162413</v>
      </c>
      <c r="G554" s="18"/>
      <c r="H554" s="231"/>
      <c r="I554" s="18"/>
      <c r="J554" s="18"/>
      <c r="K554" s="18"/>
      <c r="L554" s="15"/>
      <c r="M554" s="15"/>
      <c r="N554" s="18"/>
      <c r="O554" s="18"/>
      <c r="P554" s="18"/>
      <c r="Q554" s="17">
        <f t="shared" si="34"/>
        <v>0</v>
      </c>
      <c r="R554" s="646"/>
    </row>
    <row r="555" spans="1:18" ht="24.75" customHeight="1" hidden="1">
      <c r="A555" s="113"/>
      <c r="B555" s="113"/>
      <c r="C555" s="264" t="s">
        <v>1057</v>
      </c>
      <c r="D555" s="589" t="s">
        <v>1371</v>
      </c>
      <c r="E555" s="114"/>
      <c r="F555" s="328">
        <v>162458</v>
      </c>
      <c r="G555" s="18"/>
      <c r="H555" s="231"/>
      <c r="I555" s="18"/>
      <c r="J555" s="18"/>
      <c r="K555" s="18"/>
      <c r="L555" s="15"/>
      <c r="M555" s="15"/>
      <c r="N555" s="18"/>
      <c r="O555" s="18"/>
      <c r="P555" s="18"/>
      <c r="Q555" s="17">
        <f t="shared" si="34"/>
        <v>0</v>
      </c>
      <c r="R555" s="646"/>
    </row>
    <row r="556" spans="1:18" ht="12.75" customHeight="1" hidden="1">
      <c r="A556" s="113"/>
      <c r="B556" s="113"/>
      <c r="C556" s="264" t="s">
        <v>1058</v>
      </c>
      <c r="D556" s="589" t="s">
        <v>1370</v>
      </c>
      <c r="E556" s="114"/>
      <c r="F556" s="328">
        <v>162486</v>
      </c>
      <c r="G556" s="18"/>
      <c r="H556" s="231"/>
      <c r="I556" s="18"/>
      <c r="J556" s="18"/>
      <c r="K556" s="18"/>
      <c r="L556" s="15"/>
      <c r="M556" s="15"/>
      <c r="N556" s="18"/>
      <c r="O556" s="18"/>
      <c r="P556" s="18"/>
      <c r="Q556" s="17">
        <f t="shared" si="34"/>
        <v>0</v>
      </c>
      <c r="R556" s="646" t="s">
        <v>1179</v>
      </c>
    </row>
    <row r="557" spans="1:18" ht="12.75" customHeight="1" hidden="1">
      <c r="A557" s="113"/>
      <c r="B557" s="113"/>
      <c r="C557" s="263" t="s">
        <v>1252</v>
      </c>
      <c r="D557" s="369" t="s">
        <v>150</v>
      </c>
      <c r="E557" s="114"/>
      <c r="F557" s="328"/>
      <c r="G557" s="18"/>
      <c r="H557" s="231"/>
      <c r="I557" s="18"/>
      <c r="J557" s="18"/>
      <c r="K557" s="18"/>
      <c r="L557" s="15"/>
      <c r="M557" s="15"/>
      <c r="N557" s="18"/>
      <c r="O557" s="18"/>
      <c r="P557" s="18"/>
      <c r="Q557" s="17"/>
      <c r="R557" s="646"/>
    </row>
    <row r="558" spans="1:18" ht="12.75" customHeight="1" hidden="1">
      <c r="A558" s="113"/>
      <c r="B558" s="113"/>
      <c r="C558" s="660" t="s">
        <v>324</v>
      </c>
      <c r="D558" s="15" t="s">
        <v>325</v>
      </c>
      <c r="E558" s="18"/>
      <c r="F558" s="100">
        <v>162215</v>
      </c>
      <c r="G558" s="18"/>
      <c r="H558" s="231"/>
      <c r="I558" s="18"/>
      <c r="J558" s="18"/>
      <c r="K558" s="18"/>
      <c r="L558" s="15"/>
      <c r="M558" s="15"/>
      <c r="N558" s="18"/>
      <c r="O558" s="18"/>
      <c r="P558" s="18"/>
      <c r="Q558" s="17">
        <f t="shared" si="34"/>
        <v>0</v>
      </c>
      <c r="R558" s="646" t="s">
        <v>1180</v>
      </c>
    </row>
    <row r="559" spans="1:18" ht="12.75" customHeight="1" hidden="1">
      <c r="A559" s="113"/>
      <c r="B559" s="113"/>
      <c r="C559" s="263"/>
      <c r="D559" s="358" t="s">
        <v>421</v>
      </c>
      <c r="E559" s="114"/>
      <c r="F559" s="331"/>
      <c r="G559" s="18"/>
      <c r="H559" s="231"/>
      <c r="I559" s="18"/>
      <c r="J559" s="18"/>
      <c r="K559" s="18"/>
      <c r="L559" s="15"/>
      <c r="M559" s="15"/>
      <c r="N559" s="18"/>
      <c r="O559" s="18"/>
      <c r="P559" s="18"/>
      <c r="Q559" s="17"/>
      <c r="R559" s="646"/>
    </row>
    <row r="560" spans="1:18" ht="12.75" customHeight="1" hidden="1">
      <c r="A560" s="113"/>
      <c r="B560" s="113"/>
      <c r="C560" s="264" t="s">
        <v>205</v>
      </c>
      <c r="D560" s="581" t="s">
        <v>1361</v>
      </c>
      <c r="E560" s="114"/>
      <c r="F560" s="331">
        <v>162501</v>
      </c>
      <c r="G560" s="18"/>
      <c r="H560" s="231"/>
      <c r="I560" s="18"/>
      <c r="J560" s="18"/>
      <c r="K560" s="18"/>
      <c r="L560" s="15"/>
      <c r="M560" s="15"/>
      <c r="N560" s="18"/>
      <c r="O560" s="18"/>
      <c r="P560" s="18"/>
      <c r="Q560" s="17">
        <f>SUM(G560:P560)</f>
        <v>0</v>
      </c>
      <c r="R560" s="646"/>
    </row>
    <row r="561" spans="1:18" ht="12.75" customHeight="1">
      <c r="A561" s="113"/>
      <c r="B561" s="113"/>
      <c r="C561" s="263" t="s">
        <v>1250</v>
      </c>
      <c r="D561" s="270" t="s">
        <v>492</v>
      </c>
      <c r="E561" s="114"/>
      <c r="F561" s="331"/>
      <c r="G561" s="18"/>
      <c r="H561" s="231"/>
      <c r="I561" s="18"/>
      <c r="J561" s="18"/>
      <c r="K561" s="18"/>
      <c r="L561" s="15"/>
      <c r="M561" s="15"/>
      <c r="N561" s="18"/>
      <c r="O561" s="18"/>
      <c r="P561" s="18"/>
      <c r="Q561" s="17"/>
      <c r="R561" s="646"/>
    </row>
    <row r="562" spans="1:18" ht="12.75" customHeight="1">
      <c r="A562" s="113"/>
      <c r="B562" s="113"/>
      <c r="C562" s="264" t="s">
        <v>1251</v>
      </c>
      <c r="D562" s="265" t="s">
        <v>1055</v>
      </c>
      <c r="E562" s="114"/>
      <c r="F562" s="331">
        <v>162601</v>
      </c>
      <c r="G562" s="18"/>
      <c r="H562" s="231"/>
      <c r="I562" s="18">
        <v>2388</v>
      </c>
      <c r="J562" s="18"/>
      <c r="K562" s="18"/>
      <c r="L562" s="15">
        <v>-963</v>
      </c>
      <c r="M562" s="15">
        <v>-1531</v>
      </c>
      <c r="N562" s="18"/>
      <c r="O562" s="18"/>
      <c r="P562" s="18"/>
      <c r="Q562" s="17">
        <f>SUM(G562:P562)</f>
        <v>-106</v>
      </c>
      <c r="R562" s="646" t="s">
        <v>1180</v>
      </c>
    </row>
    <row r="563" spans="1:18" ht="27.75" customHeight="1" hidden="1">
      <c r="A563" s="113"/>
      <c r="B563" s="113"/>
      <c r="C563" s="264" t="s">
        <v>1040</v>
      </c>
      <c r="D563" s="361" t="s">
        <v>1005</v>
      </c>
      <c r="E563" s="114" t="s">
        <v>773</v>
      </c>
      <c r="F563" s="331">
        <v>162683</v>
      </c>
      <c r="G563" s="18"/>
      <c r="H563" s="231"/>
      <c r="I563" s="18"/>
      <c r="J563" s="18"/>
      <c r="K563" s="18"/>
      <c r="L563" s="18"/>
      <c r="M563" s="18"/>
      <c r="N563" s="18"/>
      <c r="O563" s="18"/>
      <c r="P563" s="18"/>
      <c r="Q563" s="17">
        <f>SUM(G563:P563)</f>
        <v>0</v>
      </c>
      <c r="R563" s="646"/>
    </row>
    <row r="564" spans="1:18" ht="25.5" customHeight="1" hidden="1">
      <c r="A564" s="113"/>
      <c r="B564" s="113"/>
      <c r="C564" s="264" t="s">
        <v>1041</v>
      </c>
      <c r="D564" s="226" t="s">
        <v>347</v>
      </c>
      <c r="E564" s="114" t="s">
        <v>773</v>
      </c>
      <c r="F564" s="331">
        <v>162403</v>
      </c>
      <c r="G564" s="18"/>
      <c r="H564" s="231"/>
      <c r="I564" s="18"/>
      <c r="J564" s="18"/>
      <c r="K564" s="18"/>
      <c r="L564" s="18"/>
      <c r="M564" s="18"/>
      <c r="N564" s="18"/>
      <c r="O564" s="18"/>
      <c r="P564" s="18"/>
      <c r="Q564" s="17">
        <f>SUM(G564:P564)</f>
        <v>0</v>
      </c>
      <c r="R564" s="646"/>
    </row>
    <row r="565" spans="1:18" ht="12.75" customHeight="1" hidden="1">
      <c r="A565" s="113"/>
      <c r="B565" s="113"/>
      <c r="C565" s="264"/>
      <c r="D565" s="358" t="s">
        <v>421</v>
      </c>
      <c r="E565" s="114"/>
      <c r="F565" s="331"/>
      <c r="G565" s="18"/>
      <c r="H565" s="231"/>
      <c r="I565" s="18"/>
      <c r="J565" s="18"/>
      <c r="K565" s="18"/>
      <c r="L565" s="18"/>
      <c r="M565" s="18"/>
      <c r="N565" s="18"/>
      <c r="O565" s="18"/>
      <c r="P565" s="18"/>
      <c r="Q565" s="17"/>
      <c r="R565" s="646"/>
    </row>
    <row r="566" spans="1:18" ht="12.75" customHeight="1">
      <c r="A566" s="113"/>
      <c r="B566" s="113"/>
      <c r="C566" s="264" t="s">
        <v>1499</v>
      </c>
      <c r="D566" s="362" t="s">
        <v>887</v>
      </c>
      <c r="E566" s="114"/>
      <c r="F566" s="331">
        <v>162602</v>
      </c>
      <c r="G566" s="18"/>
      <c r="H566" s="231"/>
      <c r="I566" s="18"/>
      <c r="J566" s="18"/>
      <c r="K566" s="18"/>
      <c r="L566" s="18">
        <v>225</v>
      </c>
      <c r="M566" s="18"/>
      <c r="N566" s="18"/>
      <c r="O566" s="18"/>
      <c r="P566" s="18"/>
      <c r="Q566" s="17">
        <f aca="true" t="shared" si="35" ref="Q566:Q571">SUM(G566:P566)</f>
        <v>225</v>
      </c>
      <c r="R566" s="646" t="s">
        <v>1179</v>
      </c>
    </row>
    <row r="567" spans="1:18" ht="24" customHeight="1" hidden="1">
      <c r="A567" s="113"/>
      <c r="B567" s="113"/>
      <c r="C567" s="264" t="s">
        <v>101</v>
      </c>
      <c r="D567" s="596" t="s">
        <v>861</v>
      </c>
      <c r="E567" s="114"/>
      <c r="F567" s="331">
        <v>162614</v>
      </c>
      <c r="G567" s="18"/>
      <c r="H567" s="231"/>
      <c r="I567" s="18"/>
      <c r="J567" s="18"/>
      <c r="K567" s="18"/>
      <c r="L567" s="18"/>
      <c r="M567" s="18"/>
      <c r="N567" s="18"/>
      <c r="O567" s="18"/>
      <c r="P567" s="18"/>
      <c r="Q567" s="17">
        <f t="shared" si="35"/>
        <v>0</v>
      </c>
      <c r="R567" s="646" t="s">
        <v>1179</v>
      </c>
    </row>
    <row r="568" spans="1:18" ht="12.75" customHeight="1" hidden="1">
      <c r="A568" s="113"/>
      <c r="B568" s="113"/>
      <c r="C568" s="264" t="s">
        <v>103</v>
      </c>
      <c r="D568" s="363" t="s">
        <v>918</v>
      </c>
      <c r="E568" s="114"/>
      <c r="F568" s="331">
        <v>162451</v>
      </c>
      <c r="G568" s="18"/>
      <c r="H568" s="231"/>
      <c r="I568" s="18"/>
      <c r="J568" s="18"/>
      <c r="K568" s="18"/>
      <c r="L568" s="18"/>
      <c r="M568" s="18"/>
      <c r="N568" s="18"/>
      <c r="O568" s="18"/>
      <c r="P568" s="18"/>
      <c r="Q568" s="17">
        <f t="shared" si="35"/>
        <v>0</v>
      </c>
      <c r="R568" s="646"/>
    </row>
    <row r="569" spans="1:18" ht="12.75" customHeight="1" hidden="1">
      <c r="A569" s="113"/>
      <c r="B569" s="113"/>
      <c r="C569" s="264" t="s">
        <v>104</v>
      </c>
      <c r="D569" s="332" t="s">
        <v>938</v>
      </c>
      <c r="E569" s="114"/>
      <c r="F569" s="331">
        <v>162686</v>
      </c>
      <c r="G569" s="18"/>
      <c r="H569" s="231"/>
      <c r="I569" s="18"/>
      <c r="J569" s="18"/>
      <c r="K569" s="18"/>
      <c r="L569" s="18"/>
      <c r="M569" s="18"/>
      <c r="N569" s="18"/>
      <c r="O569" s="18"/>
      <c r="P569" s="18"/>
      <c r="Q569" s="17">
        <f t="shared" si="35"/>
        <v>0</v>
      </c>
      <c r="R569" s="646"/>
    </row>
    <row r="570" spans="1:18" ht="24" customHeight="1" hidden="1">
      <c r="A570" s="113"/>
      <c r="B570" s="113"/>
      <c r="C570" s="264" t="s">
        <v>105</v>
      </c>
      <c r="D570" s="332" t="s">
        <v>1042</v>
      </c>
      <c r="E570" s="114"/>
      <c r="F570" s="331">
        <v>162606</v>
      </c>
      <c r="G570" s="18"/>
      <c r="H570" s="231"/>
      <c r="I570" s="18"/>
      <c r="J570" s="18"/>
      <c r="K570" s="18"/>
      <c r="L570" s="18"/>
      <c r="M570" s="18"/>
      <c r="N570" s="18"/>
      <c r="O570" s="18"/>
      <c r="P570" s="18"/>
      <c r="Q570" s="17">
        <f t="shared" si="35"/>
        <v>0</v>
      </c>
      <c r="R570" s="646"/>
    </row>
    <row r="571" spans="1:18" ht="16.5" customHeight="1" hidden="1">
      <c r="A571" s="113"/>
      <c r="B571" s="113"/>
      <c r="C571" s="652" t="s">
        <v>326</v>
      </c>
      <c r="D571" s="661" t="s">
        <v>327</v>
      </c>
      <c r="E571" s="15"/>
      <c r="F571" s="100">
        <v>162678</v>
      </c>
      <c r="G571" s="18"/>
      <c r="H571" s="231"/>
      <c r="I571" s="18"/>
      <c r="J571" s="18"/>
      <c r="K571" s="18"/>
      <c r="L571" s="18"/>
      <c r="M571" s="18"/>
      <c r="N571" s="18"/>
      <c r="O571" s="18"/>
      <c r="P571" s="18"/>
      <c r="Q571" s="17">
        <f t="shared" si="35"/>
        <v>0</v>
      </c>
      <c r="R571" s="646"/>
    </row>
    <row r="572" spans="1:18" ht="12.75" customHeight="1" hidden="1">
      <c r="A572" s="113" t="s">
        <v>1283</v>
      </c>
      <c r="B572" s="113"/>
      <c r="C572" s="263" t="s">
        <v>990</v>
      </c>
      <c r="D572" s="270" t="s">
        <v>1254</v>
      </c>
      <c r="E572" s="114"/>
      <c r="F572" s="331"/>
      <c r="G572" s="18"/>
      <c r="H572" s="231"/>
      <c r="I572" s="18"/>
      <c r="J572" s="18"/>
      <c r="K572" s="18"/>
      <c r="L572" s="18"/>
      <c r="M572" s="18"/>
      <c r="N572" s="18"/>
      <c r="O572" s="18"/>
      <c r="P572" s="18"/>
      <c r="Q572" s="17"/>
      <c r="R572" s="646"/>
    </row>
    <row r="573" spans="1:18" ht="12.75" customHeight="1" hidden="1">
      <c r="A573" s="113"/>
      <c r="B573" s="113"/>
      <c r="C573" s="264"/>
      <c r="D573" s="358" t="s">
        <v>421</v>
      </c>
      <c r="E573" s="114"/>
      <c r="F573" s="331"/>
      <c r="G573" s="18"/>
      <c r="H573" s="231"/>
      <c r="I573" s="18"/>
      <c r="J573" s="18"/>
      <c r="K573" s="18"/>
      <c r="L573" s="18"/>
      <c r="M573" s="18"/>
      <c r="N573" s="18"/>
      <c r="O573" s="18"/>
      <c r="P573" s="18"/>
      <c r="Q573" s="17"/>
      <c r="R573" s="646"/>
    </row>
    <row r="574" spans="1:18" ht="25.5" customHeight="1" hidden="1">
      <c r="A574" s="113"/>
      <c r="B574" s="113"/>
      <c r="C574" s="264" t="s">
        <v>144</v>
      </c>
      <c r="D574" s="269" t="s">
        <v>1051</v>
      </c>
      <c r="E574" s="114"/>
      <c r="F574" s="331">
        <v>162701</v>
      </c>
      <c r="G574" s="18"/>
      <c r="H574" s="231"/>
      <c r="I574" s="18"/>
      <c r="J574" s="18"/>
      <c r="K574" s="18"/>
      <c r="L574" s="18"/>
      <c r="M574" s="18"/>
      <c r="N574" s="18"/>
      <c r="O574" s="18"/>
      <c r="P574" s="18"/>
      <c r="Q574" s="17">
        <f>SUM(G574:P574)</f>
        <v>0</v>
      </c>
      <c r="R574" s="646"/>
    </row>
    <row r="575" spans="1:18" ht="12.75" customHeight="1">
      <c r="A575" s="113"/>
      <c r="B575" s="113"/>
      <c r="C575" s="263" t="s">
        <v>1255</v>
      </c>
      <c r="D575" s="270" t="s">
        <v>1256</v>
      </c>
      <c r="E575" s="114"/>
      <c r="F575" s="331"/>
      <c r="G575" s="18"/>
      <c r="H575" s="231"/>
      <c r="I575" s="18"/>
      <c r="J575" s="18"/>
      <c r="K575" s="18"/>
      <c r="L575" s="18"/>
      <c r="M575" s="18"/>
      <c r="N575" s="18"/>
      <c r="O575" s="18"/>
      <c r="P575" s="18"/>
      <c r="Q575" s="17"/>
      <c r="R575" s="646"/>
    </row>
    <row r="576" spans="1:18" ht="12.75" customHeight="1">
      <c r="A576" s="113"/>
      <c r="B576" s="113"/>
      <c r="C576" s="264" t="s">
        <v>372</v>
      </c>
      <c r="D576" s="597" t="s">
        <v>364</v>
      </c>
      <c r="E576" s="114"/>
      <c r="F576" s="331">
        <v>162805</v>
      </c>
      <c r="G576" s="15"/>
      <c r="H576" s="564"/>
      <c r="I576" s="15">
        <v>-1000</v>
      </c>
      <c r="J576" s="15"/>
      <c r="K576" s="18"/>
      <c r="L576" s="18">
        <v>1273</v>
      </c>
      <c r="M576" s="18"/>
      <c r="N576" s="18"/>
      <c r="O576" s="18"/>
      <c r="P576" s="18"/>
      <c r="Q576" s="17">
        <f>SUM(G576:P576)</f>
        <v>273</v>
      </c>
      <c r="R576" s="646" t="s">
        <v>1178</v>
      </c>
    </row>
    <row r="577" spans="1:18" ht="12.75" customHeight="1" hidden="1">
      <c r="A577" s="113"/>
      <c r="B577" s="113"/>
      <c r="C577" s="259"/>
      <c r="D577" s="211" t="s">
        <v>421</v>
      </c>
      <c r="E577" s="114"/>
      <c r="F577" s="331"/>
      <c r="G577" s="18"/>
      <c r="H577" s="231"/>
      <c r="I577" s="18"/>
      <c r="J577" s="18"/>
      <c r="K577" s="18"/>
      <c r="L577" s="18"/>
      <c r="M577" s="18"/>
      <c r="N577" s="18"/>
      <c r="O577" s="18"/>
      <c r="P577" s="18"/>
      <c r="Q577" s="17"/>
      <c r="R577" s="646"/>
    </row>
    <row r="578" spans="1:18" ht="14.25" customHeight="1" hidden="1">
      <c r="A578" s="113"/>
      <c r="B578" s="113"/>
      <c r="C578" s="259" t="s">
        <v>807</v>
      </c>
      <c r="D578" s="589" t="s">
        <v>1362</v>
      </c>
      <c r="E578" s="114"/>
      <c r="F578" s="331">
        <v>164906</v>
      </c>
      <c r="G578" s="18"/>
      <c r="H578" s="231"/>
      <c r="I578" s="18"/>
      <c r="J578" s="18"/>
      <c r="K578" s="18"/>
      <c r="L578" s="15"/>
      <c r="M578" s="15"/>
      <c r="N578" s="18"/>
      <c r="O578" s="18"/>
      <c r="P578" s="18"/>
      <c r="Q578" s="17">
        <f>SUM(G578:P578)</f>
        <v>0</v>
      </c>
      <c r="R578" s="646"/>
    </row>
    <row r="579" spans="1:18" ht="12.75" customHeight="1">
      <c r="A579" s="113"/>
      <c r="B579" s="113"/>
      <c r="C579" s="263" t="s">
        <v>1257</v>
      </c>
      <c r="D579" s="270" t="s">
        <v>1259</v>
      </c>
      <c r="E579" s="114"/>
      <c r="F579" s="331"/>
      <c r="G579" s="18"/>
      <c r="H579" s="231"/>
      <c r="I579" s="18"/>
      <c r="J579" s="18"/>
      <c r="K579" s="18"/>
      <c r="L579" s="15"/>
      <c r="M579" s="15"/>
      <c r="N579" s="18"/>
      <c r="O579" s="18"/>
      <c r="P579" s="18"/>
      <c r="Q579" s="17"/>
      <c r="R579" s="646"/>
    </row>
    <row r="580" spans="1:18" ht="12.75" customHeight="1" hidden="1">
      <c r="A580" s="113"/>
      <c r="B580" s="113"/>
      <c r="C580" s="264" t="s">
        <v>1258</v>
      </c>
      <c r="D580" s="265" t="s">
        <v>359</v>
      </c>
      <c r="E580" s="114"/>
      <c r="F580" s="331">
        <v>162903</v>
      </c>
      <c r="G580" s="18"/>
      <c r="H580" s="231"/>
      <c r="I580" s="18"/>
      <c r="J580" s="18"/>
      <c r="K580" s="18"/>
      <c r="L580" s="15"/>
      <c r="M580" s="15"/>
      <c r="N580" s="18"/>
      <c r="O580" s="18"/>
      <c r="P580" s="18"/>
      <c r="Q580" s="17">
        <f aca="true" t="shared" si="36" ref="Q580:Q601">SUM(G580:P580)</f>
        <v>0</v>
      </c>
      <c r="R580" s="646"/>
    </row>
    <row r="581" spans="1:18" ht="27.75" customHeight="1" hidden="1">
      <c r="A581" s="113"/>
      <c r="B581" s="113"/>
      <c r="C581" s="264" t="s">
        <v>1319</v>
      </c>
      <c r="D581" s="664" t="s">
        <v>1203</v>
      </c>
      <c r="E581" s="114"/>
      <c r="F581" s="331">
        <v>164909</v>
      </c>
      <c r="G581" s="18"/>
      <c r="H581" s="231"/>
      <c r="I581" s="18"/>
      <c r="J581" s="18"/>
      <c r="K581" s="18"/>
      <c r="L581" s="15"/>
      <c r="M581" s="15"/>
      <c r="N581" s="18"/>
      <c r="O581" s="18"/>
      <c r="P581" s="18"/>
      <c r="Q581" s="17">
        <f t="shared" si="36"/>
        <v>0</v>
      </c>
      <c r="R581" s="646"/>
    </row>
    <row r="582" spans="1:18" ht="12.75" customHeight="1">
      <c r="A582" s="113"/>
      <c r="B582" s="113"/>
      <c r="C582" s="264" t="s">
        <v>787</v>
      </c>
      <c r="D582" s="589" t="s">
        <v>361</v>
      </c>
      <c r="E582" s="114"/>
      <c r="F582" s="331">
        <v>162906</v>
      </c>
      <c r="G582" s="18"/>
      <c r="H582" s="231"/>
      <c r="I582" s="18"/>
      <c r="J582" s="18"/>
      <c r="K582" s="18"/>
      <c r="L582" s="15"/>
      <c r="M582" s="15">
        <v>-4189</v>
      </c>
      <c r="N582" s="18"/>
      <c r="O582" s="18"/>
      <c r="P582" s="18"/>
      <c r="Q582" s="17">
        <f t="shared" si="36"/>
        <v>-4189</v>
      </c>
      <c r="R582" s="646" t="s">
        <v>1180</v>
      </c>
    </row>
    <row r="583" spans="1:18" ht="12.75" customHeight="1">
      <c r="A583" s="113"/>
      <c r="B583" s="113"/>
      <c r="C583" s="264" t="s">
        <v>230</v>
      </c>
      <c r="D583" s="589" t="s">
        <v>360</v>
      </c>
      <c r="E583" s="102"/>
      <c r="F583" s="328">
        <v>164910</v>
      </c>
      <c r="G583" s="105"/>
      <c r="H583" s="105"/>
      <c r="I583" s="15">
        <v>-273</v>
      </c>
      <c r="J583" s="15"/>
      <c r="K583" s="15"/>
      <c r="L583" s="15"/>
      <c r="M583" s="15"/>
      <c r="N583" s="15"/>
      <c r="O583" s="15"/>
      <c r="P583" s="105"/>
      <c r="Q583" s="16">
        <f t="shared" si="36"/>
        <v>-273</v>
      </c>
      <c r="R583" s="646" t="s">
        <v>1178</v>
      </c>
    </row>
    <row r="584" spans="1:18" ht="16.5" customHeight="1" hidden="1">
      <c r="A584" s="113"/>
      <c r="B584" s="113"/>
      <c r="C584" s="264" t="s">
        <v>522</v>
      </c>
      <c r="D584" s="528" t="s">
        <v>374</v>
      </c>
      <c r="E584" s="102"/>
      <c r="F584" s="328">
        <v>164911</v>
      </c>
      <c r="G584" s="15"/>
      <c r="H584" s="15"/>
      <c r="I584" s="15"/>
      <c r="J584" s="15"/>
      <c r="K584" s="15"/>
      <c r="L584" s="15"/>
      <c r="M584" s="15"/>
      <c r="N584" s="15"/>
      <c r="O584" s="105"/>
      <c r="P584" s="105"/>
      <c r="Q584" s="16">
        <f t="shared" si="36"/>
        <v>0</v>
      </c>
      <c r="R584" s="646"/>
    </row>
    <row r="585" spans="1:18" ht="15" customHeight="1" hidden="1">
      <c r="A585" s="113"/>
      <c r="B585" s="113"/>
      <c r="C585" s="264" t="s">
        <v>523</v>
      </c>
      <c r="D585" s="528" t="s">
        <v>375</v>
      </c>
      <c r="E585" s="114"/>
      <c r="F585" s="331">
        <v>164912</v>
      </c>
      <c r="G585" s="18"/>
      <c r="H585" s="231"/>
      <c r="I585" s="18"/>
      <c r="J585" s="18"/>
      <c r="K585" s="18"/>
      <c r="L585" s="15"/>
      <c r="M585" s="15"/>
      <c r="N585" s="18"/>
      <c r="O585" s="18"/>
      <c r="P585" s="18"/>
      <c r="Q585" s="17">
        <f t="shared" si="36"/>
        <v>0</v>
      </c>
      <c r="R585" s="646"/>
    </row>
    <row r="586" spans="1:18" ht="15.75" customHeight="1" hidden="1">
      <c r="A586" s="113"/>
      <c r="B586" s="113"/>
      <c r="C586" s="264" t="s">
        <v>524</v>
      </c>
      <c r="D586" s="589" t="s">
        <v>632</v>
      </c>
      <c r="E586" s="114"/>
      <c r="F586" s="331">
        <v>162923</v>
      </c>
      <c r="G586" s="18"/>
      <c r="H586" s="231"/>
      <c r="I586" s="18"/>
      <c r="J586" s="18"/>
      <c r="K586" s="18"/>
      <c r="L586" s="15"/>
      <c r="M586" s="15"/>
      <c r="N586" s="18"/>
      <c r="O586" s="18"/>
      <c r="P586" s="18"/>
      <c r="Q586" s="17">
        <f t="shared" si="36"/>
        <v>0</v>
      </c>
      <c r="R586" s="646"/>
    </row>
    <row r="587" spans="1:18" ht="36" customHeight="1" hidden="1">
      <c r="A587" s="113"/>
      <c r="B587" s="113"/>
      <c r="C587" s="264" t="s">
        <v>525</v>
      </c>
      <c r="D587" s="591" t="s">
        <v>419</v>
      </c>
      <c r="E587" s="102"/>
      <c r="F587" s="328">
        <v>174902</v>
      </c>
      <c r="G587" s="15"/>
      <c r="H587" s="15"/>
      <c r="I587" s="15"/>
      <c r="J587" s="15"/>
      <c r="K587" s="15"/>
      <c r="L587" s="15"/>
      <c r="M587" s="15"/>
      <c r="N587" s="15"/>
      <c r="O587" s="105"/>
      <c r="P587" s="105"/>
      <c r="Q587" s="16">
        <f t="shared" si="36"/>
        <v>0</v>
      </c>
      <c r="R587" s="646"/>
    </row>
    <row r="588" spans="1:18" ht="27.75" customHeight="1" hidden="1">
      <c r="A588" s="113"/>
      <c r="B588" s="113"/>
      <c r="C588" s="264" t="s">
        <v>526</v>
      </c>
      <c r="D588" s="598" t="s">
        <v>1439</v>
      </c>
      <c r="E588" s="102"/>
      <c r="F588" s="328">
        <v>164924</v>
      </c>
      <c r="G588" s="15"/>
      <c r="H588" s="15"/>
      <c r="I588" s="15"/>
      <c r="J588" s="15"/>
      <c r="K588" s="15"/>
      <c r="L588" s="15"/>
      <c r="M588" s="15"/>
      <c r="N588" s="15"/>
      <c r="O588" s="105"/>
      <c r="P588" s="105"/>
      <c r="Q588" s="16">
        <f t="shared" si="36"/>
        <v>0</v>
      </c>
      <c r="R588" s="646"/>
    </row>
    <row r="589" spans="1:18" ht="27.75" customHeight="1" hidden="1">
      <c r="A589" s="113"/>
      <c r="B589" s="113"/>
      <c r="C589" s="652" t="s">
        <v>665</v>
      </c>
      <c r="D589" s="653" t="s">
        <v>138</v>
      </c>
      <c r="E589" s="102"/>
      <c r="F589" s="328">
        <v>162925</v>
      </c>
      <c r="G589" s="15"/>
      <c r="H589" s="15"/>
      <c r="I589" s="15"/>
      <c r="J589" s="15"/>
      <c r="K589" s="15"/>
      <c r="L589" s="15"/>
      <c r="M589" s="15"/>
      <c r="N589" s="15"/>
      <c r="O589" s="105"/>
      <c r="P589" s="105"/>
      <c r="Q589" s="16">
        <f t="shared" si="36"/>
        <v>0</v>
      </c>
      <c r="R589" s="646"/>
    </row>
    <row r="590" spans="1:18" ht="27.75" customHeight="1" hidden="1">
      <c r="A590" s="113"/>
      <c r="B590" s="113"/>
      <c r="C590" s="652" t="s">
        <v>328</v>
      </c>
      <c r="D590" s="657" t="s">
        <v>329</v>
      </c>
      <c r="E590" s="15"/>
      <c r="F590" s="100">
        <v>162926</v>
      </c>
      <c r="G590" s="15"/>
      <c r="H590" s="15"/>
      <c r="I590" s="15"/>
      <c r="J590" s="15"/>
      <c r="K590" s="15"/>
      <c r="L590" s="15"/>
      <c r="M590" s="15"/>
      <c r="N590" s="15"/>
      <c r="O590" s="105"/>
      <c r="P590" s="105"/>
      <c r="Q590" s="16">
        <f t="shared" si="36"/>
        <v>0</v>
      </c>
      <c r="R590" s="646"/>
    </row>
    <row r="591" spans="1:18" ht="15" customHeight="1" hidden="1">
      <c r="A591" s="113"/>
      <c r="B591" s="113"/>
      <c r="C591" s="652" t="s">
        <v>330</v>
      </c>
      <c r="D591" s="657" t="s">
        <v>633</v>
      </c>
      <c r="E591" s="102"/>
      <c r="F591" s="328">
        <v>162927</v>
      </c>
      <c r="G591" s="15"/>
      <c r="H591" s="15"/>
      <c r="I591" s="15"/>
      <c r="J591" s="15"/>
      <c r="K591" s="15"/>
      <c r="L591" s="15"/>
      <c r="M591" s="15"/>
      <c r="N591" s="15"/>
      <c r="O591" s="105"/>
      <c r="P591" s="105"/>
      <c r="Q591" s="16">
        <f t="shared" si="36"/>
        <v>0</v>
      </c>
      <c r="R591" s="646"/>
    </row>
    <row r="592" spans="1:18" ht="25.5" customHeight="1" hidden="1">
      <c r="A592" s="113"/>
      <c r="B592" s="113"/>
      <c r="C592" s="652" t="s">
        <v>1205</v>
      </c>
      <c r="D592" s="657" t="s">
        <v>1204</v>
      </c>
      <c r="E592" s="15"/>
      <c r="F592" s="100">
        <v>162934</v>
      </c>
      <c r="G592" s="15"/>
      <c r="H592" s="15"/>
      <c r="I592" s="15"/>
      <c r="J592" s="15"/>
      <c r="K592" s="15"/>
      <c r="L592" s="15"/>
      <c r="M592" s="15"/>
      <c r="N592" s="15"/>
      <c r="O592" s="105"/>
      <c r="P592" s="105"/>
      <c r="Q592" s="16">
        <f t="shared" si="36"/>
        <v>0</v>
      </c>
      <c r="R592" s="646"/>
    </row>
    <row r="593" spans="1:18" ht="15" customHeight="1" hidden="1">
      <c r="A593" s="113"/>
      <c r="B593" s="113"/>
      <c r="C593" s="652" t="s">
        <v>1206</v>
      </c>
      <c r="D593" s="657" t="s">
        <v>1207</v>
      </c>
      <c r="E593" s="15"/>
      <c r="F593" s="100">
        <v>162913</v>
      </c>
      <c r="G593" s="15"/>
      <c r="H593" s="15"/>
      <c r="I593" s="15"/>
      <c r="J593" s="15"/>
      <c r="K593" s="15"/>
      <c r="L593" s="15"/>
      <c r="M593" s="15"/>
      <c r="N593" s="15"/>
      <c r="O593" s="105"/>
      <c r="P593" s="105"/>
      <c r="Q593" s="16">
        <f t="shared" si="36"/>
        <v>0</v>
      </c>
      <c r="R593" s="646"/>
    </row>
    <row r="594" spans="1:18" ht="36.75" customHeight="1" hidden="1">
      <c r="A594" s="113"/>
      <c r="B594" s="113"/>
      <c r="C594" s="652" t="s">
        <v>241</v>
      </c>
      <c r="D594" s="325" t="s">
        <v>242</v>
      </c>
      <c r="E594" s="102"/>
      <c r="F594" s="328">
        <v>162935</v>
      </c>
      <c r="G594" s="15"/>
      <c r="H594" s="15"/>
      <c r="I594" s="15"/>
      <c r="J594" s="15"/>
      <c r="K594" s="15"/>
      <c r="L594" s="15"/>
      <c r="M594" s="15"/>
      <c r="N594" s="15"/>
      <c r="O594" s="105"/>
      <c r="P594" s="105"/>
      <c r="Q594" s="16">
        <f t="shared" si="36"/>
        <v>0</v>
      </c>
      <c r="R594" s="646"/>
    </row>
    <row r="595" spans="1:18" ht="18" customHeight="1" hidden="1">
      <c r="A595" s="113"/>
      <c r="B595" s="113"/>
      <c r="C595" s="652" t="s">
        <v>213</v>
      </c>
      <c r="D595" s="657" t="s">
        <v>214</v>
      </c>
      <c r="E595" s="15"/>
      <c r="F595" s="100">
        <v>162697</v>
      </c>
      <c r="G595" s="15"/>
      <c r="H595" s="15"/>
      <c r="I595" s="15"/>
      <c r="J595" s="15"/>
      <c r="K595" s="15"/>
      <c r="L595" s="15"/>
      <c r="M595" s="15"/>
      <c r="N595" s="15"/>
      <c r="O595" s="105"/>
      <c r="P595" s="105"/>
      <c r="Q595" s="16">
        <f t="shared" si="36"/>
        <v>0</v>
      </c>
      <c r="R595" s="646"/>
    </row>
    <row r="596" spans="1:18" ht="23.25" customHeight="1" hidden="1">
      <c r="A596" s="113"/>
      <c r="B596" s="113"/>
      <c r="C596" s="719" t="s">
        <v>1434</v>
      </c>
      <c r="D596" s="717" t="s">
        <v>1433</v>
      </c>
      <c r="E596" s="102"/>
      <c r="F596" s="328">
        <v>162699</v>
      </c>
      <c r="G596" s="15"/>
      <c r="H596" s="15"/>
      <c r="I596" s="15"/>
      <c r="J596" s="15"/>
      <c r="K596" s="15"/>
      <c r="L596" s="15"/>
      <c r="M596" s="15"/>
      <c r="N596" s="15"/>
      <c r="O596" s="105"/>
      <c r="P596" s="105"/>
      <c r="Q596" s="16">
        <f t="shared" si="36"/>
        <v>0</v>
      </c>
      <c r="R596" s="646"/>
    </row>
    <row r="597" spans="1:18" ht="23.25" customHeight="1">
      <c r="A597" s="113"/>
      <c r="B597" s="113"/>
      <c r="C597" s="652" t="s">
        <v>1446</v>
      </c>
      <c r="D597" s="717" t="s">
        <v>1447</v>
      </c>
      <c r="E597" s="15"/>
      <c r="F597" s="100">
        <v>162663</v>
      </c>
      <c r="G597" s="15"/>
      <c r="H597" s="15"/>
      <c r="I597" s="15"/>
      <c r="J597" s="15"/>
      <c r="K597" s="15"/>
      <c r="L597" s="15"/>
      <c r="M597" s="15">
        <v>4500</v>
      </c>
      <c r="N597" s="15"/>
      <c r="O597" s="105"/>
      <c r="P597" s="105"/>
      <c r="Q597" s="16">
        <f t="shared" si="36"/>
        <v>4500</v>
      </c>
      <c r="R597" s="646" t="s">
        <v>1180</v>
      </c>
    </row>
    <row r="598" spans="1:18" ht="12.75" customHeight="1" hidden="1">
      <c r="A598" s="113"/>
      <c r="B598" s="113"/>
      <c r="C598" s="263"/>
      <c r="D598" s="211" t="s">
        <v>421</v>
      </c>
      <c r="E598" s="114"/>
      <c r="F598" s="331"/>
      <c r="G598" s="18"/>
      <c r="H598" s="231"/>
      <c r="I598" s="18"/>
      <c r="J598" s="18"/>
      <c r="K598" s="18"/>
      <c r="L598" s="15"/>
      <c r="M598" s="15"/>
      <c r="N598" s="18"/>
      <c r="O598" s="18"/>
      <c r="P598" s="18"/>
      <c r="Q598" s="17"/>
      <c r="R598" s="646"/>
    </row>
    <row r="599" spans="1:18" ht="30" customHeight="1" hidden="1">
      <c r="A599" s="113"/>
      <c r="B599" s="113"/>
      <c r="C599" s="264" t="s">
        <v>1059</v>
      </c>
      <c r="D599" s="590" t="s">
        <v>1456</v>
      </c>
      <c r="E599" s="114"/>
      <c r="F599" s="331">
        <v>162904</v>
      </c>
      <c r="G599" s="18"/>
      <c r="H599" s="231"/>
      <c r="I599" s="18"/>
      <c r="J599" s="18"/>
      <c r="K599" s="18"/>
      <c r="L599" s="15"/>
      <c r="M599" s="15"/>
      <c r="N599" s="18"/>
      <c r="O599" s="18"/>
      <c r="P599" s="18"/>
      <c r="Q599" s="17">
        <f t="shared" si="36"/>
        <v>0</v>
      </c>
      <c r="R599" s="646"/>
    </row>
    <row r="600" spans="1:18" ht="12.75" customHeight="1" hidden="1">
      <c r="A600" s="113"/>
      <c r="B600" s="113"/>
      <c r="C600" s="264" t="s">
        <v>1039</v>
      </c>
      <c r="D600" s="590" t="s">
        <v>1381</v>
      </c>
      <c r="E600" s="114"/>
      <c r="F600" s="542">
        <v>164506</v>
      </c>
      <c r="G600" s="284"/>
      <c r="H600" s="285"/>
      <c r="I600" s="284"/>
      <c r="J600" s="284"/>
      <c r="K600" s="284"/>
      <c r="L600" s="310"/>
      <c r="M600" s="310"/>
      <c r="N600" s="284"/>
      <c r="O600" s="284"/>
      <c r="P600" s="284"/>
      <c r="Q600" s="642">
        <f t="shared" si="36"/>
        <v>0</v>
      </c>
      <c r="R600" s="646"/>
    </row>
    <row r="601" spans="1:18" ht="17.25" customHeight="1" hidden="1">
      <c r="A601" s="113"/>
      <c r="B601" s="113"/>
      <c r="C601" s="449" t="s">
        <v>1404</v>
      </c>
      <c r="D601" s="450" t="s">
        <v>852</v>
      </c>
      <c r="E601" s="102"/>
      <c r="F601" s="328">
        <v>162907</v>
      </c>
      <c r="G601" s="15"/>
      <c r="H601" s="15"/>
      <c r="I601" s="15"/>
      <c r="J601" s="15"/>
      <c r="K601" s="15"/>
      <c r="L601" s="15"/>
      <c r="M601" s="15"/>
      <c r="N601" s="15"/>
      <c r="O601" s="105"/>
      <c r="P601" s="105"/>
      <c r="Q601" s="16">
        <f t="shared" si="36"/>
        <v>0</v>
      </c>
      <c r="R601" s="646"/>
    </row>
    <row r="602" spans="1:18" ht="12.75" customHeight="1">
      <c r="A602" s="113"/>
      <c r="B602" s="113"/>
      <c r="C602" s="119" t="s">
        <v>1105</v>
      </c>
      <c r="D602" s="369" t="s">
        <v>494</v>
      </c>
      <c r="E602" s="114"/>
      <c r="F602" s="113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642"/>
      <c r="R602" s="646"/>
    </row>
    <row r="603" spans="1:18" ht="15" customHeight="1">
      <c r="A603" s="113"/>
      <c r="B603" s="113"/>
      <c r="C603" s="113" t="s">
        <v>495</v>
      </c>
      <c r="D603" s="17" t="s">
        <v>1414</v>
      </c>
      <c r="E603" s="114"/>
      <c r="F603" s="113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642"/>
      <c r="R603" s="646"/>
    </row>
    <row r="604" spans="1:18" ht="24" customHeight="1">
      <c r="A604" s="113"/>
      <c r="B604" s="113"/>
      <c r="C604" s="113" t="s">
        <v>862</v>
      </c>
      <c r="D604" s="741" t="s">
        <v>282</v>
      </c>
      <c r="E604" s="114"/>
      <c r="F604" s="113">
        <v>163601</v>
      </c>
      <c r="G604" s="599"/>
      <c r="H604" s="600"/>
      <c r="I604" s="601">
        <v>752</v>
      </c>
      <c r="J604" s="18"/>
      <c r="K604" s="18"/>
      <c r="L604" s="599">
        <v>-243400</v>
      </c>
      <c r="M604" s="18"/>
      <c r="N604" s="18"/>
      <c r="O604" s="18"/>
      <c r="P604" s="18"/>
      <c r="Q604" s="642">
        <f aca="true" t="shared" si="37" ref="Q604:Q628">SUM(G604:P604)</f>
        <v>-242648</v>
      </c>
      <c r="R604" s="646" t="s">
        <v>1178</v>
      </c>
    </row>
    <row r="605" spans="1:18" ht="15" customHeight="1">
      <c r="A605" s="113"/>
      <c r="B605" s="113"/>
      <c r="C605" s="113" t="s">
        <v>863</v>
      </c>
      <c r="D605" s="746" t="s">
        <v>1415</v>
      </c>
      <c r="E605" s="114"/>
      <c r="F605" s="113">
        <v>163602</v>
      </c>
      <c r="G605" s="602">
        <v>-787</v>
      </c>
      <c r="H605" s="603">
        <v>-213</v>
      </c>
      <c r="I605" s="604">
        <v>-12541</v>
      </c>
      <c r="J605" s="18"/>
      <c r="K605" s="18"/>
      <c r="L605" s="599">
        <v>-13000</v>
      </c>
      <c r="M605" s="18"/>
      <c r="N605" s="18"/>
      <c r="O605" s="18"/>
      <c r="P605" s="18"/>
      <c r="Q605" s="642">
        <f t="shared" si="37"/>
        <v>-26541</v>
      </c>
      <c r="R605" s="646" t="s">
        <v>1178</v>
      </c>
    </row>
    <row r="606" spans="1:18" ht="24.75" customHeight="1">
      <c r="A606" s="113"/>
      <c r="B606" s="113"/>
      <c r="C606" s="113" t="s">
        <v>864</v>
      </c>
      <c r="D606" s="741" t="s">
        <v>1080</v>
      </c>
      <c r="E606" s="114"/>
      <c r="F606" s="113">
        <v>163603</v>
      </c>
      <c r="G606" s="561">
        <v>3622</v>
      </c>
      <c r="H606" s="561">
        <v>978</v>
      </c>
      <c r="I606" s="638">
        <v>1322</v>
      </c>
      <c r="J606" s="18"/>
      <c r="K606" s="18"/>
      <c r="L606" s="375">
        <v>40450</v>
      </c>
      <c r="M606" s="18">
        <v>254510</v>
      </c>
      <c r="N606" s="18"/>
      <c r="O606" s="18"/>
      <c r="P606" s="18"/>
      <c r="Q606" s="642">
        <f t="shared" si="37"/>
        <v>300882</v>
      </c>
      <c r="R606" s="646" t="s">
        <v>1178</v>
      </c>
    </row>
    <row r="607" spans="1:18" ht="24" customHeight="1">
      <c r="A607" s="113"/>
      <c r="B607" s="113"/>
      <c r="C607" s="113" t="s">
        <v>865</v>
      </c>
      <c r="D607" s="742" t="s">
        <v>1079</v>
      </c>
      <c r="E607" s="114"/>
      <c r="F607" s="113">
        <v>163604</v>
      </c>
      <c r="G607" s="606">
        <v>1969</v>
      </c>
      <c r="H607" s="606">
        <v>531</v>
      </c>
      <c r="I607" s="605">
        <v>-1921</v>
      </c>
      <c r="J607" s="18"/>
      <c r="K607" s="18"/>
      <c r="L607" s="599">
        <v>18517</v>
      </c>
      <c r="M607" s="18">
        <v>142756</v>
      </c>
      <c r="N607" s="18"/>
      <c r="O607" s="18"/>
      <c r="P607" s="18"/>
      <c r="Q607" s="642">
        <f t="shared" si="37"/>
        <v>161852</v>
      </c>
      <c r="R607" s="646" t="s">
        <v>1178</v>
      </c>
    </row>
    <row r="608" spans="1:18" ht="37.5" customHeight="1">
      <c r="A608" s="113"/>
      <c r="B608" s="113"/>
      <c r="C608" s="113" t="s">
        <v>866</v>
      </c>
      <c r="D608" s="742" t="s">
        <v>895</v>
      </c>
      <c r="E608" s="114"/>
      <c r="F608" s="113">
        <v>163605</v>
      </c>
      <c r="G608" s="607">
        <v>-787</v>
      </c>
      <c r="H608" s="608">
        <v>-213</v>
      </c>
      <c r="I608" s="726">
        <v>-41399</v>
      </c>
      <c r="J608" s="18"/>
      <c r="K608" s="18"/>
      <c r="L608" s="599">
        <v>-24000</v>
      </c>
      <c r="M608" s="18"/>
      <c r="N608" s="18"/>
      <c r="O608" s="18"/>
      <c r="P608" s="18"/>
      <c r="Q608" s="642">
        <f t="shared" si="37"/>
        <v>-66399</v>
      </c>
      <c r="R608" s="646" t="s">
        <v>1178</v>
      </c>
    </row>
    <row r="609" spans="1:18" ht="24" customHeight="1">
      <c r="A609" s="113"/>
      <c r="B609" s="113"/>
      <c r="C609" s="113" t="s">
        <v>867</v>
      </c>
      <c r="D609" s="742" t="s">
        <v>1081</v>
      </c>
      <c r="E609" s="114"/>
      <c r="F609" s="113">
        <v>163606</v>
      </c>
      <c r="G609" s="599">
        <v>1806</v>
      </c>
      <c r="H609" s="600">
        <v>488</v>
      </c>
      <c r="I609" s="609">
        <v>-593</v>
      </c>
      <c r="J609" s="18"/>
      <c r="K609" s="18"/>
      <c r="L609" s="599">
        <v>126165</v>
      </c>
      <c r="M609" s="18"/>
      <c r="N609" s="18"/>
      <c r="O609" s="18"/>
      <c r="P609" s="18"/>
      <c r="Q609" s="642">
        <f t="shared" si="37"/>
        <v>127866</v>
      </c>
      <c r="R609" s="646" t="s">
        <v>1178</v>
      </c>
    </row>
    <row r="610" spans="1:18" ht="64.5" customHeight="1">
      <c r="A610" s="113"/>
      <c r="B610" s="113"/>
      <c r="C610" s="113" t="s">
        <v>868</v>
      </c>
      <c r="D610" s="741" t="s">
        <v>1089</v>
      </c>
      <c r="E610" s="114"/>
      <c r="F610" s="113">
        <v>163607</v>
      </c>
      <c r="G610" s="610"/>
      <c r="H610" s="611"/>
      <c r="I610" s="754">
        <v>-16495</v>
      </c>
      <c r="J610" s="18"/>
      <c r="K610" s="18"/>
      <c r="L610" s="376">
        <v>911139</v>
      </c>
      <c r="M610" s="18"/>
      <c r="N610" s="18"/>
      <c r="O610" s="18"/>
      <c r="P610" s="18"/>
      <c r="Q610" s="642">
        <f t="shared" si="37"/>
        <v>894644</v>
      </c>
      <c r="R610" s="646" t="s">
        <v>1178</v>
      </c>
    </row>
    <row r="611" spans="1:18" ht="23.25" customHeight="1">
      <c r="A611" s="113"/>
      <c r="B611" s="113"/>
      <c r="C611" s="113" t="s">
        <v>869</v>
      </c>
      <c r="D611" s="741" t="s">
        <v>281</v>
      </c>
      <c r="E611" s="114"/>
      <c r="F611" s="113">
        <v>163608</v>
      </c>
      <c r="G611" s="599">
        <v>-315</v>
      </c>
      <c r="H611" s="600">
        <v>-85</v>
      </c>
      <c r="I611" s="732">
        <v>44769</v>
      </c>
      <c r="J611" s="18"/>
      <c r="K611" s="18"/>
      <c r="L611" s="733">
        <v>852626</v>
      </c>
      <c r="M611" s="18"/>
      <c r="N611" s="18"/>
      <c r="O611" s="18"/>
      <c r="P611" s="18"/>
      <c r="Q611" s="642">
        <f t="shared" si="37"/>
        <v>896995</v>
      </c>
      <c r="R611" s="646" t="s">
        <v>1178</v>
      </c>
    </row>
    <row r="612" spans="1:18" ht="25.5" customHeight="1">
      <c r="A612" s="113"/>
      <c r="B612" s="113"/>
      <c r="C612" s="113" t="s">
        <v>870</v>
      </c>
      <c r="D612" s="741" t="s">
        <v>1091</v>
      </c>
      <c r="E612" s="114"/>
      <c r="F612" s="113">
        <v>163609</v>
      </c>
      <c r="G612" s="599"/>
      <c r="H612" s="600"/>
      <c r="I612" s="736">
        <v>29000</v>
      </c>
      <c r="J612" s="18"/>
      <c r="K612" s="18"/>
      <c r="L612" s="733">
        <v>342760</v>
      </c>
      <c r="M612" s="18"/>
      <c r="N612" s="18"/>
      <c r="O612" s="18"/>
      <c r="P612" s="18"/>
      <c r="Q612" s="642">
        <f t="shared" si="37"/>
        <v>371760</v>
      </c>
      <c r="R612" s="646" t="s">
        <v>1178</v>
      </c>
    </row>
    <row r="613" spans="1:18" ht="25.5" customHeight="1">
      <c r="A613" s="113"/>
      <c r="B613" s="113"/>
      <c r="C613" s="113" t="s">
        <v>871</v>
      </c>
      <c r="D613" s="743" t="s">
        <v>1083</v>
      </c>
      <c r="E613" s="114"/>
      <c r="F613" s="113">
        <v>163610</v>
      </c>
      <c r="G613" s="734"/>
      <c r="H613" s="735"/>
      <c r="I613" s="736">
        <v>-9144</v>
      </c>
      <c r="J613" s="18"/>
      <c r="K613" s="18"/>
      <c r="L613" s="734">
        <v>301157</v>
      </c>
      <c r="M613" s="18"/>
      <c r="N613" s="18"/>
      <c r="O613" s="18"/>
      <c r="P613" s="18"/>
      <c r="Q613" s="642">
        <f t="shared" si="37"/>
        <v>292013</v>
      </c>
      <c r="R613" s="646" t="s">
        <v>1178</v>
      </c>
    </row>
    <row r="614" spans="1:18" ht="36" customHeight="1">
      <c r="A614" s="113"/>
      <c r="B614" s="113"/>
      <c r="C614" s="113" t="s">
        <v>872</v>
      </c>
      <c r="D614" s="743" t="s">
        <v>1082</v>
      </c>
      <c r="E614" s="114"/>
      <c r="F614" s="113">
        <v>163611</v>
      </c>
      <c r="G614" s="737"/>
      <c r="H614" s="738"/>
      <c r="I614" s="732">
        <v>-1</v>
      </c>
      <c r="J614" s="18"/>
      <c r="K614" s="18"/>
      <c r="L614" s="737">
        <v>363284</v>
      </c>
      <c r="M614" s="18">
        <v>6350</v>
      </c>
      <c r="N614" s="18"/>
      <c r="O614" s="18"/>
      <c r="P614" s="18"/>
      <c r="Q614" s="642">
        <f t="shared" si="37"/>
        <v>369633</v>
      </c>
      <c r="R614" s="646" t="s">
        <v>1178</v>
      </c>
    </row>
    <row r="615" spans="1:18" ht="38.25" customHeight="1">
      <c r="A615" s="113"/>
      <c r="B615" s="113"/>
      <c r="C615" s="113" t="s">
        <v>873</v>
      </c>
      <c r="D615" s="744" t="s">
        <v>1092</v>
      </c>
      <c r="E615" s="114"/>
      <c r="F615" s="113">
        <v>163612</v>
      </c>
      <c r="G615" s="737"/>
      <c r="H615" s="738"/>
      <c r="I615" s="732">
        <v>10555</v>
      </c>
      <c r="J615" s="18"/>
      <c r="K615" s="18"/>
      <c r="L615" s="739">
        <v>1212015</v>
      </c>
      <c r="M615" s="18"/>
      <c r="N615" s="18"/>
      <c r="O615" s="18"/>
      <c r="P615" s="18"/>
      <c r="Q615" s="642">
        <f t="shared" si="37"/>
        <v>1222570</v>
      </c>
      <c r="R615" s="646" t="s">
        <v>1178</v>
      </c>
    </row>
    <row r="616" spans="1:18" ht="28.5" customHeight="1">
      <c r="A616" s="113"/>
      <c r="B616" s="113"/>
      <c r="C616" s="113" t="s">
        <v>874</v>
      </c>
      <c r="D616" s="744" t="s">
        <v>1093</v>
      </c>
      <c r="E616" s="114"/>
      <c r="F616" s="113">
        <v>163613</v>
      </c>
      <c r="G616" s="737"/>
      <c r="H616" s="738"/>
      <c r="I616" s="732">
        <v>7562</v>
      </c>
      <c r="J616" s="18"/>
      <c r="K616" s="18"/>
      <c r="L616" s="739">
        <v>400891</v>
      </c>
      <c r="M616" s="18"/>
      <c r="N616" s="18"/>
      <c r="O616" s="18"/>
      <c r="P616" s="18"/>
      <c r="Q616" s="642">
        <f t="shared" si="37"/>
        <v>408453</v>
      </c>
      <c r="R616" s="646" t="s">
        <v>1178</v>
      </c>
    </row>
    <row r="617" spans="1:18" ht="27" customHeight="1">
      <c r="A617" s="113"/>
      <c r="B617" s="113"/>
      <c r="C617" s="113" t="s">
        <v>875</v>
      </c>
      <c r="D617" s="744" t="s">
        <v>1075</v>
      </c>
      <c r="E617" s="114"/>
      <c r="F617" s="113">
        <v>163614</v>
      </c>
      <c r="G617" s="734">
        <v>213</v>
      </c>
      <c r="H617" s="735">
        <v>57</v>
      </c>
      <c r="I617" s="736">
        <v>-8144</v>
      </c>
      <c r="J617" s="18"/>
      <c r="K617" s="18"/>
      <c r="L617" s="739">
        <v>889</v>
      </c>
      <c r="M617" s="18"/>
      <c r="N617" s="18"/>
      <c r="O617" s="18"/>
      <c r="P617" s="18"/>
      <c r="Q617" s="642">
        <f t="shared" si="37"/>
        <v>-6985</v>
      </c>
      <c r="R617" s="646" t="s">
        <v>1178</v>
      </c>
    </row>
    <row r="618" spans="1:18" ht="38.25" customHeight="1" hidden="1">
      <c r="A618" s="113"/>
      <c r="B618" s="113"/>
      <c r="C618" s="113" t="s">
        <v>876</v>
      </c>
      <c r="D618" s="744" t="s">
        <v>1090</v>
      </c>
      <c r="E618" s="114"/>
      <c r="F618" s="113">
        <v>163615</v>
      </c>
      <c r="G618" s="634"/>
      <c r="H618" s="635"/>
      <c r="I618" s="604"/>
      <c r="J618" s="18"/>
      <c r="K618" s="18"/>
      <c r="L618" s="18"/>
      <c r="M618" s="18"/>
      <c r="N618" s="18"/>
      <c r="O618" s="18"/>
      <c r="P618" s="18"/>
      <c r="Q618" s="642">
        <f t="shared" si="37"/>
        <v>0</v>
      </c>
      <c r="R618" s="646" t="s">
        <v>1178</v>
      </c>
    </row>
    <row r="619" spans="1:18" ht="26.25" customHeight="1">
      <c r="A619" s="113"/>
      <c r="B619" s="113"/>
      <c r="C619" s="100" t="s">
        <v>950</v>
      </c>
      <c r="D619" s="745" t="s">
        <v>1084</v>
      </c>
      <c r="E619" s="15"/>
      <c r="F619" s="100">
        <v>163616</v>
      </c>
      <c r="G619" s="637"/>
      <c r="H619" s="637"/>
      <c r="I619" s="638"/>
      <c r="J619" s="18"/>
      <c r="K619" s="18"/>
      <c r="L619" s="18">
        <v>-10552</v>
      </c>
      <c r="M619" s="18"/>
      <c r="N619" s="18"/>
      <c r="O619" s="18"/>
      <c r="P619" s="18"/>
      <c r="Q619" s="642">
        <f t="shared" si="37"/>
        <v>-10552</v>
      </c>
      <c r="R619" s="646" t="s">
        <v>1178</v>
      </c>
    </row>
    <row r="620" spans="1:18" ht="37.5" customHeight="1" hidden="1">
      <c r="A620" s="113"/>
      <c r="B620" s="113"/>
      <c r="C620" s="100" t="s">
        <v>951</v>
      </c>
      <c r="D620" s="745" t="s">
        <v>1087</v>
      </c>
      <c r="E620" s="15"/>
      <c r="F620" s="100">
        <v>163617</v>
      </c>
      <c r="G620" s="747"/>
      <c r="H620" s="637"/>
      <c r="I620" s="638"/>
      <c r="J620" s="18"/>
      <c r="K620" s="18"/>
      <c r="L620" s="18"/>
      <c r="M620" s="18"/>
      <c r="N620" s="18"/>
      <c r="O620" s="18"/>
      <c r="P620" s="18"/>
      <c r="Q620" s="642">
        <f t="shared" si="37"/>
        <v>0</v>
      </c>
      <c r="R620" s="646" t="s">
        <v>1178</v>
      </c>
    </row>
    <row r="621" spans="1:18" ht="24.75" customHeight="1">
      <c r="A621" s="113"/>
      <c r="B621" s="113"/>
      <c r="C621" s="100" t="s">
        <v>331</v>
      </c>
      <c r="D621" s="633" t="s">
        <v>332</v>
      </c>
      <c r="E621" s="15"/>
      <c r="F621" s="100">
        <v>163630</v>
      </c>
      <c r="G621" s="748"/>
      <c r="H621" s="636"/>
      <c r="I621" s="605"/>
      <c r="J621" s="18"/>
      <c r="K621" s="18"/>
      <c r="L621" s="18"/>
      <c r="M621" s="18">
        <v>-2892</v>
      </c>
      <c r="N621" s="18"/>
      <c r="O621" s="18"/>
      <c r="P621" s="18"/>
      <c r="Q621" s="642">
        <f t="shared" si="37"/>
        <v>-2892</v>
      </c>
      <c r="R621" s="646" t="s">
        <v>1178</v>
      </c>
    </row>
    <row r="622" spans="1:18" ht="24.75" customHeight="1" hidden="1">
      <c r="A622" s="113"/>
      <c r="B622" s="113"/>
      <c r="C622" s="100" t="s">
        <v>1425</v>
      </c>
      <c r="D622" s="745" t="s">
        <v>1085</v>
      </c>
      <c r="E622" s="102"/>
      <c r="F622" s="100">
        <v>163618</v>
      </c>
      <c r="G622" s="748"/>
      <c r="H622" s="636"/>
      <c r="I622" s="605"/>
      <c r="J622" s="18"/>
      <c r="K622" s="18"/>
      <c r="L622" s="18"/>
      <c r="M622" s="18"/>
      <c r="N622" s="18"/>
      <c r="O622" s="18"/>
      <c r="P622" s="18"/>
      <c r="Q622" s="642">
        <f t="shared" si="37"/>
        <v>0</v>
      </c>
      <c r="R622" s="646" t="s">
        <v>1178</v>
      </c>
    </row>
    <row r="623" spans="1:18" ht="24.75" customHeight="1">
      <c r="A623" s="113"/>
      <c r="B623" s="113"/>
      <c r="C623" s="100" t="s">
        <v>1426</v>
      </c>
      <c r="D623" s="745" t="s">
        <v>1088</v>
      </c>
      <c r="E623" s="102"/>
      <c r="F623" s="100">
        <v>163619</v>
      </c>
      <c r="G623" s="748"/>
      <c r="H623" s="636"/>
      <c r="I623" s="605"/>
      <c r="J623" s="18"/>
      <c r="K623" s="18"/>
      <c r="L623" s="18">
        <v>-1</v>
      </c>
      <c r="M623" s="18"/>
      <c r="N623" s="18"/>
      <c r="O623" s="18"/>
      <c r="P623" s="18"/>
      <c r="Q623" s="642">
        <f t="shared" si="37"/>
        <v>-1</v>
      </c>
      <c r="R623" s="646" t="s">
        <v>1178</v>
      </c>
    </row>
    <row r="624" spans="1:18" ht="24.75" customHeight="1" hidden="1">
      <c r="A624" s="113"/>
      <c r="B624" s="113"/>
      <c r="C624" s="100" t="s">
        <v>1427</v>
      </c>
      <c r="D624" s="745" t="s">
        <v>1086</v>
      </c>
      <c r="E624" s="102"/>
      <c r="F624" s="100">
        <v>163620</v>
      </c>
      <c r="G624" s="748"/>
      <c r="H624" s="636"/>
      <c r="I624" s="605"/>
      <c r="J624" s="18"/>
      <c r="K624" s="18"/>
      <c r="L624" s="18"/>
      <c r="M624" s="18"/>
      <c r="N624" s="18"/>
      <c r="O624" s="18"/>
      <c r="P624" s="18"/>
      <c r="Q624" s="642">
        <f t="shared" si="37"/>
        <v>0</v>
      </c>
      <c r="R624" s="646" t="s">
        <v>1178</v>
      </c>
    </row>
    <row r="625" spans="1:18" ht="24.75" customHeight="1">
      <c r="A625" s="113"/>
      <c r="B625" s="113"/>
      <c r="C625" s="100" t="s">
        <v>1448</v>
      </c>
      <c r="D625" s="745" t="s">
        <v>1078</v>
      </c>
      <c r="E625" s="15"/>
      <c r="F625" s="100">
        <v>163622</v>
      </c>
      <c r="G625" s="727">
        <v>1890</v>
      </c>
      <c r="H625" s="727">
        <v>510</v>
      </c>
      <c r="I625" s="728">
        <v>5510</v>
      </c>
      <c r="J625" s="18"/>
      <c r="K625" s="18"/>
      <c r="L625" s="18"/>
      <c r="M625" s="18">
        <v>125254</v>
      </c>
      <c r="N625" s="18"/>
      <c r="O625" s="18"/>
      <c r="P625" s="18"/>
      <c r="Q625" s="642">
        <f t="shared" si="37"/>
        <v>133164</v>
      </c>
      <c r="R625" s="646" t="s">
        <v>1178</v>
      </c>
    </row>
    <row r="626" spans="1:18" ht="24.75" customHeight="1">
      <c r="A626" s="113"/>
      <c r="B626" s="113"/>
      <c r="C626" s="100" t="s">
        <v>1449</v>
      </c>
      <c r="D626" s="745" t="s">
        <v>1077</v>
      </c>
      <c r="E626" s="15"/>
      <c r="F626" s="100">
        <v>163623</v>
      </c>
      <c r="G626" s="727">
        <v>1890</v>
      </c>
      <c r="H626" s="727">
        <v>510</v>
      </c>
      <c r="I626" s="728">
        <v>11739</v>
      </c>
      <c r="J626" s="18"/>
      <c r="K626" s="18"/>
      <c r="L626" s="18"/>
      <c r="M626" s="18">
        <v>271347</v>
      </c>
      <c r="N626" s="18"/>
      <c r="O626" s="18"/>
      <c r="P626" s="18"/>
      <c r="Q626" s="642">
        <f t="shared" si="37"/>
        <v>285486</v>
      </c>
      <c r="R626" s="646" t="s">
        <v>1178</v>
      </c>
    </row>
    <row r="627" spans="1:18" ht="24.75" customHeight="1">
      <c r="A627" s="113"/>
      <c r="B627" s="113"/>
      <c r="C627" s="100" t="s">
        <v>1450</v>
      </c>
      <c r="D627" s="745" t="s">
        <v>1076</v>
      </c>
      <c r="E627" s="15"/>
      <c r="F627" s="100">
        <v>163624</v>
      </c>
      <c r="G627" s="727">
        <v>1890</v>
      </c>
      <c r="H627" s="727">
        <v>510</v>
      </c>
      <c r="I627" s="728">
        <v>9721</v>
      </c>
      <c r="J627" s="18"/>
      <c r="K627" s="18"/>
      <c r="L627" s="18"/>
      <c r="M627" s="18">
        <v>173817</v>
      </c>
      <c r="N627" s="18"/>
      <c r="O627" s="18"/>
      <c r="P627" s="18"/>
      <c r="Q627" s="642">
        <f t="shared" si="37"/>
        <v>185938</v>
      </c>
      <c r="R627" s="646" t="s">
        <v>1178</v>
      </c>
    </row>
    <row r="628" spans="1:18" ht="28.5" customHeight="1">
      <c r="A628" s="113"/>
      <c r="B628" s="113"/>
      <c r="C628" s="113" t="s">
        <v>939</v>
      </c>
      <c r="D628" s="294" t="s">
        <v>1043</v>
      </c>
      <c r="E628" s="114"/>
      <c r="F628" s="100">
        <v>162694</v>
      </c>
      <c r="G628" s="18"/>
      <c r="H628" s="18"/>
      <c r="I628" s="18">
        <v>-23878</v>
      </c>
      <c r="J628" s="18"/>
      <c r="K628" s="18"/>
      <c r="L628" s="18">
        <v>32595</v>
      </c>
      <c r="M628" s="18"/>
      <c r="N628" s="18"/>
      <c r="O628" s="18"/>
      <c r="P628" s="18"/>
      <c r="Q628" s="17">
        <f t="shared" si="37"/>
        <v>8717</v>
      </c>
      <c r="R628" s="646" t="s">
        <v>1178</v>
      </c>
    </row>
    <row r="629" spans="1:18" ht="15.75" customHeight="1">
      <c r="A629" s="113"/>
      <c r="B629" s="113"/>
      <c r="C629" s="113" t="s">
        <v>351</v>
      </c>
      <c r="D629" s="294" t="s">
        <v>358</v>
      </c>
      <c r="E629" s="114"/>
      <c r="F629" s="544"/>
      <c r="G629" s="202"/>
      <c r="H629" s="202"/>
      <c r="I629" s="202"/>
      <c r="J629" s="202"/>
      <c r="K629" s="202"/>
      <c r="L629" s="202"/>
      <c r="M629" s="202"/>
      <c r="N629" s="202"/>
      <c r="O629" s="202"/>
      <c r="P629" s="202"/>
      <c r="Q629" s="643"/>
      <c r="R629" s="646"/>
    </row>
    <row r="630" spans="1:18" ht="15.75" customHeight="1" hidden="1">
      <c r="A630" s="113"/>
      <c r="B630" s="113"/>
      <c r="C630" s="113" t="s">
        <v>352</v>
      </c>
      <c r="D630" s="612" t="s">
        <v>881</v>
      </c>
      <c r="E630" s="114"/>
      <c r="F630" s="331">
        <v>162690</v>
      </c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7">
        <f aca="true" t="shared" si="38" ref="Q630:Q640">SUM(G630:P630)</f>
        <v>0</v>
      </c>
      <c r="R630" s="646"/>
    </row>
    <row r="631" spans="1:18" ht="15.75" customHeight="1">
      <c r="A631" s="113"/>
      <c r="B631" s="113"/>
      <c r="C631" s="113" t="s">
        <v>353</v>
      </c>
      <c r="D631" s="612" t="s">
        <v>877</v>
      </c>
      <c r="E631" s="114"/>
      <c r="F631" s="331">
        <v>162691</v>
      </c>
      <c r="G631" s="18"/>
      <c r="H631" s="18"/>
      <c r="I631" s="18"/>
      <c r="J631" s="18"/>
      <c r="K631" s="18"/>
      <c r="L631" s="18">
        <v>252</v>
      </c>
      <c r="M631" s="18"/>
      <c r="N631" s="18"/>
      <c r="O631" s="18"/>
      <c r="P631" s="18"/>
      <c r="Q631" s="17">
        <f t="shared" si="38"/>
        <v>252</v>
      </c>
      <c r="R631" s="646" t="s">
        <v>1178</v>
      </c>
    </row>
    <row r="632" spans="1:18" ht="15.75" customHeight="1">
      <c r="A632" s="113"/>
      <c r="B632" s="113"/>
      <c r="C632" s="113" t="s">
        <v>354</v>
      </c>
      <c r="D632" s="612" t="s">
        <v>878</v>
      </c>
      <c r="E632" s="114"/>
      <c r="F632" s="331">
        <v>162692</v>
      </c>
      <c r="G632" s="18"/>
      <c r="H632" s="18"/>
      <c r="I632" s="18"/>
      <c r="J632" s="18"/>
      <c r="K632" s="18"/>
      <c r="L632" s="18">
        <v>-174</v>
      </c>
      <c r="M632" s="18"/>
      <c r="N632" s="18"/>
      <c r="O632" s="18"/>
      <c r="P632" s="18"/>
      <c r="Q632" s="17">
        <f t="shared" si="38"/>
        <v>-174</v>
      </c>
      <c r="R632" s="646" t="s">
        <v>1178</v>
      </c>
    </row>
    <row r="633" spans="1:18" ht="15.75" customHeight="1">
      <c r="A633" s="113"/>
      <c r="B633" s="113"/>
      <c r="C633" s="113" t="s">
        <v>355</v>
      </c>
      <c r="D633" s="612" t="s">
        <v>879</v>
      </c>
      <c r="E633" s="114"/>
      <c r="F633" s="331">
        <v>162693</v>
      </c>
      <c r="G633" s="18"/>
      <c r="H633" s="18"/>
      <c r="I633" s="18"/>
      <c r="J633" s="18"/>
      <c r="K633" s="18"/>
      <c r="L633" s="18">
        <v>-609</v>
      </c>
      <c r="M633" s="18"/>
      <c r="N633" s="18"/>
      <c r="O633" s="18"/>
      <c r="P633" s="18"/>
      <c r="Q633" s="17">
        <f t="shared" si="38"/>
        <v>-609</v>
      </c>
      <c r="R633" s="646" t="s">
        <v>1178</v>
      </c>
    </row>
    <row r="634" spans="1:18" ht="27.75" customHeight="1" hidden="1">
      <c r="A634" s="113"/>
      <c r="B634" s="113"/>
      <c r="C634" s="113" t="s">
        <v>356</v>
      </c>
      <c r="D634" s="613" t="s">
        <v>880</v>
      </c>
      <c r="E634" s="114"/>
      <c r="F634" s="331">
        <v>162665</v>
      </c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7">
        <f t="shared" si="38"/>
        <v>0</v>
      </c>
      <c r="R634" s="646"/>
    </row>
    <row r="635" spans="1:18" ht="27.75" customHeight="1" hidden="1">
      <c r="A635" s="113"/>
      <c r="B635" s="113"/>
      <c r="C635" s="113" t="s">
        <v>952</v>
      </c>
      <c r="D635" s="193" t="s">
        <v>953</v>
      </c>
      <c r="E635" s="15"/>
      <c r="F635" s="100">
        <v>161907</v>
      </c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7">
        <f t="shared" si="38"/>
        <v>0</v>
      </c>
      <c r="R635" s="646"/>
    </row>
    <row r="636" spans="1:18" ht="24" customHeight="1" hidden="1">
      <c r="A636" s="113"/>
      <c r="B636" s="113"/>
      <c r="C636" s="100" t="s">
        <v>319</v>
      </c>
      <c r="D636" s="193" t="s">
        <v>320</v>
      </c>
      <c r="E636" s="15"/>
      <c r="F636" s="100">
        <v>162695</v>
      </c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7">
        <f t="shared" si="38"/>
        <v>0</v>
      </c>
      <c r="R636" s="646"/>
    </row>
    <row r="637" spans="1:18" ht="17.25" customHeight="1">
      <c r="A637" s="113"/>
      <c r="B637" s="113"/>
      <c r="C637" s="100" t="s">
        <v>215</v>
      </c>
      <c r="D637" s="710" t="s">
        <v>216</v>
      </c>
      <c r="E637" s="15"/>
      <c r="F637" s="100">
        <v>162696</v>
      </c>
      <c r="G637" s="18"/>
      <c r="H637" s="18"/>
      <c r="I637" s="18">
        <v>-545</v>
      </c>
      <c r="J637" s="18"/>
      <c r="K637" s="18"/>
      <c r="L637" s="18"/>
      <c r="M637" s="18">
        <v>545</v>
      </c>
      <c r="N637" s="18"/>
      <c r="O637" s="18"/>
      <c r="P637" s="18"/>
      <c r="Q637" s="17">
        <f t="shared" si="38"/>
        <v>0</v>
      </c>
      <c r="R637" s="646" t="s">
        <v>1178</v>
      </c>
    </row>
    <row r="638" spans="1:18" ht="15" customHeight="1" hidden="1">
      <c r="A638" s="113"/>
      <c r="B638" s="113"/>
      <c r="C638" s="100" t="s">
        <v>1418</v>
      </c>
      <c r="D638" s="715" t="s">
        <v>1416</v>
      </c>
      <c r="E638" s="102"/>
      <c r="F638" s="328">
        <v>162698</v>
      </c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7">
        <f t="shared" si="38"/>
        <v>0</v>
      </c>
      <c r="R638" s="646"/>
    </row>
    <row r="639" spans="1:18" ht="27" customHeight="1">
      <c r="A639" s="113"/>
      <c r="B639" s="113"/>
      <c r="C639" s="100" t="s">
        <v>1451</v>
      </c>
      <c r="D639" s="731" t="s">
        <v>45</v>
      </c>
      <c r="E639" s="102"/>
      <c r="F639" s="100">
        <v>163621</v>
      </c>
      <c r="G639" s="18"/>
      <c r="H639" s="18"/>
      <c r="I639" s="18">
        <v>2032</v>
      </c>
      <c r="J639" s="18"/>
      <c r="K639" s="18"/>
      <c r="L639" s="18"/>
      <c r="M639" s="18"/>
      <c r="N639" s="18"/>
      <c r="O639" s="18"/>
      <c r="P639" s="18"/>
      <c r="Q639" s="17">
        <f t="shared" si="38"/>
        <v>2032</v>
      </c>
      <c r="R639" s="646" t="s">
        <v>1178</v>
      </c>
    </row>
    <row r="640" spans="1:18" ht="15" customHeight="1">
      <c r="A640" s="113"/>
      <c r="B640" s="113"/>
      <c r="C640" s="100" t="s">
        <v>1452</v>
      </c>
      <c r="D640" s="729" t="s">
        <v>1262</v>
      </c>
      <c r="E640" s="102"/>
      <c r="F640" s="328">
        <v>162687</v>
      </c>
      <c r="G640" s="18"/>
      <c r="H640" s="18"/>
      <c r="I640" s="18"/>
      <c r="J640" s="18"/>
      <c r="K640" s="18"/>
      <c r="L640" s="18">
        <v>105410</v>
      </c>
      <c r="M640" s="18"/>
      <c r="N640" s="18"/>
      <c r="O640" s="18"/>
      <c r="P640" s="18"/>
      <c r="Q640" s="17">
        <f t="shared" si="38"/>
        <v>105410</v>
      </c>
      <c r="R640" s="646" t="s">
        <v>1178</v>
      </c>
    </row>
    <row r="641" spans="1:18" ht="15.75" customHeight="1" hidden="1">
      <c r="A641" s="113"/>
      <c r="B641" s="113"/>
      <c r="C641" s="113"/>
      <c r="D641" s="453" t="s">
        <v>421</v>
      </c>
      <c r="E641" s="114"/>
      <c r="F641" s="331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7"/>
      <c r="R641" s="646"/>
    </row>
    <row r="642" spans="1:18" ht="27.75" customHeight="1" hidden="1">
      <c r="A642" s="113"/>
      <c r="B642" s="113"/>
      <c r="C642" s="113" t="s">
        <v>357</v>
      </c>
      <c r="D642" s="294" t="s">
        <v>1405</v>
      </c>
      <c r="E642" s="114"/>
      <c r="F642" s="113">
        <v>162684</v>
      </c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7">
        <f>SUM(G642:P642)</f>
        <v>0</v>
      </c>
      <c r="R642" s="646" t="s">
        <v>1178</v>
      </c>
    </row>
    <row r="643" spans="1:18" ht="12.75" customHeight="1">
      <c r="A643" s="104"/>
      <c r="B643" s="104"/>
      <c r="C643" s="245"/>
      <c r="D643" s="106" t="s">
        <v>290</v>
      </c>
      <c r="E643" s="107"/>
      <c r="F643" s="532"/>
      <c r="G643" s="111">
        <f aca="true" t="shared" si="39" ref="G643:Q643">SUM(G524:G642)</f>
        <v>11391</v>
      </c>
      <c r="H643" s="111">
        <f t="shared" si="39"/>
        <v>3073</v>
      </c>
      <c r="I643" s="111">
        <f t="shared" si="39"/>
        <v>9411</v>
      </c>
      <c r="J643" s="111">
        <f t="shared" si="39"/>
        <v>0</v>
      </c>
      <c r="K643" s="111">
        <f t="shared" si="39"/>
        <v>0</v>
      </c>
      <c r="L643" s="111">
        <f t="shared" si="39"/>
        <v>4416954</v>
      </c>
      <c r="M643" s="111">
        <f t="shared" si="39"/>
        <v>970467</v>
      </c>
      <c r="N643" s="111">
        <f t="shared" si="39"/>
        <v>0</v>
      </c>
      <c r="O643" s="111">
        <f t="shared" si="39"/>
        <v>0</v>
      </c>
      <c r="P643" s="111">
        <f t="shared" si="39"/>
        <v>0</v>
      </c>
      <c r="Q643" s="106">
        <f t="shared" si="39"/>
        <v>5411296</v>
      </c>
      <c r="R643" s="646"/>
    </row>
    <row r="644" spans="1:18" ht="13.5" customHeight="1">
      <c r="A644" s="113">
        <v>1</v>
      </c>
      <c r="B644" s="113">
        <v>17</v>
      </c>
      <c r="C644" s="248"/>
      <c r="D644" s="21" t="s">
        <v>291</v>
      </c>
      <c r="E644" s="114"/>
      <c r="F644" s="331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7"/>
      <c r="R644" s="646"/>
    </row>
    <row r="645" spans="1:18" ht="13.5" customHeight="1">
      <c r="A645" s="113"/>
      <c r="B645" s="113"/>
      <c r="C645" s="248"/>
      <c r="D645" s="236" t="s">
        <v>117</v>
      </c>
      <c r="E645" s="161"/>
      <c r="F645" s="54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7"/>
      <c r="R645" s="646"/>
    </row>
    <row r="646" spans="1:18" ht="13.5" customHeight="1" hidden="1">
      <c r="A646" s="113"/>
      <c r="B646" s="113"/>
      <c r="C646" s="248"/>
      <c r="D646" s="16" t="s">
        <v>943</v>
      </c>
      <c r="E646" s="15">
        <v>1</v>
      </c>
      <c r="F646" s="100">
        <v>171905</v>
      </c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7">
        <f aca="true" t="shared" si="40" ref="Q646:Q658">SUM(G646:P646)</f>
        <v>0</v>
      </c>
      <c r="R646" s="646"/>
    </row>
    <row r="647" spans="1:18" ht="13.5" customHeight="1" hidden="1">
      <c r="A647" s="113"/>
      <c r="B647" s="113"/>
      <c r="C647" s="248"/>
      <c r="D647" s="16" t="s">
        <v>292</v>
      </c>
      <c r="E647" s="15">
        <v>1</v>
      </c>
      <c r="F647" s="100">
        <v>171903</v>
      </c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7">
        <f t="shared" si="40"/>
        <v>0</v>
      </c>
      <c r="R647" s="646"/>
    </row>
    <row r="648" spans="1:18" ht="13.5" customHeight="1" hidden="1">
      <c r="A648" s="113"/>
      <c r="B648" s="113"/>
      <c r="C648" s="248"/>
      <c r="D648" s="16" t="s">
        <v>170</v>
      </c>
      <c r="E648" s="311">
        <v>1</v>
      </c>
      <c r="F648" s="100">
        <v>171920</v>
      </c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7">
        <f t="shared" si="40"/>
        <v>0</v>
      </c>
      <c r="R648" s="646"/>
    </row>
    <row r="649" spans="1:18" ht="13.5" customHeight="1" hidden="1">
      <c r="A649" s="113"/>
      <c r="B649" s="113"/>
      <c r="C649" s="248"/>
      <c r="D649" s="206" t="s">
        <v>896</v>
      </c>
      <c r="E649" s="179">
        <v>1</v>
      </c>
      <c r="F649" s="172">
        <v>171940</v>
      </c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7">
        <f t="shared" si="40"/>
        <v>0</v>
      </c>
      <c r="R649" s="646"/>
    </row>
    <row r="650" spans="1:18" ht="13.5" customHeight="1">
      <c r="A650" s="113"/>
      <c r="B650" s="113"/>
      <c r="C650" s="248"/>
      <c r="D650" s="206" t="s">
        <v>39</v>
      </c>
      <c r="E650" s="179">
        <v>1</v>
      </c>
      <c r="F650" s="172">
        <v>171956</v>
      </c>
      <c r="G650" s="15"/>
      <c r="H650" s="15"/>
      <c r="I650" s="15">
        <v>1360</v>
      </c>
      <c r="J650" s="15"/>
      <c r="K650" s="15"/>
      <c r="L650" s="15"/>
      <c r="M650" s="15"/>
      <c r="N650" s="15"/>
      <c r="O650" s="15"/>
      <c r="P650" s="15"/>
      <c r="Q650" s="17">
        <f t="shared" si="40"/>
        <v>1360</v>
      </c>
      <c r="R650" s="646" t="s">
        <v>1180</v>
      </c>
    </row>
    <row r="651" spans="1:18" ht="13.5" customHeight="1" hidden="1">
      <c r="A651" s="113"/>
      <c r="B651" s="113"/>
      <c r="C651" s="248"/>
      <c r="D651" s="206" t="s">
        <v>40</v>
      </c>
      <c r="E651" s="179">
        <v>1</v>
      </c>
      <c r="F651" s="172">
        <v>171958</v>
      </c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7">
        <f t="shared" si="40"/>
        <v>0</v>
      </c>
      <c r="R651" s="646"/>
    </row>
    <row r="652" spans="1:18" ht="24.75" customHeight="1">
      <c r="A652" s="113"/>
      <c r="B652" s="113"/>
      <c r="C652" s="248"/>
      <c r="D652" s="206" t="s">
        <v>41</v>
      </c>
      <c r="E652" s="179">
        <v>1</v>
      </c>
      <c r="F652" s="172">
        <v>171959</v>
      </c>
      <c r="G652" s="15"/>
      <c r="H652" s="15"/>
      <c r="I652" s="15">
        <v>-500</v>
      </c>
      <c r="J652" s="15"/>
      <c r="K652" s="15"/>
      <c r="L652" s="15"/>
      <c r="M652" s="15"/>
      <c r="N652" s="15"/>
      <c r="O652" s="15"/>
      <c r="P652" s="15"/>
      <c r="Q652" s="17">
        <f t="shared" si="40"/>
        <v>-500</v>
      </c>
      <c r="R652" s="646" t="s">
        <v>1180</v>
      </c>
    </row>
    <row r="653" spans="1:18" ht="15" customHeight="1">
      <c r="A653" s="113"/>
      <c r="B653" s="113"/>
      <c r="C653" s="248"/>
      <c r="D653" s="206" t="s">
        <v>46</v>
      </c>
      <c r="E653" s="179">
        <v>1</v>
      </c>
      <c r="F653" s="172">
        <v>171904</v>
      </c>
      <c r="G653" s="15"/>
      <c r="H653" s="15"/>
      <c r="I653" s="15">
        <v>2000</v>
      </c>
      <c r="J653" s="15"/>
      <c r="K653" s="15"/>
      <c r="L653" s="15"/>
      <c r="M653" s="15"/>
      <c r="N653" s="15"/>
      <c r="O653" s="15"/>
      <c r="P653" s="15"/>
      <c r="Q653" s="17">
        <f t="shared" si="40"/>
        <v>2000</v>
      </c>
      <c r="R653" s="646" t="s">
        <v>1178</v>
      </c>
    </row>
    <row r="654" spans="1:18" ht="13.5" customHeight="1" hidden="1">
      <c r="A654" s="113"/>
      <c r="B654" s="113"/>
      <c r="C654" s="248"/>
      <c r="D654" s="16" t="s">
        <v>1296</v>
      </c>
      <c r="E654" s="15">
        <v>1</v>
      </c>
      <c r="F654" s="100">
        <v>171902</v>
      </c>
      <c r="G654" s="15"/>
      <c r="H654" s="15"/>
      <c r="I654" s="15"/>
      <c r="J654" s="155"/>
      <c r="K654" s="155"/>
      <c r="L654" s="15"/>
      <c r="M654" s="15"/>
      <c r="N654" s="15"/>
      <c r="O654" s="15"/>
      <c r="P654" s="15"/>
      <c r="Q654" s="17">
        <f t="shared" si="40"/>
        <v>0</v>
      </c>
      <c r="R654" s="646"/>
    </row>
    <row r="655" spans="1:18" ht="13.5" customHeight="1" hidden="1">
      <c r="A655" s="113"/>
      <c r="B655" s="113"/>
      <c r="C655" s="248"/>
      <c r="D655" s="16" t="s">
        <v>38</v>
      </c>
      <c r="E655" s="15">
        <v>1</v>
      </c>
      <c r="F655" s="100">
        <v>171925</v>
      </c>
      <c r="G655" s="15"/>
      <c r="H655" s="15"/>
      <c r="I655" s="15"/>
      <c r="J655" s="155"/>
      <c r="K655" s="155"/>
      <c r="L655" s="15"/>
      <c r="M655" s="15"/>
      <c r="N655" s="15"/>
      <c r="O655" s="15"/>
      <c r="P655" s="15"/>
      <c r="Q655" s="17">
        <f t="shared" si="40"/>
        <v>0</v>
      </c>
      <c r="R655" s="646"/>
    </row>
    <row r="656" spans="1:18" ht="13.5" customHeight="1" hidden="1">
      <c r="A656" s="113"/>
      <c r="B656" s="113"/>
      <c r="C656" s="248"/>
      <c r="D656" s="320" t="s">
        <v>408</v>
      </c>
      <c r="E656" s="15">
        <v>1</v>
      </c>
      <c r="F656" s="100">
        <v>171968</v>
      </c>
      <c r="G656" s="15"/>
      <c r="H656" s="15"/>
      <c r="I656" s="15"/>
      <c r="J656" s="155"/>
      <c r="K656" s="155"/>
      <c r="L656" s="15"/>
      <c r="M656" s="15"/>
      <c r="N656" s="15"/>
      <c r="O656" s="15"/>
      <c r="P656" s="15"/>
      <c r="Q656" s="17">
        <f t="shared" si="40"/>
        <v>0</v>
      </c>
      <c r="R656" s="646"/>
    </row>
    <row r="657" spans="1:18" ht="13.5" customHeight="1" hidden="1">
      <c r="A657" s="113"/>
      <c r="B657" s="113"/>
      <c r="C657" s="248"/>
      <c r="D657" s="320" t="s">
        <v>409</v>
      </c>
      <c r="E657" s="15">
        <v>1</v>
      </c>
      <c r="F657" s="100">
        <v>171928</v>
      </c>
      <c r="G657" s="15"/>
      <c r="H657" s="15"/>
      <c r="I657" s="15"/>
      <c r="J657" s="155"/>
      <c r="K657" s="15"/>
      <c r="L657" s="15"/>
      <c r="M657" s="15"/>
      <c r="N657" s="15"/>
      <c r="O657" s="15"/>
      <c r="P657" s="15"/>
      <c r="Q657" s="17">
        <f t="shared" si="40"/>
        <v>0</v>
      </c>
      <c r="R657" s="646"/>
    </row>
    <row r="658" spans="1:18" ht="15.75" customHeight="1" hidden="1">
      <c r="A658" s="113"/>
      <c r="B658" s="113"/>
      <c r="C658" s="248"/>
      <c r="D658" s="49" t="s">
        <v>334</v>
      </c>
      <c r="E658" s="15">
        <v>1</v>
      </c>
      <c r="F658" s="100">
        <v>171954</v>
      </c>
      <c r="G658" s="15"/>
      <c r="H658" s="15"/>
      <c r="I658" s="15"/>
      <c r="J658" s="155"/>
      <c r="K658" s="15"/>
      <c r="L658" s="15"/>
      <c r="M658" s="15"/>
      <c r="N658" s="15"/>
      <c r="O658" s="15"/>
      <c r="P658" s="15"/>
      <c r="Q658" s="17">
        <f t="shared" si="40"/>
        <v>0</v>
      </c>
      <c r="R658" s="646"/>
    </row>
    <row r="659" spans="1:18" ht="13.5" customHeight="1">
      <c r="A659" s="104"/>
      <c r="B659" s="104"/>
      <c r="C659" s="245"/>
      <c r="D659" s="106" t="s">
        <v>434</v>
      </c>
      <c r="E659" s="107"/>
      <c r="F659" s="532"/>
      <c r="G659" s="111">
        <f aca="true" t="shared" si="41" ref="G659:Q659">SUM(G645:G658)</f>
        <v>0</v>
      </c>
      <c r="H659" s="111">
        <f t="shared" si="41"/>
        <v>0</v>
      </c>
      <c r="I659" s="111">
        <f t="shared" si="41"/>
        <v>2860</v>
      </c>
      <c r="J659" s="111">
        <f t="shared" si="41"/>
        <v>0</v>
      </c>
      <c r="K659" s="111">
        <f t="shared" si="41"/>
        <v>0</v>
      </c>
      <c r="L659" s="111">
        <f t="shared" si="41"/>
        <v>0</v>
      </c>
      <c r="M659" s="111">
        <f t="shared" si="41"/>
        <v>0</v>
      </c>
      <c r="N659" s="111">
        <f t="shared" si="41"/>
        <v>0</v>
      </c>
      <c r="O659" s="111">
        <f t="shared" si="41"/>
        <v>0</v>
      </c>
      <c r="P659" s="111">
        <f t="shared" si="41"/>
        <v>0</v>
      </c>
      <c r="Q659" s="111">
        <f t="shared" si="41"/>
        <v>2860</v>
      </c>
      <c r="R659" s="646"/>
    </row>
    <row r="660" spans="1:18" ht="13.5" customHeight="1">
      <c r="A660" s="112"/>
      <c r="B660" s="112"/>
      <c r="C660" s="247"/>
      <c r="D660" s="157" t="s">
        <v>496</v>
      </c>
      <c r="E660" s="109"/>
      <c r="F660" s="539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228"/>
      <c r="R660" s="646"/>
    </row>
    <row r="661" spans="1:18" ht="27.75" customHeight="1">
      <c r="A661" s="112"/>
      <c r="B661" s="112"/>
      <c r="C661" s="244" t="s">
        <v>1328</v>
      </c>
      <c r="D661" s="562" t="s">
        <v>497</v>
      </c>
      <c r="E661" s="529"/>
      <c r="F661" s="546">
        <v>171980</v>
      </c>
      <c r="G661" s="122"/>
      <c r="H661" s="122"/>
      <c r="I661" s="122"/>
      <c r="J661" s="122"/>
      <c r="K661" s="122"/>
      <c r="L661" s="123"/>
      <c r="M661" s="123"/>
      <c r="N661" s="123">
        <v>36</v>
      </c>
      <c r="O661" s="123"/>
      <c r="P661" s="122"/>
      <c r="Q661" s="124">
        <f aca="true" t="shared" si="42" ref="Q661:Q673">SUM(G661:P661)</f>
        <v>36</v>
      </c>
      <c r="R661" s="646" t="s">
        <v>1178</v>
      </c>
    </row>
    <row r="662" spans="1:18" ht="27.75" customHeight="1" hidden="1">
      <c r="A662" s="112"/>
      <c r="B662" s="112"/>
      <c r="C662" s="244" t="s">
        <v>1331</v>
      </c>
      <c r="D662" s="428" t="s">
        <v>637</v>
      </c>
      <c r="E662" s="529"/>
      <c r="F662" s="546">
        <v>171969</v>
      </c>
      <c r="G662" s="122"/>
      <c r="H662" s="122"/>
      <c r="I662" s="122"/>
      <c r="J662" s="122"/>
      <c r="K662" s="122"/>
      <c r="L662" s="123"/>
      <c r="M662" s="123"/>
      <c r="N662" s="123"/>
      <c r="O662" s="123"/>
      <c r="P662" s="122"/>
      <c r="Q662" s="124">
        <f t="shared" si="42"/>
        <v>0</v>
      </c>
      <c r="R662" s="646"/>
    </row>
    <row r="663" spans="1:18" ht="27.75" customHeight="1">
      <c r="A663" s="112"/>
      <c r="B663" s="112"/>
      <c r="C663" s="244" t="s">
        <v>1332</v>
      </c>
      <c r="D663" s="563" t="s">
        <v>348</v>
      </c>
      <c r="E663" s="529"/>
      <c r="F663" s="546">
        <v>171970</v>
      </c>
      <c r="G663" s="122"/>
      <c r="H663" s="122"/>
      <c r="I663" s="122"/>
      <c r="J663" s="122"/>
      <c r="K663" s="122"/>
      <c r="L663" s="123">
        <v>100000</v>
      </c>
      <c r="M663" s="123"/>
      <c r="N663" s="123"/>
      <c r="O663" s="123"/>
      <c r="P663" s="122"/>
      <c r="Q663" s="124">
        <f t="shared" si="42"/>
        <v>100000</v>
      </c>
      <c r="R663" s="646" t="s">
        <v>1178</v>
      </c>
    </row>
    <row r="664" spans="1:18" ht="18.75" customHeight="1" hidden="1">
      <c r="A664" s="112"/>
      <c r="B664" s="112"/>
      <c r="C664" s="100" t="s">
        <v>1208</v>
      </c>
      <c r="D664" s="684" t="s">
        <v>244</v>
      </c>
      <c r="E664" s="684"/>
      <c r="F664" s="546">
        <v>172901</v>
      </c>
      <c r="G664" s="122"/>
      <c r="H664" s="122"/>
      <c r="I664" s="122"/>
      <c r="J664" s="122"/>
      <c r="K664" s="122"/>
      <c r="L664" s="123"/>
      <c r="M664" s="123"/>
      <c r="N664" s="123"/>
      <c r="O664" s="123"/>
      <c r="P664" s="122"/>
      <c r="Q664" s="124">
        <f t="shared" si="42"/>
        <v>0</v>
      </c>
      <c r="R664" s="646"/>
    </row>
    <row r="665" spans="1:18" ht="27.75" customHeight="1" hidden="1">
      <c r="A665" s="112"/>
      <c r="B665" s="112"/>
      <c r="C665" s="100" t="s">
        <v>317</v>
      </c>
      <c r="D665" s="684" t="s">
        <v>318</v>
      </c>
      <c r="E665" s="684"/>
      <c r="F665" s="546">
        <v>172908</v>
      </c>
      <c r="G665" s="122"/>
      <c r="H665" s="122"/>
      <c r="I665" s="122"/>
      <c r="J665" s="122"/>
      <c r="K665" s="122"/>
      <c r="L665" s="123"/>
      <c r="M665" s="123"/>
      <c r="N665" s="123"/>
      <c r="O665" s="123"/>
      <c r="P665" s="122"/>
      <c r="Q665" s="124">
        <f t="shared" si="42"/>
        <v>0</v>
      </c>
      <c r="R665" s="646"/>
    </row>
    <row r="666" spans="1:18" ht="27.75" customHeight="1" hidden="1">
      <c r="A666" s="112"/>
      <c r="B666" s="112"/>
      <c r="C666" s="100" t="s">
        <v>663</v>
      </c>
      <c r="D666" s="702" t="s">
        <v>620</v>
      </c>
      <c r="E666" s="529"/>
      <c r="F666" s="730">
        <v>172909</v>
      </c>
      <c r="G666" s="122"/>
      <c r="H666" s="122"/>
      <c r="I666" s="122"/>
      <c r="J666" s="122"/>
      <c r="K666" s="122"/>
      <c r="L666" s="123"/>
      <c r="M666" s="123"/>
      <c r="N666" s="123"/>
      <c r="O666" s="123"/>
      <c r="P666" s="122"/>
      <c r="Q666" s="124">
        <f t="shared" si="42"/>
        <v>0</v>
      </c>
      <c r="R666" s="646" t="s">
        <v>1178</v>
      </c>
    </row>
    <row r="667" spans="1:18" ht="27.75" customHeight="1" hidden="1">
      <c r="A667" s="112"/>
      <c r="B667" s="112"/>
      <c r="C667" s="100" t="s">
        <v>1209</v>
      </c>
      <c r="D667" s="49" t="s">
        <v>217</v>
      </c>
      <c r="E667" s="102"/>
      <c r="F667" s="100">
        <v>174904</v>
      </c>
      <c r="G667" s="122"/>
      <c r="H667" s="122"/>
      <c r="I667" s="122"/>
      <c r="J667" s="122"/>
      <c r="K667" s="122"/>
      <c r="L667" s="123"/>
      <c r="M667" s="123"/>
      <c r="N667" s="123"/>
      <c r="O667" s="123"/>
      <c r="P667" s="122"/>
      <c r="Q667" s="124">
        <f t="shared" si="42"/>
        <v>0</v>
      </c>
      <c r="R667" s="646" t="s">
        <v>1178</v>
      </c>
    </row>
    <row r="668" spans="1:18" ht="27.75" customHeight="1" hidden="1">
      <c r="A668" s="112"/>
      <c r="B668" s="112"/>
      <c r="C668" s="100" t="s">
        <v>221</v>
      </c>
      <c r="D668" s="717" t="s">
        <v>1422</v>
      </c>
      <c r="E668" s="102"/>
      <c r="F668" s="328">
        <v>174909</v>
      </c>
      <c r="G668" s="122"/>
      <c r="H668" s="122"/>
      <c r="I668" s="122"/>
      <c r="J668" s="122"/>
      <c r="K668" s="122"/>
      <c r="L668" s="123"/>
      <c r="M668" s="123"/>
      <c r="N668" s="123"/>
      <c r="O668" s="123"/>
      <c r="P668" s="122"/>
      <c r="Q668" s="124">
        <f t="shared" si="42"/>
        <v>0</v>
      </c>
      <c r="R668" s="646" t="s">
        <v>1180</v>
      </c>
    </row>
    <row r="669" spans="1:18" ht="16.5" customHeight="1">
      <c r="A669" s="112"/>
      <c r="B669" s="112"/>
      <c r="C669" s="100" t="s">
        <v>1454</v>
      </c>
      <c r="D669" s="100" t="s">
        <v>1455</v>
      </c>
      <c r="E669" s="102"/>
      <c r="F669" s="100">
        <v>174906</v>
      </c>
      <c r="G669" s="122"/>
      <c r="H669" s="122"/>
      <c r="I669" s="123">
        <v>5171</v>
      </c>
      <c r="J669" s="122"/>
      <c r="K669" s="122"/>
      <c r="L669" s="123"/>
      <c r="M669" s="123"/>
      <c r="N669" s="123"/>
      <c r="O669" s="123"/>
      <c r="P669" s="122"/>
      <c r="Q669" s="124">
        <f t="shared" si="42"/>
        <v>5171</v>
      </c>
      <c r="R669" s="646" t="s">
        <v>1178</v>
      </c>
    </row>
    <row r="670" spans="1:18" ht="13.5" customHeight="1" hidden="1">
      <c r="A670" s="112"/>
      <c r="B670" s="112"/>
      <c r="C670" s="259"/>
      <c r="D670" s="260" t="s">
        <v>421</v>
      </c>
      <c r="E670" s="109"/>
      <c r="F670" s="539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24"/>
      <c r="R670" s="646"/>
    </row>
    <row r="671" spans="1:18" ht="13.5" customHeight="1" hidden="1">
      <c r="A671" s="112"/>
      <c r="B671" s="112"/>
      <c r="C671" s="259" t="s">
        <v>145</v>
      </c>
      <c r="D671" s="271" t="s">
        <v>31</v>
      </c>
      <c r="E671" s="109"/>
      <c r="F671" s="328">
        <v>172910</v>
      </c>
      <c r="G671" s="105"/>
      <c r="H671" s="105"/>
      <c r="I671" s="105"/>
      <c r="J671" s="105"/>
      <c r="K671" s="105"/>
      <c r="L671" s="15"/>
      <c r="M671" s="15"/>
      <c r="N671" s="15"/>
      <c r="O671" s="15"/>
      <c r="P671" s="15"/>
      <c r="Q671" s="124">
        <f t="shared" si="42"/>
        <v>0</v>
      </c>
      <c r="R671" s="646"/>
    </row>
    <row r="672" spans="1:18" ht="13.5" customHeight="1" hidden="1">
      <c r="A672" s="112"/>
      <c r="B672" s="112"/>
      <c r="C672" s="259" t="s">
        <v>106</v>
      </c>
      <c r="D672" s="212" t="s">
        <v>429</v>
      </c>
      <c r="E672" s="109"/>
      <c r="F672" s="328">
        <v>162652</v>
      </c>
      <c r="G672" s="105"/>
      <c r="H672" s="105"/>
      <c r="I672" s="105"/>
      <c r="J672" s="105"/>
      <c r="K672" s="105"/>
      <c r="L672" s="15"/>
      <c r="M672" s="15"/>
      <c r="N672" s="15"/>
      <c r="O672" s="15"/>
      <c r="P672" s="15"/>
      <c r="Q672" s="124">
        <f t="shared" si="42"/>
        <v>0</v>
      </c>
      <c r="R672" s="646"/>
    </row>
    <row r="673" spans="1:18" ht="13.5" customHeight="1" hidden="1">
      <c r="A673" s="112"/>
      <c r="B673" s="112"/>
      <c r="C673" s="259" t="s">
        <v>107</v>
      </c>
      <c r="D673" s="212" t="s">
        <v>1101</v>
      </c>
      <c r="E673" s="109"/>
      <c r="F673" s="328">
        <v>162603</v>
      </c>
      <c r="G673" s="105"/>
      <c r="H673" s="105"/>
      <c r="I673" s="105"/>
      <c r="J673" s="105"/>
      <c r="K673" s="105"/>
      <c r="L673" s="15"/>
      <c r="M673" s="15"/>
      <c r="N673" s="15"/>
      <c r="O673" s="15"/>
      <c r="P673" s="15"/>
      <c r="Q673" s="124">
        <f t="shared" si="42"/>
        <v>0</v>
      </c>
      <c r="R673" s="646" t="s">
        <v>1180</v>
      </c>
    </row>
    <row r="674" spans="1:18" ht="13.5" customHeight="1">
      <c r="A674" s="104"/>
      <c r="B674" s="104"/>
      <c r="C674" s="245"/>
      <c r="D674" s="106" t="s">
        <v>1052</v>
      </c>
      <c r="E674" s="107"/>
      <c r="F674" s="532"/>
      <c r="G674" s="111">
        <f aca="true" t="shared" si="43" ref="G674:Q674">SUM(G659:G673)</f>
        <v>0</v>
      </c>
      <c r="H674" s="111">
        <f t="shared" si="43"/>
        <v>0</v>
      </c>
      <c r="I674" s="111">
        <f t="shared" si="43"/>
        <v>8031</v>
      </c>
      <c r="J674" s="111">
        <f t="shared" si="43"/>
        <v>0</v>
      </c>
      <c r="K674" s="111">
        <f t="shared" si="43"/>
        <v>0</v>
      </c>
      <c r="L674" s="111">
        <f t="shared" si="43"/>
        <v>100000</v>
      </c>
      <c r="M674" s="111">
        <f t="shared" si="43"/>
        <v>0</v>
      </c>
      <c r="N674" s="111">
        <f t="shared" si="43"/>
        <v>36</v>
      </c>
      <c r="O674" s="111">
        <f t="shared" si="43"/>
        <v>0</v>
      </c>
      <c r="P674" s="111">
        <f t="shared" si="43"/>
        <v>0</v>
      </c>
      <c r="Q674" s="106">
        <f t="shared" si="43"/>
        <v>108067</v>
      </c>
      <c r="R674" s="646"/>
    </row>
    <row r="675" spans="1:18" ht="13.5" customHeight="1">
      <c r="A675" s="113">
        <v>1</v>
      </c>
      <c r="B675" s="113">
        <v>18</v>
      </c>
      <c r="C675" s="248"/>
      <c r="D675" s="21" t="s">
        <v>435</v>
      </c>
      <c r="E675" s="20"/>
      <c r="F675" s="547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7"/>
      <c r="R675" s="646"/>
    </row>
    <row r="676" spans="1:18" ht="13.5" customHeight="1">
      <c r="A676" s="113"/>
      <c r="B676" s="113"/>
      <c r="C676" s="248"/>
      <c r="D676" s="17" t="s">
        <v>117</v>
      </c>
      <c r="E676" s="158"/>
      <c r="F676" s="531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7"/>
      <c r="R676" s="646"/>
    </row>
    <row r="677" spans="1:18" ht="13.5" customHeight="1" hidden="1">
      <c r="A677" s="113"/>
      <c r="B677" s="113"/>
      <c r="C677" s="244"/>
      <c r="D677" s="17" t="s">
        <v>1044</v>
      </c>
      <c r="E677" s="15">
        <v>2</v>
      </c>
      <c r="F677" s="100">
        <v>181905</v>
      </c>
      <c r="G677" s="18"/>
      <c r="H677" s="18"/>
      <c r="I677" s="15"/>
      <c r="J677" s="18"/>
      <c r="K677" s="18"/>
      <c r="L677" s="18"/>
      <c r="M677" s="18"/>
      <c r="N677" s="18"/>
      <c r="O677" s="18"/>
      <c r="P677" s="18"/>
      <c r="Q677" s="17">
        <f>SUM(G677:P677)</f>
        <v>0</v>
      </c>
      <c r="R677" s="646" t="s">
        <v>1178</v>
      </c>
    </row>
    <row r="678" spans="1:18" ht="25.5" customHeight="1" hidden="1">
      <c r="A678" s="113"/>
      <c r="B678" s="113"/>
      <c r="C678" s="248"/>
      <c r="D678" s="224" t="s">
        <v>484</v>
      </c>
      <c r="E678" s="15">
        <v>1</v>
      </c>
      <c r="F678" s="100" t="s">
        <v>366</v>
      </c>
      <c r="G678" s="18"/>
      <c r="H678" s="18"/>
      <c r="I678" s="15"/>
      <c r="J678" s="18"/>
      <c r="K678" s="18"/>
      <c r="L678" s="18"/>
      <c r="M678" s="18"/>
      <c r="N678" s="18"/>
      <c r="O678" s="18"/>
      <c r="P678" s="18"/>
      <c r="Q678" s="17">
        <f>SUM(G678:P678)</f>
        <v>0</v>
      </c>
      <c r="R678" s="646" t="s">
        <v>1178</v>
      </c>
    </row>
    <row r="679" spans="1:18" ht="13.5" customHeight="1" hidden="1">
      <c r="A679" s="113"/>
      <c r="B679" s="113"/>
      <c r="C679" s="248"/>
      <c r="D679" s="16" t="s">
        <v>47</v>
      </c>
      <c r="E679" s="15">
        <v>1</v>
      </c>
      <c r="F679" s="100">
        <v>181906</v>
      </c>
      <c r="G679" s="18"/>
      <c r="H679" s="18"/>
      <c r="I679" s="15"/>
      <c r="J679" s="18"/>
      <c r="K679" s="18"/>
      <c r="L679" s="18"/>
      <c r="M679" s="18"/>
      <c r="N679" s="18"/>
      <c r="O679" s="18"/>
      <c r="P679" s="18"/>
      <c r="Q679" s="17">
        <f>SUM(G679:P679)</f>
        <v>0</v>
      </c>
      <c r="R679" s="646"/>
    </row>
    <row r="680" spans="1:18" ht="15" customHeight="1" hidden="1">
      <c r="A680" s="113"/>
      <c r="B680" s="113"/>
      <c r="C680" s="248"/>
      <c r="D680" s="235" t="s">
        <v>57</v>
      </c>
      <c r="E680" s="303"/>
      <c r="F680" s="534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7"/>
      <c r="R680" s="646"/>
    </row>
    <row r="681" spans="1:18" ht="24.75" customHeight="1" hidden="1">
      <c r="A681" s="113"/>
      <c r="B681" s="113"/>
      <c r="C681" s="248"/>
      <c r="D681" s="233" t="s">
        <v>437</v>
      </c>
      <c r="E681" s="302">
        <v>1</v>
      </c>
      <c r="F681" s="113">
        <v>181907</v>
      </c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7">
        <f>SUM(G681:P681)</f>
        <v>0</v>
      </c>
      <c r="R681" s="646" t="s">
        <v>1178</v>
      </c>
    </row>
    <row r="682" spans="1:18" ht="15.75" customHeight="1">
      <c r="A682" s="113"/>
      <c r="B682" s="113"/>
      <c r="C682" s="248"/>
      <c r="D682" s="17" t="s">
        <v>118</v>
      </c>
      <c r="E682" s="302"/>
      <c r="F682" s="522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7"/>
      <c r="R682" s="646"/>
    </row>
    <row r="683" spans="1:18" ht="15.75" customHeight="1" hidden="1">
      <c r="A683" s="113"/>
      <c r="B683" s="113"/>
      <c r="C683" s="248"/>
      <c r="D683" s="17" t="s">
        <v>818</v>
      </c>
      <c r="E683" s="302">
        <v>1</v>
      </c>
      <c r="F683" s="522">
        <v>181908</v>
      </c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7">
        <f>SUM(G683:P683)</f>
        <v>0</v>
      </c>
      <c r="R683" s="646"/>
    </row>
    <row r="684" spans="1:18" ht="12.75" customHeight="1">
      <c r="A684" s="113"/>
      <c r="B684" s="113"/>
      <c r="C684" s="248"/>
      <c r="D684" s="233" t="s">
        <v>905</v>
      </c>
      <c r="E684" s="302">
        <v>1</v>
      </c>
      <c r="F684" s="113">
        <v>181909</v>
      </c>
      <c r="G684" s="18"/>
      <c r="H684" s="18"/>
      <c r="I684" s="15">
        <v>-300</v>
      </c>
      <c r="J684" s="18"/>
      <c r="K684" s="18"/>
      <c r="L684" s="18"/>
      <c r="M684" s="18"/>
      <c r="N684" s="18">
        <v>300</v>
      </c>
      <c r="O684" s="18"/>
      <c r="P684" s="18"/>
      <c r="Q684" s="17">
        <f>SUM(G684:P684)</f>
        <v>0</v>
      </c>
      <c r="R684" s="646" t="s">
        <v>1180</v>
      </c>
    </row>
    <row r="685" spans="1:18" ht="22.5" customHeight="1" hidden="1">
      <c r="A685" s="113"/>
      <c r="B685" s="113"/>
      <c r="C685" s="248"/>
      <c r="D685" s="233" t="s">
        <v>801</v>
      </c>
      <c r="E685" s="303">
        <v>2</v>
      </c>
      <c r="F685" s="540">
        <v>191142</v>
      </c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7">
        <f>SUM(G685:P685)</f>
        <v>0</v>
      </c>
      <c r="R685" s="646"/>
    </row>
    <row r="686" spans="1:18" ht="23.25" customHeight="1" hidden="1">
      <c r="A686" s="113"/>
      <c r="B686" s="113"/>
      <c r="C686" s="248"/>
      <c r="D686" s="233" t="s">
        <v>802</v>
      </c>
      <c r="E686" s="303">
        <v>2</v>
      </c>
      <c r="F686" s="540">
        <v>191154</v>
      </c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7">
        <f>SUM(G686:P686)</f>
        <v>0</v>
      </c>
      <c r="R686" s="646"/>
    </row>
    <row r="687" spans="1:18" ht="23.25" customHeight="1" hidden="1">
      <c r="A687" s="113"/>
      <c r="B687" s="113"/>
      <c r="C687" s="248"/>
      <c r="D687" s="233" t="s">
        <v>1406</v>
      </c>
      <c r="E687" s="303">
        <v>2</v>
      </c>
      <c r="F687" s="534">
        <v>191145</v>
      </c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7">
        <f>SUM(G687:P687)</f>
        <v>0</v>
      </c>
      <c r="R687" s="646"/>
    </row>
    <row r="688" spans="1:18" ht="15" customHeight="1" hidden="1">
      <c r="A688" s="113"/>
      <c r="B688" s="113"/>
      <c r="C688" s="248"/>
      <c r="D688" s="233" t="s">
        <v>88</v>
      </c>
      <c r="E688" s="302"/>
      <c r="F688" s="522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7"/>
      <c r="R688" s="646"/>
    </row>
    <row r="689" spans="1:18" ht="15" customHeight="1" hidden="1">
      <c r="A689" s="113"/>
      <c r="B689" s="113"/>
      <c r="C689" s="248"/>
      <c r="D689" s="233" t="s">
        <v>250</v>
      </c>
      <c r="E689" s="302">
        <v>1</v>
      </c>
      <c r="F689" s="113">
        <v>181902</v>
      </c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7">
        <f>SUM(G689:P689)</f>
        <v>0</v>
      </c>
      <c r="R689" s="646"/>
    </row>
    <row r="690" spans="1:18" ht="15" customHeight="1" hidden="1">
      <c r="A690" s="113"/>
      <c r="B690" s="113"/>
      <c r="C690" s="248"/>
      <c r="D690" s="49" t="s">
        <v>335</v>
      </c>
      <c r="E690" s="311">
        <v>1</v>
      </c>
      <c r="F690" s="100">
        <v>181903</v>
      </c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7">
        <f>SUM(G690:P690)</f>
        <v>0</v>
      </c>
      <c r="R690" s="646"/>
    </row>
    <row r="691" spans="1:18" ht="13.5" customHeight="1" hidden="1">
      <c r="A691" s="127"/>
      <c r="B691" s="127"/>
      <c r="C691" s="127"/>
      <c r="D691" s="17" t="s">
        <v>1299</v>
      </c>
      <c r="E691" s="18">
        <v>1</v>
      </c>
      <c r="F691" s="113">
        <v>181904</v>
      </c>
      <c r="G691" s="476"/>
      <c r="H691" s="476"/>
      <c r="I691" s="477"/>
      <c r="J691" s="478"/>
      <c r="K691" s="478"/>
      <c r="L691" s="476"/>
      <c r="M691" s="476"/>
      <c r="N691" s="476"/>
      <c r="O691" s="476"/>
      <c r="P691" s="476"/>
      <c r="Q691" s="17">
        <f>SUM(G691:P691)</f>
        <v>0</v>
      </c>
      <c r="R691" s="646"/>
    </row>
    <row r="692" spans="1:18" ht="15" customHeight="1">
      <c r="A692" s="111"/>
      <c r="B692" s="111"/>
      <c r="C692" s="106"/>
      <c r="D692" s="106" t="s">
        <v>788</v>
      </c>
      <c r="E692" s="107"/>
      <c r="F692" s="532"/>
      <c r="G692" s="111"/>
      <c r="H692" s="111"/>
      <c r="I692" s="111">
        <f aca="true" t="shared" si="44" ref="I692:N692">SUM(I675:I691)</f>
        <v>-300</v>
      </c>
      <c r="J692" s="111">
        <f t="shared" si="44"/>
        <v>0</v>
      </c>
      <c r="K692" s="111">
        <f t="shared" si="44"/>
        <v>0</v>
      </c>
      <c r="L692" s="111">
        <f t="shared" si="44"/>
        <v>0</v>
      </c>
      <c r="M692" s="111">
        <f t="shared" si="44"/>
        <v>0</v>
      </c>
      <c r="N692" s="111">
        <f t="shared" si="44"/>
        <v>300</v>
      </c>
      <c r="O692" s="111"/>
      <c r="P692" s="111">
        <f>SUM(P675:P691)</f>
        <v>0</v>
      </c>
      <c r="Q692" s="106">
        <f>SUM(Q675:Q691)</f>
        <v>0</v>
      </c>
      <c r="R692" s="646"/>
    </row>
    <row r="693" spans="1:18" ht="15" customHeight="1">
      <c r="A693" s="105"/>
      <c r="B693" s="105"/>
      <c r="C693" s="228"/>
      <c r="D693" s="272" t="s">
        <v>498</v>
      </c>
      <c r="E693" s="109"/>
      <c r="F693" s="539"/>
      <c r="G693" s="105"/>
      <c r="H693" s="105"/>
      <c r="I693" s="105"/>
      <c r="J693" s="105"/>
      <c r="K693" s="105"/>
      <c r="L693" s="15"/>
      <c r="M693" s="15"/>
      <c r="N693" s="15"/>
      <c r="O693" s="15"/>
      <c r="P693" s="15"/>
      <c r="Q693" s="16"/>
      <c r="R693" s="646"/>
    </row>
    <row r="694" spans="1:18" ht="15" customHeight="1">
      <c r="A694" s="105"/>
      <c r="B694" s="105"/>
      <c r="C694" s="16" t="s">
        <v>1328</v>
      </c>
      <c r="D694" s="16" t="s">
        <v>635</v>
      </c>
      <c r="E694" s="109"/>
      <c r="F694" s="328">
        <v>182905</v>
      </c>
      <c r="G694" s="105"/>
      <c r="H694" s="105"/>
      <c r="I694" s="15"/>
      <c r="J694" s="105"/>
      <c r="K694" s="105"/>
      <c r="L694" s="15">
        <v>691</v>
      </c>
      <c r="M694" s="15">
        <v>-691</v>
      </c>
      <c r="N694" s="15"/>
      <c r="O694" s="15"/>
      <c r="P694" s="15"/>
      <c r="Q694" s="16">
        <f>SUM(G694:P694)</f>
        <v>0</v>
      </c>
      <c r="R694" s="646" t="s">
        <v>1180</v>
      </c>
    </row>
    <row r="695" spans="1:18" ht="15" customHeight="1" hidden="1">
      <c r="A695" s="105"/>
      <c r="B695" s="105"/>
      <c r="C695" s="16" t="s">
        <v>1331</v>
      </c>
      <c r="D695" s="589" t="s">
        <v>631</v>
      </c>
      <c r="E695" s="114"/>
      <c r="F695" s="331">
        <v>182906</v>
      </c>
      <c r="G695" s="18"/>
      <c r="H695" s="231"/>
      <c r="I695" s="18"/>
      <c r="J695" s="18"/>
      <c r="K695" s="18"/>
      <c r="L695" s="15"/>
      <c r="M695" s="15"/>
      <c r="N695" s="18"/>
      <c r="O695" s="18"/>
      <c r="P695" s="18"/>
      <c r="Q695" s="17">
        <f>SUM(G695:P695)</f>
        <v>0</v>
      </c>
      <c r="R695" s="646"/>
    </row>
    <row r="696" spans="1:18" ht="15" customHeight="1" hidden="1">
      <c r="A696" s="105"/>
      <c r="B696" s="105"/>
      <c r="C696" s="16"/>
      <c r="D696" s="16" t="s">
        <v>350</v>
      </c>
      <c r="E696" s="109"/>
      <c r="F696" s="539"/>
      <c r="G696" s="105"/>
      <c r="H696" s="105"/>
      <c r="I696" s="105"/>
      <c r="J696" s="105"/>
      <c r="K696" s="105"/>
      <c r="L696" s="15"/>
      <c r="M696" s="15"/>
      <c r="N696" s="15"/>
      <c r="O696" s="15"/>
      <c r="P696" s="15"/>
      <c r="Q696" s="16"/>
      <c r="R696" s="646"/>
    </row>
    <row r="697" spans="1:18" ht="15" customHeight="1" hidden="1">
      <c r="A697" s="105"/>
      <c r="B697" s="105"/>
      <c r="C697" s="16" t="s">
        <v>1060</v>
      </c>
      <c r="D697" s="595" t="s">
        <v>1261</v>
      </c>
      <c r="E697" s="109"/>
      <c r="F697" s="328">
        <v>182904</v>
      </c>
      <c r="G697" s="105"/>
      <c r="H697" s="105"/>
      <c r="I697" s="105"/>
      <c r="J697" s="105"/>
      <c r="K697" s="105"/>
      <c r="L697" s="15"/>
      <c r="M697" s="15"/>
      <c r="N697" s="15"/>
      <c r="O697" s="15"/>
      <c r="P697" s="15"/>
      <c r="Q697" s="16">
        <f>SUM(L697:P697)</f>
        <v>0</v>
      </c>
      <c r="R697" s="646"/>
    </row>
    <row r="698" spans="1:18" ht="15" customHeight="1">
      <c r="A698" s="111"/>
      <c r="B698" s="111"/>
      <c r="C698" s="106"/>
      <c r="D698" s="106" t="s">
        <v>252</v>
      </c>
      <c r="E698" s="107"/>
      <c r="F698" s="532"/>
      <c r="G698" s="111">
        <f aca="true" t="shared" si="45" ref="G698:Q698">SUM(G692:G697)</f>
        <v>0</v>
      </c>
      <c r="H698" s="111">
        <f t="shared" si="45"/>
        <v>0</v>
      </c>
      <c r="I698" s="111">
        <f t="shared" si="45"/>
        <v>-300</v>
      </c>
      <c r="J698" s="111">
        <f t="shared" si="45"/>
        <v>0</v>
      </c>
      <c r="K698" s="111">
        <f t="shared" si="45"/>
        <v>0</v>
      </c>
      <c r="L698" s="111">
        <f t="shared" si="45"/>
        <v>691</v>
      </c>
      <c r="M698" s="111">
        <f t="shared" si="45"/>
        <v>-691</v>
      </c>
      <c r="N698" s="111">
        <f t="shared" si="45"/>
        <v>300</v>
      </c>
      <c r="O698" s="111">
        <f t="shared" si="45"/>
        <v>0</v>
      </c>
      <c r="P698" s="111">
        <f t="shared" si="45"/>
        <v>0</v>
      </c>
      <c r="Q698" s="106">
        <f t="shared" si="45"/>
        <v>0</v>
      </c>
      <c r="R698" s="646"/>
    </row>
    <row r="699" spans="1:18" ht="17.25" customHeight="1">
      <c r="A699" s="113">
        <v>1</v>
      </c>
      <c r="B699" s="113">
        <v>19</v>
      </c>
      <c r="C699" s="248"/>
      <c r="D699" s="21" t="s">
        <v>253</v>
      </c>
      <c r="E699" s="114"/>
      <c r="F699" s="331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7"/>
      <c r="R699" s="646"/>
    </row>
    <row r="700" spans="1:18" ht="15" customHeight="1">
      <c r="A700" s="113"/>
      <c r="B700" s="113"/>
      <c r="C700" s="248"/>
      <c r="D700" s="115" t="s">
        <v>89</v>
      </c>
      <c r="E700" s="158"/>
      <c r="F700" s="531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7"/>
      <c r="R700" s="646"/>
    </row>
    <row r="701" spans="1:18" ht="15" customHeight="1">
      <c r="A701" s="113"/>
      <c r="B701" s="113"/>
      <c r="C701" s="248"/>
      <c r="D701" s="17" t="s">
        <v>34</v>
      </c>
      <c r="E701" s="302">
        <v>1</v>
      </c>
      <c r="F701" s="113">
        <v>191101</v>
      </c>
      <c r="G701" s="18"/>
      <c r="H701" s="18"/>
      <c r="I701" s="18">
        <v>-28</v>
      </c>
      <c r="J701" s="18"/>
      <c r="K701" s="18">
        <v>28</v>
      </c>
      <c r="L701" s="18"/>
      <c r="M701" s="18"/>
      <c r="N701" s="18"/>
      <c r="O701" s="18"/>
      <c r="P701" s="18"/>
      <c r="Q701" s="17">
        <f>SUM(G701:P701)</f>
        <v>0</v>
      </c>
      <c r="R701" s="646" t="s">
        <v>1178</v>
      </c>
    </row>
    <row r="702" spans="1:18" ht="15" customHeight="1" hidden="1">
      <c r="A702" s="113"/>
      <c r="B702" s="113"/>
      <c r="C702" s="248"/>
      <c r="D702" s="17" t="s">
        <v>1045</v>
      </c>
      <c r="E702" s="302">
        <v>1</v>
      </c>
      <c r="F702" s="113">
        <v>191901</v>
      </c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7">
        <f>SUM(G702:P702)</f>
        <v>0</v>
      </c>
      <c r="R702" s="646"/>
    </row>
    <row r="703" spans="1:18" ht="15" customHeight="1" hidden="1">
      <c r="A703" s="113"/>
      <c r="B703" s="113"/>
      <c r="C703" s="248"/>
      <c r="D703" s="235" t="s">
        <v>57</v>
      </c>
      <c r="E703" s="303"/>
      <c r="F703" s="534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7"/>
      <c r="R703" s="646"/>
    </row>
    <row r="704" spans="1:18" ht="15" customHeight="1" hidden="1">
      <c r="A704" s="113"/>
      <c r="B704" s="113"/>
      <c r="C704" s="248"/>
      <c r="D704" s="17" t="s">
        <v>254</v>
      </c>
      <c r="E704" s="302">
        <v>1</v>
      </c>
      <c r="F704" s="113">
        <v>191102</v>
      </c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7">
        <f>SUM(G704:P704)</f>
        <v>0</v>
      </c>
      <c r="R704" s="646"/>
    </row>
    <row r="705" spans="1:18" ht="15" customHeight="1" hidden="1">
      <c r="A705" s="113"/>
      <c r="B705" s="113"/>
      <c r="C705" s="248"/>
      <c r="D705" s="17" t="s">
        <v>255</v>
      </c>
      <c r="E705" s="18">
        <v>1</v>
      </c>
      <c r="F705" s="113">
        <v>191103</v>
      </c>
      <c r="G705" s="18"/>
      <c r="H705" s="18"/>
      <c r="I705" s="15"/>
      <c r="J705" s="15"/>
      <c r="K705" s="15"/>
      <c r="L705" s="18"/>
      <c r="M705" s="18"/>
      <c r="N705" s="18"/>
      <c r="O705" s="18"/>
      <c r="P705" s="18"/>
      <c r="Q705" s="17">
        <f>SUM(G705:P705)</f>
        <v>0</v>
      </c>
      <c r="R705" s="646" t="s">
        <v>1178</v>
      </c>
    </row>
    <row r="706" spans="1:18" ht="15" customHeight="1" hidden="1">
      <c r="A706" s="113"/>
      <c r="B706" s="113"/>
      <c r="C706" s="248"/>
      <c r="D706" s="17" t="s">
        <v>257</v>
      </c>
      <c r="E706" s="18">
        <v>1</v>
      </c>
      <c r="F706" s="113">
        <v>191105</v>
      </c>
      <c r="G706" s="18"/>
      <c r="H706" s="18"/>
      <c r="I706" s="15"/>
      <c r="J706" s="18"/>
      <c r="K706" s="18"/>
      <c r="L706" s="18"/>
      <c r="M706" s="18"/>
      <c r="N706" s="18"/>
      <c r="O706" s="18"/>
      <c r="P706" s="18"/>
      <c r="Q706" s="17">
        <f>SUM(G706:P706)</f>
        <v>0</v>
      </c>
      <c r="R706" s="646"/>
    </row>
    <row r="707" spans="1:18" ht="15" customHeight="1" hidden="1">
      <c r="A707" s="113"/>
      <c r="B707" s="113"/>
      <c r="C707" s="248"/>
      <c r="D707" s="17" t="s">
        <v>906</v>
      </c>
      <c r="E707" s="18">
        <v>1</v>
      </c>
      <c r="F707" s="113">
        <v>196901</v>
      </c>
      <c r="G707" s="18"/>
      <c r="H707" s="18"/>
      <c r="I707" s="15"/>
      <c r="J707" s="18"/>
      <c r="K707" s="18"/>
      <c r="L707" s="18"/>
      <c r="M707" s="18"/>
      <c r="N707" s="18"/>
      <c r="O707" s="18"/>
      <c r="P707" s="18"/>
      <c r="Q707" s="17">
        <f>SUM(G707:P707)</f>
        <v>0</v>
      </c>
      <c r="R707" s="646"/>
    </row>
    <row r="708" spans="1:18" ht="15" customHeight="1" hidden="1">
      <c r="A708" s="113"/>
      <c r="B708" s="113"/>
      <c r="C708" s="248"/>
      <c r="D708" s="17" t="s">
        <v>117</v>
      </c>
      <c r="E708" s="18"/>
      <c r="F708" s="113"/>
      <c r="G708" s="18"/>
      <c r="H708" s="18"/>
      <c r="I708" s="15"/>
      <c r="J708" s="18"/>
      <c r="K708" s="18"/>
      <c r="L708" s="18"/>
      <c r="M708" s="18"/>
      <c r="N708" s="18"/>
      <c r="O708" s="18"/>
      <c r="P708" s="18"/>
      <c r="Q708" s="17"/>
      <c r="R708" s="646"/>
    </row>
    <row r="709" spans="1:18" ht="15" customHeight="1" hidden="1">
      <c r="A709" s="113"/>
      <c r="B709" s="113"/>
      <c r="C709" s="248"/>
      <c r="D709" s="17" t="s">
        <v>256</v>
      </c>
      <c r="E709" s="18">
        <v>1</v>
      </c>
      <c r="F709" s="113">
        <v>191104</v>
      </c>
      <c r="G709" s="18"/>
      <c r="H709" s="18"/>
      <c r="I709" s="15"/>
      <c r="J709" s="18"/>
      <c r="K709" s="18"/>
      <c r="L709" s="18"/>
      <c r="M709" s="18"/>
      <c r="N709" s="18"/>
      <c r="O709" s="18"/>
      <c r="P709" s="18"/>
      <c r="Q709" s="17">
        <f>SUM(G709:P709)</f>
        <v>0</v>
      </c>
      <c r="R709" s="646"/>
    </row>
    <row r="710" spans="1:18" ht="13.5" customHeight="1" hidden="1">
      <c r="A710" s="113"/>
      <c r="B710" s="113"/>
      <c r="C710" s="248"/>
      <c r="D710" s="124" t="s">
        <v>91</v>
      </c>
      <c r="E710" s="18"/>
      <c r="F710" s="113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7">
        <f>SUM(G710:P710)</f>
        <v>0</v>
      </c>
      <c r="R710" s="646"/>
    </row>
    <row r="711" spans="1:18" ht="13.5" customHeight="1" hidden="1">
      <c r="A711" s="113"/>
      <c r="B711" s="113"/>
      <c r="C711" s="248"/>
      <c r="D711" s="17" t="s">
        <v>1493</v>
      </c>
      <c r="E711" s="18">
        <v>2</v>
      </c>
      <c r="F711" s="113">
        <v>191109</v>
      </c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7">
        <f>SUM(G711:P711)</f>
        <v>0</v>
      </c>
      <c r="R711" s="646"/>
    </row>
    <row r="712" spans="1:18" ht="13.5" customHeight="1" hidden="1">
      <c r="A712" s="113"/>
      <c r="B712" s="113"/>
      <c r="C712" s="248"/>
      <c r="D712" s="17" t="s">
        <v>92</v>
      </c>
      <c r="E712" s="18"/>
      <c r="F712" s="113"/>
      <c r="G712" s="15"/>
      <c r="H712" s="15"/>
      <c r="I712" s="15"/>
      <c r="J712" s="15"/>
      <c r="K712" s="15"/>
      <c r="L712" s="18"/>
      <c r="M712" s="18"/>
      <c r="N712" s="18"/>
      <c r="O712" s="18"/>
      <c r="P712" s="18"/>
      <c r="Q712" s="17"/>
      <c r="R712" s="646"/>
    </row>
    <row r="713" spans="1:18" ht="13.5" customHeight="1" hidden="1">
      <c r="A713" s="113"/>
      <c r="B713" s="113"/>
      <c r="C713" s="248"/>
      <c r="D713" s="17" t="s">
        <v>260</v>
      </c>
      <c r="E713" s="18">
        <v>2</v>
      </c>
      <c r="F713" s="113">
        <v>191401</v>
      </c>
      <c r="G713" s="15"/>
      <c r="H713" s="15"/>
      <c r="I713" s="15"/>
      <c r="J713" s="15"/>
      <c r="K713" s="15"/>
      <c r="L713" s="18"/>
      <c r="M713" s="18"/>
      <c r="N713" s="18"/>
      <c r="O713" s="18"/>
      <c r="P713" s="18"/>
      <c r="Q713" s="17">
        <f>SUM(G713:P713)</f>
        <v>0</v>
      </c>
      <c r="R713" s="646"/>
    </row>
    <row r="714" spans="1:18" ht="15" customHeight="1">
      <c r="A714" s="113"/>
      <c r="B714" s="113"/>
      <c r="C714" s="248"/>
      <c r="D714" s="235" t="s">
        <v>57</v>
      </c>
      <c r="E714" s="303"/>
      <c r="F714" s="534"/>
      <c r="G714" s="15"/>
      <c r="H714" s="15"/>
      <c r="I714" s="15"/>
      <c r="J714" s="15"/>
      <c r="K714" s="15"/>
      <c r="L714" s="18"/>
      <c r="M714" s="18"/>
      <c r="N714" s="18"/>
      <c r="O714" s="18"/>
      <c r="P714" s="18"/>
      <c r="Q714" s="17"/>
      <c r="R714" s="646"/>
    </row>
    <row r="715" spans="1:18" ht="23.25" customHeight="1">
      <c r="A715" s="113"/>
      <c r="B715" s="113"/>
      <c r="C715" s="248"/>
      <c r="D715" s="193" t="s">
        <v>1398</v>
      </c>
      <c r="E715" s="302">
        <v>1</v>
      </c>
      <c r="F715" s="113">
        <v>191905</v>
      </c>
      <c r="G715" s="15"/>
      <c r="H715" s="15"/>
      <c r="I715" s="15"/>
      <c r="J715" s="15"/>
      <c r="K715" s="15">
        <v>2449</v>
      </c>
      <c r="L715" s="18"/>
      <c r="M715" s="18"/>
      <c r="N715" s="18"/>
      <c r="O715" s="18"/>
      <c r="P715" s="18"/>
      <c r="Q715" s="17">
        <f>SUM(G715:P715)</f>
        <v>2449</v>
      </c>
      <c r="R715" s="646" t="s">
        <v>1178</v>
      </c>
    </row>
    <row r="716" spans="1:18" ht="16.5" customHeight="1" hidden="1">
      <c r="A716" s="113"/>
      <c r="B716" s="113"/>
      <c r="C716" s="248"/>
      <c r="D716" s="309" t="s">
        <v>1046</v>
      </c>
      <c r="E716" s="302"/>
      <c r="F716" s="522"/>
      <c r="G716" s="15"/>
      <c r="H716" s="15"/>
      <c r="I716" s="15"/>
      <c r="J716" s="15"/>
      <c r="K716" s="15"/>
      <c r="L716" s="18"/>
      <c r="M716" s="18"/>
      <c r="N716" s="18"/>
      <c r="O716" s="18"/>
      <c r="P716" s="18"/>
      <c r="Q716" s="17">
        <f>SUM(G716:P716)</f>
        <v>0</v>
      </c>
      <c r="R716" s="646"/>
    </row>
    <row r="717" spans="1:18" ht="24.75" customHeight="1" hidden="1">
      <c r="A717" s="113"/>
      <c r="B717" s="113"/>
      <c r="C717" s="248"/>
      <c r="D717" s="309" t="s">
        <v>410</v>
      </c>
      <c r="E717" s="302">
        <v>1</v>
      </c>
      <c r="F717" s="522">
        <v>191906</v>
      </c>
      <c r="G717" s="15"/>
      <c r="H717" s="15"/>
      <c r="I717" s="15"/>
      <c r="J717" s="15"/>
      <c r="K717" s="15"/>
      <c r="L717" s="18"/>
      <c r="M717" s="18"/>
      <c r="N717" s="18"/>
      <c r="O717" s="18"/>
      <c r="P717" s="18"/>
      <c r="Q717" s="17">
        <f>SUM(G717:P717)</f>
        <v>0</v>
      </c>
      <c r="R717" s="646"/>
    </row>
    <row r="718" spans="1:18" ht="13.5" customHeight="1" hidden="1">
      <c r="A718" s="113"/>
      <c r="B718" s="113"/>
      <c r="C718" s="248"/>
      <c r="D718" s="17" t="s">
        <v>93</v>
      </c>
      <c r="E718" s="302"/>
      <c r="F718" s="522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7"/>
      <c r="R718" s="646"/>
    </row>
    <row r="719" spans="1:18" ht="13.5" customHeight="1" hidden="1">
      <c r="A719" s="113"/>
      <c r="B719" s="113"/>
      <c r="C719" s="248"/>
      <c r="D719" s="17" t="s">
        <v>261</v>
      </c>
      <c r="E719" s="18">
        <v>2</v>
      </c>
      <c r="F719" s="113">
        <v>191151</v>
      </c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7">
        <f>SUM(G719:P719)</f>
        <v>0</v>
      </c>
      <c r="R719" s="646" t="s">
        <v>1180</v>
      </c>
    </row>
    <row r="720" spans="1:18" ht="15" customHeight="1" hidden="1">
      <c r="A720" s="113"/>
      <c r="B720" s="113"/>
      <c r="C720" s="248"/>
      <c r="D720" s="235" t="s">
        <v>57</v>
      </c>
      <c r="E720" s="303"/>
      <c r="F720" s="534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7"/>
      <c r="R720" s="646"/>
    </row>
    <row r="721" spans="1:18" ht="13.5" customHeight="1" hidden="1">
      <c r="A721" s="113"/>
      <c r="B721" s="113"/>
      <c r="C721" s="248"/>
      <c r="D721" s="17" t="s">
        <v>482</v>
      </c>
      <c r="E721" s="18">
        <v>1</v>
      </c>
      <c r="F721" s="113">
        <v>191121</v>
      </c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7">
        <f>SUM(G721:P721)</f>
        <v>0</v>
      </c>
      <c r="R721" s="646"/>
    </row>
    <row r="722" spans="1:18" ht="13.5" customHeight="1" hidden="1">
      <c r="A722" s="113"/>
      <c r="B722" s="113"/>
      <c r="C722" s="248"/>
      <c r="D722" s="17" t="s">
        <v>97</v>
      </c>
      <c r="E722" s="302"/>
      <c r="F722" s="522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7"/>
      <c r="R722" s="646"/>
    </row>
    <row r="723" spans="1:18" ht="13.5" customHeight="1" hidden="1">
      <c r="A723" s="113"/>
      <c r="B723" s="113"/>
      <c r="C723" s="248"/>
      <c r="D723" s="233" t="s">
        <v>411</v>
      </c>
      <c r="E723" s="306">
        <v>1</v>
      </c>
      <c r="F723" s="326">
        <v>191129</v>
      </c>
      <c r="G723" s="18"/>
      <c r="H723" s="18"/>
      <c r="I723" s="18"/>
      <c r="J723" s="15"/>
      <c r="K723" s="15"/>
      <c r="L723" s="18"/>
      <c r="M723" s="18"/>
      <c r="N723" s="18"/>
      <c r="O723" s="18"/>
      <c r="P723" s="18"/>
      <c r="Q723" s="17">
        <f>SUM(G723:P723)</f>
        <v>0</v>
      </c>
      <c r="R723" s="646"/>
    </row>
    <row r="724" spans="1:18" ht="24.75" customHeight="1" hidden="1">
      <c r="A724" s="113"/>
      <c r="B724" s="113"/>
      <c r="C724" s="248"/>
      <c r="D724" s="233" t="s">
        <v>98</v>
      </c>
      <c r="E724" s="303"/>
      <c r="F724" s="534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7">
        <f>SUM(G724:P724)</f>
        <v>0</v>
      </c>
      <c r="R724" s="646"/>
    </row>
    <row r="725" spans="1:18" ht="24.75" customHeight="1" hidden="1">
      <c r="A725" s="113"/>
      <c r="B725" s="113"/>
      <c r="C725" s="248"/>
      <c r="D725" s="233" t="s">
        <v>263</v>
      </c>
      <c r="E725" s="303">
        <v>1</v>
      </c>
      <c r="F725" s="540">
        <v>191152</v>
      </c>
      <c r="G725" s="18"/>
      <c r="H725" s="18"/>
      <c r="I725" s="15"/>
      <c r="J725" s="15"/>
      <c r="K725" s="15"/>
      <c r="L725" s="15"/>
      <c r="M725" s="15"/>
      <c r="N725" s="15"/>
      <c r="O725" s="15"/>
      <c r="P725" s="18"/>
      <c r="Q725" s="17">
        <f>SUM(G725:P725)</f>
        <v>0</v>
      </c>
      <c r="R725" s="646"/>
    </row>
    <row r="726" spans="1:18" ht="15" customHeight="1" hidden="1">
      <c r="A726" s="113"/>
      <c r="B726" s="113"/>
      <c r="C726" s="248"/>
      <c r="D726" s="16" t="s">
        <v>87</v>
      </c>
      <c r="E726" s="15"/>
      <c r="F726" s="339"/>
      <c r="G726" s="18"/>
      <c r="H726" s="18"/>
      <c r="I726" s="15"/>
      <c r="J726" s="15"/>
      <c r="K726" s="15"/>
      <c r="L726" s="15"/>
      <c r="M726" s="15"/>
      <c r="N726" s="15"/>
      <c r="O726" s="15"/>
      <c r="P726" s="18"/>
      <c r="Q726" s="17"/>
      <c r="R726" s="646"/>
    </row>
    <row r="727" spans="1:18" ht="13.5" customHeight="1" hidden="1">
      <c r="A727" s="113"/>
      <c r="B727" s="113"/>
      <c r="C727" s="248"/>
      <c r="D727" s="16" t="s">
        <v>940</v>
      </c>
      <c r="E727" s="15">
        <v>2</v>
      </c>
      <c r="F727" s="510" t="s">
        <v>1096</v>
      </c>
      <c r="G727" s="18"/>
      <c r="H727" s="18"/>
      <c r="I727" s="15"/>
      <c r="J727" s="15"/>
      <c r="K727" s="15"/>
      <c r="L727" s="15"/>
      <c r="M727" s="15"/>
      <c r="N727" s="15"/>
      <c r="O727" s="15"/>
      <c r="P727" s="18"/>
      <c r="Q727" s="17">
        <f>SUM(G727:P727)</f>
        <v>0</v>
      </c>
      <c r="R727" s="646"/>
    </row>
    <row r="728" spans="1:18" ht="13.5" customHeight="1" hidden="1">
      <c r="A728" s="113"/>
      <c r="B728" s="113"/>
      <c r="C728" s="248"/>
      <c r="D728" s="115" t="s">
        <v>81</v>
      </c>
      <c r="E728" s="302"/>
      <c r="F728" s="522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7">
        <f>SUM(G728:P728)</f>
        <v>0</v>
      </c>
      <c r="R728" s="646"/>
    </row>
    <row r="729" spans="1:18" ht="13.5" customHeight="1" hidden="1">
      <c r="A729" s="113"/>
      <c r="B729" s="113"/>
      <c r="C729" s="248"/>
      <c r="D729" s="17" t="s">
        <v>583</v>
      </c>
      <c r="E729" s="18">
        <v>2</v>
      </c>
      <c r="F729" s="113">
        <v>191801</v>
      </c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7">
        <f>SUM(G729:P729)</f>
        <v>0</v>
      </c>
      <c r="R729" s="646"/>
    </row>
    <row r="730" spans="1:18" ht="24" customHeight="1" hidden="1">
      <c r="A730" s="113"/>
      <c r="B730" s="113"/>
      <c r="C730" s="248"/>
      <c r="D730" s="224" t="s">
        <v>218</v>
      </c>
      <c r="E730" s="15"/>
      <c r="F730" s="100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7"/>
      <c r="R730" s="646"/>
    </row>
    <row r="731" spans="1:18" ht="13.5" customHeight="1" hidden="1">
      <c r="A731" s="113"/>
      <c r="B731" s="113"/>
      <c r="C731" s="248"/>
      <c r="D731" s="16" t="s">
        <v>219</v>
      </c>
      <c r="E731" s="15"/>
      <c r="F731" s="100">
        <v>191607</v>
      </c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7">
        <f>SUM(G731:P731)</f>
        <v>0</v>
      </c>
      <c r="R731" s="646"/>
    </row>
    <row r="732" spans="1:18" ht="13.5" customHeight="1">
      <c r="A732" s="104"/>
      <c r="B732" s="104"/>
      <c r="C732" s="245"/>
      <c r="D732" s="106" t="s">
        <v>276</v>
      </c>
      <c r="E732" s="107"/>
      <c r="F732" s="532"/>
      <c r="G732" s="111">
        <f>SUM(G699:G731)</f>
        <v>0</v>
      </c>
      <c r="H732" s="111">
        <f aca="true" t="shared" si="46" ref="H732:Q732">SUM(H699:H731)</f>
        <v>0</v>
      </c>
      <c r="I732" s="111">
        <f t="shared" si="46"/>
        <v>-28</v>
      </c>
      <c r="J732" s="111">
        <f t="shared" si="46"/>
        <v>0</v>
      </c>
      <c r="K732" s="111">
        <f t="shared" si="46"/>
        <v>2477</v>
      </c>
      <c r="L732" s="111">
        <f t="shared" si="46"/>
        <v>0</v>
      </c>
      <c r="M732" s="111">
        <f t="shared" si="46"/>
        <v>0</v>
      </c>
      <c r="N732" s="111">
        <f t="shared" si="46"/>
        <v>0</v>
      </c>
      <c r="O732" s="111">
        <f t="shared" si="46"/>
        <v>0</v>
      </c>
      <c r="P732" s="111">
        <f t="shared" si="46"/>
        <v>0</v>
      </c>
      <c r="Q732" s="111">
        <f t="shared" si="46"/>
        <v>2449</v>
      </c>
      <c r="R732" s="646"/>
    </row>
    <row r="733" spans="1:18" ht="13.5" customHeight="1">
      <c r="A733" s="119"/>
      <c r="B733" s="119"/>
      <c r="C733" s="249"/>
      <c r="D733" s="17" t="s">
        <v>493</v>
      </c>
      <c r="E733" s="114"/>
      <c r="F733" s="331"/>
      <c r="G733" s="19"/>
      <c r="H733" s="19"/>
      <c r="I733" s="19"/>
      <c r="J733" s="18"/>
      <c r="K733" s="18"/>
      <c r="L733" s="19"/>
      <c r="M733" s="19"/>
      <c r="N733" s="18"/>
      <c r="O733" s="18"/>
      <c r="P733" s="19"/>
      <c r="Q733" s="17"/>
      <c r="R733" s="646"/>
    </row>
    <row r="734" spans="1:18" ht="21" customHeight="1" hidden="1">
      <c r="A734" s="119"/>
      <c r="B734" s="119"/>
      <c r="C734" s="119" t="s">
        <v>1288</v>
      </c>
      <c r="D734" s="664" t="s">
        <v>220</v>
      </c>
      <c r="E734" s="114"/>
      <c r="F734" s="113">
        <v>192909</v>
      </c>
      <c r="G734" s="19"/>
      <c r="H734" s="19"/>
      <c r="I734" s="19"/>
      <c r="J734" s="18"/>
      <c r="K734" s="18"/>
      <c r="L734" s="19"/>
      <c r="M734" s="19"/>
      <c r="N734" s="18"/>
      <c r="O734" s="18"/>
      <c r="P734" s="19"/>
      <c r="Q734" s="17">
        <f>SUM(N734:P734)</f>
        <v>0</v>
      </c>
      <c r="R734" s="646"/>
    </row>
    <row r="735" spans="1:18" ht="13.5" customHeight="1">
      <c r="A735" s="104"/>
      <c r="B735" s="104"/>
      <c r="C735" s="245"/>
      <c r="D735" s="106" t="s">
        <v>1284</v>
      </c>
      <c r="E735" s="107"/>
      <c r="F735" s="532"/>
      <c r="G735" s="111">
        <f>SUM(G732:G734)</f>
        <v>0</v>
      </c>
      <c r="H735" s="111">
        <f aca="true" t="shared" si="47" ref="H735:Q735">SUM(H732:H734)</f>
        <v>0</v>
      </c>
      <c r="I735" s="111">
        <f t="shared" si="47"/>
        <v>-28</v>
      </c>
      <c r="J735" s="111">
        <f t="shared" si="47"/>
        <v>0</v>
      </c>
      <c r="K735" s="111">
        <f t="shared" si="47"/>
        <v>2477</v>
      </c>
      <c r="L735" s="111">
        <f t="shared" si="47"/>
        <v>0</v>
      </c>
      <c r="M735" s="111">
        <f t="shared" si="47"/>
        <v>0</v>
      </c>
      <c r="N735" s="111">
        <f t="shared" si="47"/>
        <v>0</v>
      </c>
      <c r="O735" s="111">
        <f t="shared" si="47"/>
        <v>0</v>
      </c>
      <c r="P735" s="111">
        <f t="shared" si="47"/>
        <v>0</v>
      </c>
      <c r="Q735" s="111">
        <f t="shared" si="47"/>
        <v>2449</v>
      </c>
      <c r="R735" s="646"/>
    </row>
    <row r="736" spans="1:18" s="23" customFormat="1" ht="13.5" customHeight="1">
      <c r="A736" s="112">
        <v>1</v>
      </c>
      <c r="B736" s="112">
        <v>20</v>
      </c>
      <c r="C736" s="247"/>
      <c r="D736" s="228" t="s">
        <v>813</v>
      </c>
      <c r="E736" s="109"/>
      <c r="F736" s="539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228"/>
      <c r="R736" s="647"/>
    </row>
    <row r="737" spans="1:18" ht="14.25" customHeight="1">
      <c r="A737" s="112"/>
      <c r="B737" s="112"/>
      <c r="C737" s="247"/>
      <c r="D737" s="237" t="s">
        <v>57</v>
      </c>
      <c r="E737" s="158"/>
      <c r="F737" s="531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228"/>
      <c r="R737" s="646"/>
    </row>
    <row r="738" spans="1:18" ht="13.5" customHeight="1">
      <c r="A738" s="104"/>
      <c r="B738" s="104"/>
      <c r="C738" s="245"/>
      <c r="D738" s="106" t="s">
        <v>36</v>
      </c>
      <c r="E738" s="107"/>
      <c r="F738" s="532"/>
      <c r="G738" s="111"/>
      <c r="H738" s="111"/>
      <c r="I738" s="111"/>
      <c r="J738" s="111"/>
      <c r="K738" s="111"/>
      <c r="L738" s="111"/>
      <c r="M738" s="111"/>
      <c r="N738" s="111"/>
      <c r="O738" s="111"/>
      <c r="P738" s="111"/>
      <c r="Q738" s="106">
        <f>SUM(G738:P738)</f>
        <v>0</v>
      </c>
      <c r="R738" s="646"/>
    </row>
    <row r="739" spans="1:18" ht="13.5" customHeight="1">
      <c r="A739" s="121">
        <v>1</v>
      </c>
      <c r="B739" s="121" t="s">
        <v>277</v>
      </c>
      <c r="C739" s="250"/>
      <c r="D739" s="128" t="s">
        <v>901</v>
      </c>
      <c r="E739" s="125"/>
      <c r="F739" s="251"/>
      <c r="G739" s="122"/>
      <c r="H739" s="122"/>
      <c r="I739" s="18"/>
      <c r="J739" s="122"/>
      <c r="K739" s="122"/>
      <c r="L739" s="122"/>
      <c r="M739" s="122"/>
      <c r="N739" s="122"/>
      <c r="O739" s="122"/>
      <c r="P739" s="122"/>
      <c r="Q739" s="128"/>
      <c r="R739" s="646"/>
    </row>
    <row r="740" spans="1:18" ht="13.5" customHeight="1">
      <c r="A740" s="121"/>
      <c r="B740" s="121"/>
      <c r="C740" s="250"/>
      <c r="D740" s="235" t="s">
        <v>57</v>
      </c>
      <c r="E740" s="158"/>
      <c r="F740" s="531"/>
      <c r="G740" s="122"/>
      <c r="H740" s="122"/>
      <c r="I740" s="18"/>
      <c r="J740" s="122"/>
      <c r="K740" s="122"/>
      <c r="L740" s="122"/>
      <c r="M740" s="122"/>
      <c r="N740" s="122"/>
      <c r="O740" s="122"/>
      <c r="P740" s="122"/>
      <c r="Q740" s="128"/>
      <c r="R740" s="646"/>
    </row>
    <row r="741" spans="1:18" ht="13.5" customHeight="1" hidden="1">
      <c r="A741" s="121"/>
      <c r="B741" s="121"/>
      <c r="C741" s="250"/>
      <c r="D741" s="124" t="s">
        <v>1006</v>
      </c>
      <c r="E741" s="123">
        <v>2</v>
      </c>
      <c r="F741" s="126">
        <v>221901</v>
      </c>
      <c r="G741" s="170"/>
      <c r="H741" s="123"/>
      <c r="I741" s="18"/>
      <c r="J741" s="123"/>
      <c r="K741" s="123"/>
      <c r="L741" s="123"/>
      <c r="M741" s="156"/>
      <c r="N741" s="156"/>
      <c r="O741" s="156"/>
      <c r="P741" s="156"/>
      <c r="Q741" s="124">
        <f aca="true" t="shared" si="48" ref="Q741:Q753">SUM(G741:P741)</f>
        <v>0</v>
      </c>
      <c r="R741" s="646"/>
    </row>
    <row r="742" spans="1:18" ht="13.5" customHeight="1">
      <c r="A742" s="121"/>
      <c r="B742" s="121"/>
      <c r="C742" s="250"/>
      <c r="D742" s="101" t="s">
        <v>73</v>
      </c>
      <c r="E742" s="166">
        <v>1</v>
      </c>
      <c r="F742" s="100">
        <v>221912</v>
      </c>
      <c r="G742" s="170">
        <v>5</v>
      </c>
      <c r="H742" s="123"/>
      <c r="I742" s="123">
        <v>-5</v>
      </c>
      <c r="J742" s="123"/>
      <c r="K742" s="123"/>
      <c r="L742" s="156"/>
      <c r="M742" s="156"/>
      <c r="N742" s="156"/>
      <c r="O742" s="156"/>
      <c r="P742" s="156"/>
      <c r="Q742" s="124">
        <f t="shared" si="48"/>
        <v>0</v>
      </c>
      <c r="R742" s="646" t="s">
        <v>1178</v>
      </c>
    </row>
    <row r="743" spans="1:18" ht="13.5" customHeight="1" hidden="1">
      <c r="A743" s="121"/>
      <c r="B743" s="121"/>
      <c r="C743" s="250"/>
      <c r="D743" s="101" t="s">
        <v>550</v>
      </c>
      <c r="E743" s="166">
        <v>2</v>
      </c>
      <c r="F743" s="100">
        <v>221916</v>
      </c>
      <c r="G743" s="170"/>
      <c r="H743" s="123"/>
      <c r="I743" s="123"/>
      <c r="J743" s="123"/>
      <c r="K743" s="123"/>
      <c r="L743" s="156"/>
      <c r="M743" s="156"/>
      <c r="N743" s="156"/>
      <c r="O743" s="156"/>
      <c r="P743" s="156"/>
      <c r="Q743" s="124">
        <f t="shared" si="48"/>
        <v>0</v>
      </c>
      <c r="R743" s="646"/>
    </row>
    <row r="744" spans="1:18" ht="13.5" customHeight="1" hidden="1">
      <c r="A744" s="121"/>
      <c r="B744" s="121"/>
      <c r="C744" s="250"/>
      <c r="D744" s="16" t="s">
        <v>786</v>
      </c>
      <c r="E744" s="166">
        <v>1</v>
      </c>
      <c r="F744" s="100">
        <v>221950</v>
      </c>
      <c r="G744" s="166"/>
      <c r="H744" s="15"/>
      <c r="I744" s="15"/>
      <c r="J744" s="123"/>
      <c r="K744" s="123"/>
      <c r="L744" s="156"/>
      <c r="M744" s="156"/>
      <c r="N744" s="156"/>
      <c r="O744" s="156"/>
      <c r="P744" s="156"/>
      <c r="Q744" s="124">
        <f t="shared" si="48"/>
        <v>0</v>
      </c>
      <c r="R744" s="646"/>
    </row>
    <row r="745" spans="1:18" ht="13.5" customHeight="1" hidden="1">
      <c r="A745" s="121"/>
      <c r="B745" s="121"/>
      <c r="C745" s="250"/>
      <c r="D745" s="16" t="s">
        <v>412</v>
      </c>
      <c r="E745" s="166">
        <v>2</v>
      </c>
      <c r="F745" s="100">
        <v>221904</v>
      </c>
      <c r="G745" s="170"/>
      <c r="H745" s="123"/>
      <c r="I745" s="15"/>
      <c r="J745" s="123"/>
      <c r="K745" s="123"/>
      <c r="L745" s="156"/>
      <c r="M745" s="156"/>
      <c r="N745" s="156"/>
      <c r="O745" s="156"/>
      <c r="P745" s="156"/>
      <c r="Q745" s="124">
        <f t="shared" si="48"/>
        <v>0</v>
      </c>
      <c r="R745" s="646"/>
    </row>
    <row r="746" spans="1:18" ht="13.5" customHeight="1" hidden="1">
      <c r="A746" s="121"/>
      <c r="B746" s="121"/>
      <c r="C746" s="250"/>
      <c r="D746" s="17" t="s">
        <v>1007</v>
      </c>
      <c r="E746" s="18">
        <v>2</v>
      </c>
      <c r="F746" s="113">
        <v>221922</v>
      </c>
      <c r="G746" s="170"/>
      <c r="H746" s="123"/>
      <c r="I746" s="15"/>
      <c r="J746" s="123"/>
      <c r="K746" s="123"/>
      <c r="L746" s="156"/>
      <c r="M746" s="156"/>
      <c r="N746" s="156"/>
      <c r="O746" s="156"/>
      <c r="P746" s="156"/>
      <c r="Q746" s="124">
        <f t="shared" si="48"/>
        <v>0</v>
      </c>
      <c r="R746" s="646"/>
    </row>
    <row r="747" spans="1:18" ht="13.5" customHeight="1" hidden="1">
      <c r="A747" s="121"/>
      <c r="B747" s="121"/>
      <c r="C747" s="250"/>
      <c r="D747" s="17" t="s">
        <v>1008</v>
      </c>
      <c r="E747" s="302">
        <v>2</v>
      </c>
      <c r="F747" s="113">
        <v>191139</v>
      </c>
      <c r="G747" s="170"/>
      <c r="H747" s="123"/>
      <c r="I747" s="15"/>
      <c r="J747" s="123"/>
      <c r="K747" s="123"/>
      <c r="L747" s="156"/>
      <c r="M747" s="156"/>
      <c r="N747" s="156"/>
      <c r="O747" s="156"/>
      <c r="P747" s="156"/>
      <c r="Q747" s="124">
        <f t="shared" si="48"/>
        <v>0</v>
      </c>
      <c r="R747" s="646"/>
    </row>
    <row r="748" spans="1:18" ht="13.5" customHeight="1">
      <c r="A748" s="121"/>
      <c r="B748" s="121"/>
      <c r="C748" s="250"/>
      <c r="D748" s="17" t="s">
        <v>413</v>
      </c>
      <c r="E748" s="302">
        <v>2</v>
      </c>
      <c r="F748" s="522">
        <v>221934</v>
      </c>
      <c r="G748" s="170">
        <v>245</v>
      </c>
      <c r="H748" s="123">
        <v>600</v>
      </c>
      <c r="I748" s="15">
        <v>-500</v>
      </c>
      <c r="J748" s="123"/>
      <c r="K748" s="123">
        <v>300</v>
      </c>
      <c r="L748" s="123">
        <v>-645</v>
      </c>
      <c r="M748" s="156"/>
      <c r="N748" s="156"/>
      <c r="O748" s="156"/>
      <c r="P748" s="156"/>
      <c r="Q748" s="124">
        <f t="shared" si="48"/>
        <v>0</v>
      </c>
      <c r="R748" s="646" t="s">
        <v>1178</v>
      </c>
    </row>
    <row r="749" spans="1:18" ht="13.5" customHeight="1" hidden="1">
      <c r="A749" s="121"/>
      <c r="B749" s="121"/>
      <c r="C749" s="250"/>
      <c r="D749" s="17" t="s">
        <v>481</v>
      </c>
      <c r="E749" s="302">
        <v>2</v>
      </c>
      <c r="F749" s="113">
        <v>221927</v>
      </c>
      <c r="G749" s="170"/>
      <c r="H749" s="123"/>
      <c r="I749" s="15"/>
      <c r="J749" s="123"/>
      <c r="K749" s="123"/>
      <c r="L749" s="156"/>
      <c r="M749" s="156"/>
      <c r="N749" s="156"/>
      <c r="O749" s="156"/>
      <c r="P749" s="156"/>
      <c r="Q749" s="124">
        <f t="shared" si="48"/>
        <v>0</v>
      </c>
      <c r="R749" s="646"/>
    </row>
    <row r="750" spans="1:18" ht="13.5" customHeight="1" hidden="1">
      <c r="A750" s="121"/>
      <c r="B750" s="121"/>
      <c r="C750" s="250"/>
      <c r="D750" s="322" t="s">
        <v>414</v>
      </c>
      <c r="E750" s="302">
        <v>2</v>
      </c>
      <c r="F750" s="522">
        <v>221935</v>
      </c>
      <c r="G750" s="170"/>
      <c r="H750" s="123"/>
      <c r="I750" s="15"/>
      <c r="J750" s="123"/>
      <c r="K750" s="123"/>
      <c r="L750" s="156"/>
      <c r="M750" s="156"/>
      <c r="N750" s="156"/>
      <c r="O750" s="156"/>
      <c r="P750" s="156"/>
      <c r="Q750" s="124">
        <f t="shared" si="48"/>
        <v>0</v>
      </c>
      <c r="R750" s="646"/>
    </row>
    <row r="751" spans="1:18" ht="13.5" customHeight="1" hidden="1">
      <c r="A751" s="121"/>
      <c r="B751" s="121"/>
      <c r="C751" s="250"/>
      <c r="D751" s="17" t="s">
        <v>259</v>
      </c>
      <c r="E751" s="18">
        <v>2</v>
      </c>
      <c r="F751" s="113">
        <v>191110</v>
      </c>
      <c r="G751" s="15"/>
      <c r="H751" s="15"/>
      <c r="I751" s="15"/>
      <c r="J751" s="15"/>
      <c r="K751" s="15"/>
      <c r="L751" s="18"/>
      <c r="M751" s="18"/>
      <c r="N751" s="18"/>
      <c r="O751" s="18"/>
      <c r="P751" s="18"/>
      <c r="Q751" s="17">
        <f t="shared" si="48"/>
        <v>0</v>
      </c>
      <c r="R751" s="646"/>
    </row>
    <row r="752" spans="1:18" ht="22.5" customHeight="1" hidden="1">
      <c r="A752" s="121"/>
      <c r="B752" s="121"/>
      <c r="C752" s="250"/>
      <c r="D752" s="224" t="s">
        <v>941</v>
      </c>
      <c r="E752" s="302">
        <v>2</v>
      </c>
      <c r="F752" s="100">
        <v>221932</v>
      </c>
      <c r="G752" s="170"/>
      <c r="H752" s="123"/>
      <c r="I752" s="15"/>
      <c r="J752" s="123"/>
      <c r="K752" s="123"/>
      <c r="L752" s="156"/>
      <c r="M752" s="156"/>
      <c r="N752" s="156"/>
      <c r="O752" s="156"/>
      <c r="P752" s="156"/>
      <c r="Q752" s="124">
        <f t="shared" si="48"/>
        <v>0</v>
      </c>
      <c r="R752" s="646"/>
    </row>
    <row r="753" spans="1:18" ht="22.5" customHeight="1" hidden="1">
      <c r="A753" s="121"/>
      <c r="B753" s="121"/>
      <c r="C753" s="250"/>
      <c r="D753" s="224" t="s">
        <v>942</v>
      </c>
      <c r="E753" s="302">
        <v>2</v>
      </c>
      <c r="F753" s="100">
        <v>221933</v>
      </c>
      <c r="G753" s="170"/>
      <c r="H753" s="123"/>
      <c r="I753" s="15"/>
      <c r="J753" s="123"/>
      <c r="K753" s="123"/>
      <c r="L753" s="156"/>
      <c r="M753" s="156"/>
      <c r="N753" s="156"/>
      <c r="O753" s="156"/>
      <c r="P753" s="156"/>
      <c r="Q753" s="124">
        <f t="shared" si="48"/>
        <v>0</v>
      </c>
      <c r="R753" s="646"/>
    </row>
    <row r="754" spans="1:18" ht="13.5" customHeight="1" hidden="1">
      <c r="A754" s="121"/>
      <c r="B754" s="121"/>
      <c r="C754" s="250"/>
      <c r="D754" s="17" t="s">
        <v>90</v>
      </c>
      <c r="E754" s="302"/>
      <c r="F754" s="522"/>
      <c r="G754" s="18"/>
      <c r="H754" s="18"/>
      <c r="I754" s="15"/>
      <c r="J754" s="15"/>
      <c r="K754" s="15"/>
      <c r="L754" s="18"/>
      <c r="M754" s="18"/>
      <c r="N754" s="18"/>
      <c r="O754" s="18"/>
      <c r="P754" s="18"/>
      <c r="Q754" s="17"/>
      <c r="R754" s="646"/>
    </row>
    <row r="755" spans="1:18" ht="13.5" customHeight="1" hidden="1">
      <c r="A755" s="121"/>
      <c r="B755" s="121"/>
      <c r="C755" s="250"/>
      <c r="D755" s="17" t="s">
        <v>1301</v>
      </c>
      <c r="E755" s="18">
        <v>2</v>
      </c>
      <c r="F755" s="113">
        <v>191301</v>
      </c>
      <c r="G755" s="18"/>
      <c r="H755" s="18"/>
      <c r="I755" s="15"/>
      <c r="J755" s="15"/>
      <c r="K755" s="15"/>
      <c r="L755" s="18"/>
      <c r="M755" s="18"/>
      <c r="N755" s="18"/>
      <c r="O755" s="18"/>
      <c r="P755" s="18"/>
      <c r="Q755" s="17">
        <f>SUM(G755:P755)</f>
        <v>0</v>
      </c>
      <c r="R755" s="646"/>
    </row>
    <row r="756" spans="1:18" ht="13.5" customHeight="1" hidden="1">
      <c r="A756" s="121"/>
      <c r="B756" s="121"/>
      <c r="C756" s="250"/>
      <c r="D756" s="17" t="s">
        <v>258</v>
      </c>
      <c r="E756" s="18">
        <v>2</v>
      </c>
      <c r="F756" s="113">
        <v>191302</v>
      </c>
      <c r="G756" s="18"/>
      <c r="H756" s="18"/>
      <c r="I756" s="15"/>
      <c r="J756" s="15"/>
      <c r="K756" s="15"/>
      <c r="L756" s="18"/>
      <c r="M756" s="18"/>
      <c r="N756" s="18"/>
      <c r="O756" s="18"/>
      <c r="P756" s="18"/>
      <c r="Q756" s="17">
        <f>SUM(G756:P756)</f>
        <v>0</v>
      </c>
      <c r="R756" s="646"/>
    </row>
    <row r="757" spans="1:18" ht="13.5" customHeight="1" hidden="1">
      <c r="A757" s="121"/>
      <c r="B757" s="121"/>
      <c r="C757" s="250"/>
      <c r="D757" s="321" t="s">
        <v>415</v>
      </c>
      <c r="E757" s="18">
        <v>2</v>
      </c>
      <c r="F757" s="113">
        <v>191303</v>
      </c>
      <c r="G757" s="18"/>
      <c r="H757" s="18"/>
      <c r="I757" s="15"/>
      <c r="J757" s="15"/>
      <c r="K757" s="15"/>
      <c r="L757" s="18"/>
      <c r="M757" s="18"/>
      <c r="N757" s="18"/>
      <c r="O757" s="18"/>
      <c r="P757" s="18"/>
      <c r="Q757" s="17">
        <f>SUM(G757:P757)</f>
        <v>0</v>
      </c>
      <c r="R757" s="646"/>
    </row>
    <row r="758" spans="1:18" ht="13.5" customHeight="1">
      <c r="A758" s="121"/>
      <c r="B758" s="121"/>
      <c r="C758" s="250"/>
      <c r="D758" s="101" t="s">
        <v>79</v>
      </c>
      <c r="E758" s="166"/>
      <c r="F758" s="100"/>
      <c r="G758" s="130"/>
      <c r="H758" s="123"/>
      <c r="I758" s="15"/>
      <c r="J758" s="123"/>
      <c r="K758" s="123"/>
      <c r="L758" s="156"/>
      <c r="M758" s="156"/>
      <c r="N758" s="156"/>
      <c r="O758" s="156"/>
      <c r="P758" s="156"/>
      <c r="Q758" s="124"/>
      <c r="R758" s="646"/>
    </row>
    <row r="759" spans="1:18" ht="13.5" customHeight="1" hidden="1">
      <c r="A759" s="121"/>
      <c r="B759" s="121"/>
      <c r="C759" s="250"/>
      <c r="D759" s="233" t="s">
        <v>171</v>
      </c>
      <c r="E759" s="312">
        <v>2</v>
      </c>
      <c r="F759" s="540">
        <v>221951</v>
      </c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7">
        <f>SUM(G759:P759)</f>
        <v>0</v>
      </c>
      <c r="R759" s="646"/>
    </row>
    <row r="760" spans="1:18" ht="13.5" customHeight="1">
      <c r="A760" s="121"/>
      <c r="B760" s="121"/>
      <c r="C760" s="251"/>
      <c r="D760" s="291" t="s">
        <v>1311</v>
      </c>
      <c r="E760" s="166">
        <v>2</v>
      </c>
      <c r="F760" s="100" t="s">
        <v>1097</v>
      </c>
      <c r="G760" s="170"/>
      <c r="H760" s="123"/>
      <c r="I760" s="123">
        <v>-350</v>
      </c>
      <c r="J760" s="123"/>
      <c r="K760" s="123">
        <v>350</v>
      </c>
      <c r="L760" s="123"/>
      <c r="M760" s="156"/>
      <c r="N760" s="123"/>
      <c r="O760" s="156"/>
      <c r="P760" s="156"/>
      <c r="Q760" s="124">
        <f>SUM(G760:P760)</f>
        <v>0</v>
      </c>
      <c r="R760" s="646" t="s">
        <v>1178</v>
      </c>
    </row>
    <row r="761" spans="1:18" ht="13.5" customHeight="1" hidden="1">
      <c r="A761" s="121"/>
      <c r="B761" s="121"/>
      <c r="C761" s="250"/>
      <c r="D761" s="101" t="s">
        <v>108</v>
      </c>
      <c r="E761" s="166"/>
      <c r="F761" s="100"/>
      <c r="G761" s="130"/>
      <c r="H761" s="123"/>
      <c r="I761" s="123"/>
      <c r="J761" s="123"/>
      <c r="K761" s="123"/>
      <c r="L761" s="156"/>
      <c r="M761" s="156"/>
      <c r="N761" s="156"/>
      <c r="O761" s="156"/>
      <c r="P761" s="156"/>
      <c r="Q761" s="124"/>
      <c r="R761" s="646"/>
    </row>
    <row r="762" spans="1:18" ht="13.5" customHeight="1" hidden="1">
      <c r="A762" s="121"/>
      <c r="B762" s="121"/>
      <c r="C762" s="250"/>
      <c r="D762" s="101" t="s">
        <v>1071</v>
      </c>
      <c r="E762" s="166">
        <v>2</v>
      </c>
      <c r="F762" s="100">
        <v>221929</v>
      </c>
      <c r="G762" s="130"/>
      <c r="H762" s="123"/>
      <c r="I762" s="123"/>
      <c r="J762" s="123"/>
      <c r="K762" s="123"/>
      <c r="L762" s="156"/>
      <c r="M762" s="156"/>
      <c r="N762" s="156"/>
      <c r="O762" s="156"/>
      <c r="P762" s="156"/>
      <c r="Q762" s="124">
        <f>SUM(G762:P762)</f>
        <v>0</v>
      </c>
      <c r="R762" s="646"/>
    </row>
    <row r="763" spans="1:18" ht="13.5" customHeight="1" hidden="1">
      <c r="A763" s="121"/>
      <c r="B763" s="121"/>
      <c r="C763" s="252"/>
      <c r="D763" s="101" t="s">
        <v>785</v>
      </c>
      <c r="E763" s="166"/>
      <c r="F763" s="100"/>
      <c r="G763" s="130"/>
      <c r="H763" s="123"/>
      <c r="I763" s="123"/>
      <c r="J763" s="123"/>
      <c r="K763" s="123"/>
      <c r="L763" s="156"/>
      <c r="M763" s="156"/>
      <c r="N763" s="156"/>
      <c r="O763" s="156"/>
      <c r="P763" s="156"/>
      <c r="Q763" s="124"/>
      <c r="R763" s="646"/>
    </row>
    <row r="764" spans="1:18" ht="13.5" customHeight="1" hidden="1">
      <c r="A764" s="121"/>
      <c r="B764" s="121"/>
      <c r="C764" s="252"/>
      <c r="D764" s="101" t="s">
        <v>248</v>
      </c>
      <c r="E764" s="166">
        <v>1</v>
      </c>
      <c r="F764" s="100">
        <v>221909</v>
      </c>
      <c r="G764" s="130"/>
      <c r="H764" s="123"/>
      <c r="I764" s="123"/>
      <c r="J764" s="123"/>
      <c r="K764" s="123"/>
      <c r="L764" s="156"/>
      <c r="M764" s="156"/>
      <c r="N764" s="156"/>
      <c r="O764" s="156"/>
      <c r="P764" s="156"/>
      <c r="Q764" s="124">
        <f>SUM(G764:P764)</f>
        <v>0</v>
      </c>
      <c r="R764" s="646" t="s">
        <v>1180</v>
      </c>
    </row>
    <row r="765" spans="1:18" ht="14.25" customHeight="1" hidden="1">
      <c r="A765" s="121"/>
      <c r="B765" s="121"/>
      <c r="C765" s="250"/>
      <c r="D765" s="101" t="s">
        <v>249</v>
      </c>
      <c r="E765" s="166">
        <v>1</v>
      </c>
      <c r="F765" s="100">
        <v>221913</v>
      </c>
      <c r="G765" s="170"/>
      <c r="H765" s="123"/>
      <c r="I765" s="123"/>
      <c r="J765" s="123"/>
      <c r="K765" s="123"/>
      <c r="L765" s="156"/>
      <c r="M765" s="156"/>
      <c r="N765" s="156"/>
      <c r="O765" s="156"/>
      <c r="P765" s="156"/>
      <c r="Q765" s="124">
        <f>SUM(G765:P765)</f>
        <v>0</v>
      </c>
      <c r="R765" s="646" t="s">
        <v>1179</v>
      </c>
    </row>
    <row r="766" spans="1:18" ht="24.75" customHeight="1" hidden="1">
      <c r="A766" s="121"/>
      <c r="B766" s="121"/>
      <c r="C766" s="250"/>
      <c r="D766" s="238" t="s">
        <v>551</v>
      </c>
      <c r="E766" s="166">
        <v>2</v>
      </c>
      <c r="F766" s="100">
        <v>221914</v>
      </c>
      <c r="G766" s="130"/>
      <c r="H766" s="123"/>
      <c r="I766" s="123"/>
      <c r="J766" s="123"/>
      <c r="K766" s="123"/>
      <c r="L766" s="156"/>
      <c r="M766" s="156"/>
      <c r="N766" s="156"/>
      <c r="O766" s="156"/>
      <c r="P766" s="156"/>
      <c r="Q766" s="124">
        <f>SUM(G766:P766)</f>
        <v>0</v>
      </c>
      <c r="R766" s="646"/>
    </row>
    <row r="767" spans="1:18" ht="15.75" customHeight="1" hidden="1">
      <c r="A767" s="121"/>
      <c r="B767" s="121"/>
      <c r="C767" s="250"/>
      <c r="D767" s="16" t="s">
        <v>112</v>
      </c>
      <c r="E767" s="371"/>
      <c r="F767" s="328"/>
      <c r="G767" s="130"/>
      <c r="H767" s="123"/>
      <c r="I767" s="123"/>
      <c r="J767" s="123"/>
      <c r="K767" s="123"/>
      <c r="L767" s="156"/>
      <c r="M767" s="156"/>
      <c r="N767" s="156"/>
      <c r="O767" s="156"/>
      <c r="P767" s="156"/>
      <c r="Q767" s="124"/>
      <c r="R767" s="646"/>
    </row>
    <row r="768" spans="1:18" ht="15.75" customHeight="1" hidden="1">
      <c r="A768" s="121"/>
      <c r="B768" s="121"/>
      <c r="C768" s="250"/>
      <c r="D768" s="238" t="s">
        <v>641</v>
      </c>
      <c r="E768" s="371">
        <v>2</v>
      </c>
      <c r="F768" s="328">
        <v>221937</v>
      </c>
      <c r="G768" s="130"/>
      <c r="H768" s="123"/>
      <c r="I768" s="123"/>
      <c r="J768" s="123"/>
      <c r="K768" s="123"/>
      <c r="L768" s="156"/>
      <c r="M768" s="156"/>
      <c r="N768" s="156"/>
      <c r="O768" s="156"/>
      <c r="P768" s="156"/>
      <c r="Q768" s="124">
        <f>SUM(G768:P768)</f>
        <v>0</v>
      </c>
      <c r="R768" s="646"/>
    </row>
    <row r="769" spans="1:18" ht="15.75" customHeight="1" hidden="1">
      <c r="A769" s="121"/>
      <c r="B769" s="121"/>
      <c r="C769" s="250"/>
      <c r="D769" s="238" t="s">
        <v>677</v>
      </c>
      <c r="E769" s="371">
        <v>2</v>
      </c>
      <c r="F769" s="328">
        <v>221936</v>
      </c>
      <c r="G769" s="130"/>
      <c r="H769" s="123"/>
      <c r="I769" s="123"/>
      <c r="J769" s="123"/>
      <c r="K769" s="123"/>
      <c r="L769" s="156"/>
      <c r="M769" s="156"/>
      <c r="N769" s="156"/>
      <c r="O769" s="156"/>
      <c r="P769" s="156"/>
      <c r="Q769" s="124">
        <f>SUM(G769:P769)</f>
        <v>0</v>
      </c>
      <c r="R769" s="646"/>
    </row>
    <row r="770" spans="1:18" ht="15.75" customHeight="1" hidden="1">
      <c r="A770" s="121"/>
      <c r="B770" s="121"/>
      <c r="C770" s="250"/>
      <c r="D770" s="238" t="s">
        <v>720</v>
      </c>
      <c r="E770" s="371">
        <v>2</v>
      </c>
      <c r="F770" s="328">
        <v>221938</v>
      </c>
      <c r="G770" s="130"/>
      <c r="H770" s="123"/>
      <c r="I770" s="123"/>
      <c r="J770" s="123"/>
      <c r="K770" s="123"/>
      <c r="L770" s="156"/>
      <c r="M770" s="156"/>
      <c r="N770" s="156"/>
      <c r="O770" s="156"/>
      <c r="P770" s="156"/>
      <c r="Q770" s="124">
        <f>SUM(G770:P770)</f>
        <v>0</v>
      </c>
      <c r="R770" s="646"/>
    </row>
    <row r="771" spans="1:18" ht="15.75" customHeight="1" hidden="1">
      <c r="A771" s="121"/>
      <c r="B771" s="121"/>
      <c r="C771" s="250"/>
      <c r="D771" s="662" t="s">
        <v>1011</v>
      </c>
      <c r="E771" s="166">
        <v>2</v>
      </c>
      <c r="F771" s="100">
        <v>131336</v>
      </c>
      <c r="G771" s="130"/>
      <c r="H771" s="123"/>
      <c r="I771" s="123"/>
      <c r="J771" s="123"/>
      <c r="K771" s="123"/>
      <c r="L771" s="156"/>
      <c r="M771" s="156"/>
      <c r="N771" s="156"/>
      <c r="O771" s="156"/>
      <c r="P771" s="156"/>
      <c r="Q771" s="124">
        <f>SUM(G771:P771)</f>
        <v>0</v>
      </c>
      <c r="R771" s="646"/>
    </row>
    <row r="772" spans="1:18" ht="13.5" customHeight="1">
      <c r="A772" s="104"/>
      <c r="B772" s="104"/>
      <c r="C772" s="245"/>
      <c r="D772" s="120" t="s">
        <v>558</v>
      </c>
      <c r="E772" s="131"/>
      <c r="F772" s="532"/>
      <c r="G772" s="132">
        <f aca="true" t="shared" si="49" ref="G772:Q772">SUM(G741:G771)</f>
        <v>250</v>
      </c>
      <c r="H772" s="132">
        <f t="shared" si="49"/>
        <v>600</v>
      </c>
      <c r="I772" s="132">
        <f t="shared" si="49"/>
        <v>-855</v>
      </c>
      <c r="J772" s="132">
        <f t="shared" si="49"/>
        <v>0</v>
      </c>
      <c r="K772" s="132">
        <f t="shared" si="49"/>
        <v>650</v>
      </c>
      <c r="L772" s="132">
        <f t="shared" si="49"/>
        <v>-645</v>
      </c>
      <c r="M772" s="132">
        <f t="shared" si="49"/>
        <v>0</v>
      </c>
      <c r="N772" s="132">
        <f t="shared" si="49"/>
        <v>0</v>
      </c>
      <c r="O772" s="132">
        <f t="shared" si="49"/>
        <v>0</v>
      </c>
      <c r="P772" s="132">
        <f t="shared" si="49"/>
        <v>0</v>
      </c>
      <c r="Q772" s="132">
        <f t="shared" si="49"/>
        <v>0</v>
      </c>
      <c r="R772" s="646"/>
    </row>
    <row r="773" spans="1:18" ht="13.5" customHeight="1">
      <c r="A773" s="112"/>
      <c r="B773" s="112"/>
      <c r="C773" s="348"/>
      <c r="D773" s="297" t="s">
        <v>493</v>
      </c>
      <c r="E773" s="295"/>
      <c r="F773" s="539"/>
      <c r="G773" s="296"/>
      <c r="H773" s="296"/>
      <c r="I773" s="296"/>
      <c r="J773" s="296"/>
      <c r="K773" s="296"/>
      <c r="L773" s="296"/>
      <c r="M773" s="296"/>
      <c r="N773" s="296"/>
      <c r="O773" s="296"/>
      <c r="P773" s="296"/>
      <c r="Q773" s="644"/>
      <c r="R773" s="646"/>
    </row>
    <row r="774" spans="1:18" ht="13.5" customHeight="1" hidden="1">
      <c r="A774" s="121"/>
      <c r="B774" s="121"/>
      <c r="C774" s="126" t="s">
        <v>1328</v>
      </c>
      <c r="D774" s="370" t="s">
        <v>917</v>
      </c>
      <c r="E774" s="114"/>
      <c r="F774" s="331">
        <v>222904</v>
      </c>
      <c r="G774" s="18"/>
      <c r="H774" s="231"/>
      <c r="I774" s="18"/>
      <c r="J774" s="18"/>
      <c r="K774" s="18"/>
      <c r="L774" s="18"/>
      <c r="M774" s="18"/>
      <c r="N774" s="18"/>
      <c r="O774" s="18"/>
      <c r="P774" s="18"/>
      <c r="Q774" s="17">
        <f aca="true" t="shared" si="50" ref="Q774:Q780">SUM(G774:P774)</f>
        <v>0</v>
      </c>
      <c r="R774" s="646"/>
    </row>
    <row r="775" spans="1:18" ht="13.5" customHeight="1" hidden="1">
      <c r="A775" s="121"/>
      <c r="B775" s="121"/>
      <c r="C775" s="126" t="s">
        <v>1331</v>
      </c>
      <c r="D775" s="110" t="s">
        <v>628</v>
      </c>
      <c r="E775" s="338"/>
      <c r="F775" s="337">
        <v>172918</v>
      </c>
      <c r="G775" s="122"/>
      <c r="H775" s="122"/>
      <c r="I775" s="105"/>
      <c r="J775" s="122"/>
      <c r="K775" s="122"/>
      <c r="L775" s="123"/>
      <c r="M775" s="123"/>
      <c r="N775" s="123"/>
      <c r="O775" s="123"/>
      <c r="P775" s="122"/>
      <c r="Q775" s="17">
        <f t="shared" si="50"/>
        <v>0</v>
      </c>
      <c r="R775" s="646"/>
    </row>
    <row r="776" spans="1:18" ht="13.5" customHeight="1" hidden="1">
      <c r="A776" s="121"/>
      <c r="B776" s="121"/>
      <c r="C776" s="126" t="s">
        <v>1332</v>
      </c>
      <c r="D776" s="308" t="s">
        <v>634</v>
      </c>
      <c r="E776" s="114"/>
      <c r="F776" s="331">
        <v>222906</v>
      </c>
      <c r="G776" s="122"/>
      <c r="H776" s="122"/>
      <c r="I776" s="123"/>
      <c r="J776" s="122"/>
      <c r="K776" s="122"/>
      <c r="L776" s="123"/>
      <c r="M776" s="123"/>
      <c r="N776" s="123"/>
      <c r="O776" s="122"/>
      <c r="P776" s="122"/>
      <c r="Q776" s="124">
        <f t="shared" si="50"/>
        <v>0</v>
      </c>
      <c r="R776" s="646"/>
    </row>
    <row r="777" spans="1:18" ht="13.5" customHeight="1" hidden="1">
      <c r="A777" s="121"/>
      <c r="B777" s="121"/>
      <c r="C777" s="126" t="s">
        <v>1333</v>
      </c>
      <c r="D777" s="294" t="s">
        <v>630</v>
      </c>
      <c r="E777" s="114"/>
      <c r="F777" s="331">
        <v>222907</v>
      </c>
      <c r="G777" s="122"/>
      <c r="H777" s="122"/>
      <c r="I777" s="122"/>
      <c r="J777" s="122"/>
      <c r="K777" s="122"/>
      <c r="L777" s="123"/>
      <c r="M777" s="123"/>
      <c r="N777" s="123"/>
      <c r="O777" s="122"/>
      <c r="P777" s="122"/>
      <c r="Q777" s="124">
        <f t="shared" si="50"/>
        <v>0</v>
      </c>
      <c r="R777" s="646"/>
    </row>
    <row r="778" spans="1:18" ht="13.5" customHeight="1" hidden="1">
      <c r="A778" s="121"/>
      <c r="B778" s="121"/>
      <c r="C778" s="126" t="s">
        <v>1334</v>
      </c>
      <c r="D778" s="294" t="s">
        <v>858</v>
      </c>
      <c r="E778" s="114"/>
      <c r="F778" s="331">
        <v>222908</v>
      </c>
      <c r="G778" s="122"/>
      <c r="H778" s="122"/>
      <c r="I778" s="122"/>
      <c r="J778" s="122"/>
      <c r="K778" s="122"/>
      <c r="L778" s="123"/>
      <c r="M778" s="123"/>
      <c r="N778" s="123"/>
      <c r="O778" s="122"/>
      <c r="P778" s="122"/>
      <c r="Q778" s="124">
        <f t="shared" si="50"/>
        <v>0</v>
      </c>
      <c r="R778" s="646"/>
    </row>
    <row r="779" spans="1:18" ht="13.5" customHeight="1" hidden="1">
      <c r="A779" s="121"/>
      <c r="B779" s="121"/>
      <c r="C779" s="100" t="s">
        <v>663</v>
      </c>
      <c r="D779" s="197" t="s">
        <v>664</v>
      </c>
      <c r="E779" s="114"/>
      <c r="F779" s="328">
        <v>222909</v>
      </c>
      <c r="G779" s="122"/>
      <c r="H779" s="122"/>
      <c r="I779" s="122"/>
      <c r="J779" s="122"/>
      <c r="K779" s="122"/>
      <c r="L779" s="123"/>
      <c r="M779" s="123"/>
      <c r="N779" s="123"/>
      <c r="O779" s="122"/>
      <c r="P779" s="122"/>
      <c r="Q779" s="124">
        <f t="shared" si="50"/>
        <v>0</v>
      </c>
      <c r="R779" s="646"/>
    </row>
    <row r="780" spans="1:18" ht="22.5" customHeight="1" hidden="1">
      <c r="A780" s="121"/>
      <c r="B780" s="121"/>
      <c r="C780" s="100" t="s">
        <v>1209</v>
      </c>
      <c r="D780" s="294" t="s">
        <v>223</v>
      </c>
      <c r="E780" s="102"/>
      <c r="F780" s="100">
        <v>222910</v>
      </c>
      <c r="G780" s="122"/>
      <c r="H780" s="122"/>
      <c r="I780" s="122"/>
      <c r="J780" s="122"/>
      <c r="K780" s="122"/>
      <c r="L780" s="123"/>
      <c r="M780" s="123"/>
      <c r="N780" s="123"/>
      <c r="O780" s="122"/>
      <c r="P780" s="122"/>
      <c r="Q780" s="124">
        <f t="shared" si="50"/>
        <v>0</v>
      </c>
      <c r="R780" s="646" t="s">
        <v>1178</v>
      </c>
    </row>
    <row r="781" spans="1:18" ht="15.75" customHeight="1" hidden="1">
      <c r="A781" s="121"/>
      <c r="B781" s="121"/>
      <c r="C781" s="100" t="s">
        <v>221</v>
      </c>
      <c r="D781" s="197" t="s">
        <v>222</v>
      </c>
      <c r="E781" s="15"/>
      <c r="F781" s="100">
        <v>222911</v>
      </c>
      <c r="G781" s="122"/>
      <c r="H781" s="122"/>
      <c r="I781" s="122"/>
      <c r="J781" s="122"/>
      <c r="K781" s="122"/>
      <c r="L781" s="123"/>
      <c r="M781" s="123"/>
      <c r="N781" s="123"/>
      <c r="O781" s="122"/>
      <c r="P781" s="122"/>
      <c r="Q781" s="124">
        <f>SUM(G781:P781)</f>
        <v>0</v>
      </c>
      <c r="R781" s="646" t="s">
        <v>1178</v>
      </c>
    </row>
    <row r="782" spans="1:144" s="134" customFormat="1" ht="13.5" customHeight="1">
      <c r="A782" s="104"/>
      <c r="B782" s="104"/>
      <c r="C782" s="245"/>
      <c r="D782" s="106" t="s">
        <v>903</v>
      </c>
      <c r="E782" s="107"/>
      <c r="F782" s="532"/>
      <c r="G782" s="111">
        <f>SUM(G772:G781)</f>
        <v>250</v>
      </c>
      <c r="H782" s="111">
        <f aca="true" t="shared" si="51" ref="H782:M782">SUM(H772:H781)</f>
        <v>600</v>
      </c>
      <c r="I782" s="111">
        <f t="shared" si="51"/>
        <v>-855</v>
      </c>
      <c r="J782" s="111">
        <f t="shared" si="51"/>
        <v>0</v>
      </c>
      <c r="K782" s="111">
        <f t="shared" si="51"/>
        <v>650</v>
      </c>
      <c r="L782" s="111">
        <f t="shared" si="51"/>
        <v>-645</v>
      </c>
      <c r="M782" s="111">
        <f t="shared" si="51"/>
        <v>0</v>
      </c>
      <c r="N782" s="111">
        <f>SUM(N772:N781)</f>
        <v>0</v>
      </c>
      <c r="O782" s="111">
        <f>SUM(O772:O781)</f>
        <v>0</v>
      </c>
      <c r="P782" s="111">
        <f>SUM(P772:P781)</f>
        <v>0</v>
      </c>
      <c r="Q782" s="111">
        <f>SUM(Q772:Q781)</f>
        <v>0</v>
      </c>
      <c r="R782" s="648"/>
      <c r="S782" s="133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  <c r="AF782" s="133"/>
      <c r="AG782" s="133"/>
      <c r="AH782" s="133"/>
      <c r="AI782" s="133"/>
      <c r="AJ782" s="133"/>
      <c r="AK782" s="133"/>
      <c r="AL782" s="133"/>
      <c r="AM782" s="133"/>
      <c r="AN782" s="133"/>
      <c r="AO782" s="133"/>
      <c r="AP782" s="133"/>
      <c r="AQ782" s="133"/>
      <c r="AR782" s="133"/>
      <c r="AS782" s="133"/>
      <c r="AT782" s="133"/>
      <c r="AU782" s="133"/>
      <c r="AV782" s="133"/>
      <c r="AW782" s="133"/>
      <c r="AX782" s="133"/>
      <c r="AY782" s="133"/>
      <c r="AZ782" s="133"/>
      <c r="BA782" s="133"/>
      <c r="BB782" s="133"/>
      <c r="BC782" s="133"/>
      <c r="BD782" s="133"/>
      <c r="BE782" s="133"/>
      <c r="BF782" s="133"/>
      <c r="BG782" s="133"/>
      <c r="BH782" s="133"/>
      <c r="BI782" s="133"/>
      <c r="BJ782" s="133"/>
      <c r="BK782" s="133"/>
      <c r="BL782" s="133"/>
      <c r="BM782" s="133"/>
      <c r="BN782" s="133"/>
      <c r="BO782" s="133"/>
      <c r="BP782" s="133"/>
      <c r="BQ782" s="133"/>
      <c r="BR782" s="133"/>
      <c r="BS782" s="133"/>
      <c r="BT782" s="133"/>
      <c r="BU782" s="133"/>
      <c r="BV782" s="133"/>
      <c r="BW782" s="133"/>
      <c r="BX782" s="133"/>
      <c r="BY782" s="133"/>
      <c r="BZ782" s="133"/>
      <c r="CA782" s="133"/>
      <c r="CB782" s="133"/>
      <c r="CC782" s="133"/>
      <c r="CD782" s="133"/>
      <c r="CE782" s="133"/>
      <c r="CF782" s="133"/>
      <c r="CG782" s="133"/>
      <c r="CH782" s="133"/>
      <c r="CI782" s="133"/>
      <c r="CJ782" s="133"/>
      <c r="CK782" s="133"/>
      <c r="CL782" s="133"/>
      <c r="CM782" s="133"/>
      <c r="CN782" s="133"/>
      <c r="CO782" s="133"/>
      <c r="CP782" s="133"/>
      <c r="CQ782" s="133"/>
      <c r="CR782" s="133"/>
      <c r="CS782" s="133"/>
      <c r="CT782" s="133"/>
      <c r="CU782" s="133"/>
      <c r="CV782" s="133"/>
      <c r="CW782" s="133"/>
      <c r="CX782" s="133"/>
      <c r="CY782" s="133"/>
      <c r="CZ782" s="133"/>
      <c r="DA782" s="133"/>
      <c r="DB782" s="133"/>
      <c r="DC782" s="133"/>
      <c r="DD782" s="133"/>
      <c r="DE782" s="133"/>
      <c r="DF782" s="133"/>
      <c r="DG782" s="133"/>
      <c r="DH782" s="133"/>
      <c r="DI782" s="133"/>
      <c r="DJ782" s="133"/>
      <c r="DK782" s="133"/>
      <c r="DL782" s="133"/>
      <c r="DM782" s="133"/>
      <c r="DN782" s="133"/>
      <c r="DO782" s="133"/>
      <c r="DP782" s="133"/>
      <c r="DQ782" s="133"/>
      <c r="DR782" s="133"/>
      <c r="DS782" s="133"/>
      <c r="DT782" s="133"/>
      <c r="DU782" s="133"/>
      <c r="DV782" s="133"/>
      <c r="DW782" s="133"/>
      <c r="DX782" s="133"/>
      <c r="DY782" s="133"/>
      <c r="DZ782" s="133"/>
      <c r="EA782" s="133"/>
      <c r="EB782" s="133"/>
      <c r="EC782" s="133"/>
      <c r="ED782" s="133"/>
      <c r="EE782" s="133"/>
      <c r="EF782" s="133"/>
      <c r="EG782" s="133"/>
      <c r="EH782" s="133"/>
      <c r="EI782" s="133"/>
      <c r="EJ782" s="133"/>
      <c r="EK782" s="133"/>
      <c r="EL782" s="133"/>
      <c r="EM782" s="133"/>
      <c r="EN782" s="133"/>
    </row>
    <row r="783" spans="1:18" ht="13.5" customHeight="1">
      <c r="A783" s="119">
        <v>1</v>
      </c>
      <c r="B783" s="119">
        <v>30</v>
      </c>
      <c r="C783" s="249"/>
      <c r="D783" s="21" t="s">
        <v>99</v>
      </c>
      <c r="E783" s="114"/>
      <c r="F783" s="331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7"/>
      <c r="R783" s="646"/>
    </row>
    <row r="784" spans="1:18" ht="13.5" customHeight="1" hidden="1">
      <c r="A784" s="119"/>
      <c r="B784" s="119">
        <v>31</v>
      </c>
      <c r="C784" s="249"/>
      <c r="D784" s="21" t="s">
        <v>1068</v>
      </c>
      <c r="E784" s="114">
        <v>1</v>
      </c>
      <c r="F784" s="331">
        <v>311901</v>
      </c>
      <c r="G784" s="19"/>
      <c r="H784" s="19"/>
      <c r="I784" s="19"/>
      <c r="J784" s="19"/>
      <c r="K784" s="18"/>
      <c r="L784" s="19"/>
      <c r="M784" s="19"/>
      <c r="N784" s="19"/>
      <c r="O784" s="19"/>
      <c r="P784" s="18"/>
      <c r="Q784" s="17">
        <f>SUM(G784:P784)</f>
        <v>0</v>
      </c>
      <c r="R784" s="646"/>
    </row>
    <row r="785" spans="1:18" ht="13.5" customHeight="1">
      <c r="A785" s="113"/>
      <c r="B785" s="113">
        <v>32</v>
      </c>
      <c r="C785" s="248"/>
      <c r="D785" s="21" t="s">
        <v>814</v>
      </c>
      <c r="E785" s="114"/>
      <c r="F785" s="331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7"/>
      <c r="R785" s="646"/>
    </row>
    <row r="786" spans="1:18" ht="13.5" customHeight="1" hidden="1">
      <c r="A786" s="113"/>
      <c r="B786" s="113"/>
      <c r="C786" s="248"/>
      <c r="D786" s="17" t="s">
        <v>1069</v>
      </c>
      <c r="E786" s="18">
        <v>1</v>
      </c>
      <c r="F786" s="113">
        <v>321907</v>
      </c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7">
        <f aca="true" t="shared" si="52" ref="Q786:Q792">SUM(G786:P786)</f>
        <v>0</v>
      </c>
      <c r="R786" s="646"/>
    </row>
    <row r="787" spans="1:18" ht="12.75" customHeight="1">
      <c r="A787" s="116"/>
      <c r="B787" s="116"/>
      <c r="C787" s="116"/>
      <c r="D787" s="292" t="s">
        <v>32</v>
      </c>
      <c r="E787" s="118">
        <v>1</v>
      </c>
      <c r="F787" s="548">
        <v>321903</v>
      </c>
      <c r="G787" s="116"/>
      <c r="H787" s="116"/>
      <c r="I787" s="118"/>
      <c r="J787" s="117"/>
      <c r="K787" s="118">
        <v>-6121</v>
      </c>
      <c r="L787" s="116"/>
      <c r="M787" s="116"/>
      <c r="N787" s="116"/>
      <c r="O787" s="116"/>
      <c r="P787" s="189"/>
      <c r="Q787" s="17">
        <f t="shared" si="52"/>
        <v>-6121</v>
      </c>
      <c r="R787" s="646" t="s">
        <v>1178</v>
      </c>
    </row>
    <row r="788" spans="1:18" ht="13.5" customHeight="1">
      <c r="A788" s="113"/>
      <c r="B788" s="113"/>
      <c r="C788" s="248"/>
      <c r="D788" s="17" t="s">
        <v>33</v>
      </c>
      <c r="E788" s="302">
        <v>1</v>
      </c>
      <c r="F788" s="113">
        <v>321908</v>
      </c>
      <c r="G788" s="18"/>
      <c r="H788" s="18"/>
      <c r="I788" s="18"/>
      <c r="J788" s="18"/>
      <c r="K788" s="18">
        <v>-92</v>
      </c>
      <c r="L788" s="18"/>
      <c r="M788" s="18"/>
      <c r="N788" s="18"/>
      <c r="O788" s="18"/>
      <c r="P788" s="18"/>
      <c r="Q788" s="17">
        <f t="shared" si="52"/>
        <v>-92</v>
      </c>
      <c r="R788" s="646" t="s">
        <v>1178</v>
      </c>
    </row>
    <row r="789" spans="1:18" ht="13.5" customHeight="1" hidden="1">
      <c r="A789" s="113"/>
      <c r="B789" s="113"/>
      <c r="C789" s="248"/>
      <c r="D789" s="322" t="s">
        <v>417</v>
      </c>
      <c r="E789" s="302">
        <v>1</v>
      </c>
      <c r="F789" s="113">
        <v>321932</v>
      </c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7">
        <f t="shared" si="52"/>
        <v>0</v>
      </c>
      <c r="R789" s="646"/>
    </row>
    <row r="790" spans="1:18" ht="15" customHeight="1">
      <c r="A790" s="113"/>
      <c r="B790" s="113"/>
      <c r="C790" s="248"/>
      <c r="D790" s="318" t="s">
        <v>416</v>
      </c>
      <c r="E790" s="303">
        <v>1</v>
      </c>
      <c r="F790" s="540">
        <v>321933</v>
      </c>
      <c r="G790" s="18"/>
      <c r="H790" s="18"/>
      <c r="I790" s="18"/>
      <c r="J790" s="18"/>
      <c r="K790" s="18">
        <v>5629</v>
      </c>
      <c r="L790" s="18"/>
      <c r="M790" s="18"/>
      <c r="N790" s="18"/>
      <c r="O790" s="18"/>
      <c r="P790" s="18"/>
      <c r="Q790" s="17">
        <f t="shared" si="52"/>
        <v>5629</v>
      </c>
      <c r="R790" s="646" t="s">
        <v>1178</v>
      </c>
    </row>
    <row r="791" spans="1:18" ht="15" customHeight="1" hidden="1">
      <c r="A791" s="113"/>
      <c r="B791" s="113"/>
      <c r="C791" s="248"/>
      <c r="D791" s="697" t="s">
        <v>758</v>
      </c>
      <c r="E791" s="303">
        <v>1</v>
      </c>
      <c r="F791" s="540">
        <v>321934</v>
      </c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7">
        <f t="shared" si="52"/>
        <v>0</v>
      </c>
      <c r="R791" s="646"/>
    </row>
    <row r="792" spans="1:18" ht="18" customHeight="1" hidden="1">
      <c r="A792" s="113"/>
      <c r="B792" s="113"/>
      <c r="C792" s="248"/>
      <c r="D792" s="207" t="s">
        <v>75</v>
      </c>
      <c r="E792" s="303">
        <v>1</v>
      </c>
      <c r="F792" s="540">
        <v>321911</v>
      </c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7">
        <f t="shared" si="52"/>
        <v>0</v>
      </c>
      <c r="R792" s="646"/>
    </row>
    <row r="793" spans="1:18" ht="28.5" customHeight="1" hidden="1">
      <c r="A793" s="113"/>
      <c r="B793" s="113"/>
      <c r="C793" s="248"/>
      <c r="D793" s="234" t="s">
        <v>234</v>
      </c>
      <c r="E793" s="303"/>
      <c r="F793" s="534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7"/>
      <c r="R793" s="646"/>
    </row>
    <row r="794" spans="1:18" ht="13.5" customHeight="1" hidden="1">
      <c r="A794" s="113"/>
      <c r="B794" s="113"/>
      <c r="C794" s="248"/>
      <c r="D794" s="16" t="s">
        <v>960</v>
      </c>
      <c r="E794" s="311">
        <v>2</v>
      </c>
      <c r="F794" s="100">
        <v>321953</v>
      </c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7">
        <f>SUM(G794:P794)</f>
        <v>0</v>
      </c>
      <c r="R794" s="646"/>
    </row>
    <row r="795" spans="1:18" ht="13.5" customHeight="1" hidden="1">
      <c r="A795" s="113"/>
      <c r="B795" s="113"/>
      <c r="C795" s="248"/>
      <c r="D795" s="17" t="s">
        <v>1118</v>
      </c>
      <c r="E795" s="302">
        <v>2</v>
      </c>
      <c r="F795" s="113">
        <v>321954</v>
      </c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7">
        <f>SUM(G795:P795)</f>
        <v>0</v>
      </c>
      <c r="R795" s="646"/>
    </row>
    <row r="796" spans="1:18" ht="13.5" customHeight="1" hidden="1">
      <c r="A796" s="113"/>
      <c r="B796" s="113"/>
      <c r="C796" s="248"/>
      <c r="D796" s="233" t="s">
        <v>959</v>
      </c>
      <c r="E796" s="303">
        <v>2</v>
      </c>
      <c r="F796" s="540">
        <v>321906</v>
      </c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7">
        <f>SUM(G796:P796)</f>
        <v>0</v>
      </c>
      <c r="R796" s="646"/>
    </row>
    <row r="797" spans="1:18" ht="24.75" customHeight="1" hidden="1">
      <c r="A797" s="113"/>
      <c r="B797" s="113"/>
      <c r="C797" s="248"/>
      <c r="D797" s="234" t="s">
        <v>233</v>
      </c>
      <c r="E797" s="303"/>
      <c r="F797" s="534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7"/>
      <c r="R797" s="646"/>
    </row>
    <row r="798" spans="1:18" ht="13.5" customHeight="1" hidden="1">
      <c r="A798" s="113"/>
      <c r="B798" s="113"/>
      <c r="C798" s="248"/>
      <c r="D798" s="17" t="s">
        <v>418</v>
      </c>
      <c r="E798" s="302">
        <v>2</v>
      </c>
      <c r="F798" s="113">
        <v>321958</v>
      </c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7">
        <f>SUM(G798:P798)</f>
        <v>0</v>
      </c>
      <c r="R798" s="646"/>
    </row>
    <row r="799" spans="1:18" ht="13.5" customHeight="1" hidden="1">
      <c r="A799" s="113"/>
      <c r="B799" s="113"/>
      <c r="C799" s="248"/>
      <c r="D799" s="233" t="s">
        <v>1294</v>
      </c>
      <c r="E799" s="303">
        <v>2</v>
      </c>
      <c r="F799" s="540">
        <v>321956</v>
      </c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7">
        <f>SUM(G799:P799)</f>
        <v>0</v>
      </c>
      <c r="R799" s="646"/>
    </row>
    <row r="800" spans="1:18" ht="24.75" customHeight="1" hidden="1">
      <c r="A800" s="113"/>
      <c r="B800" s="113"/>
      <c r="C800" s="248"/>
      <c r="D800" s="234" t="s">
        <v>278</v>
      </c>
      <c r="E800" s="303"/>
      <c r="F800" s="534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7"/>
      <c r="R800" s="646"/>
    </row>
    <row r="801" spans="1:18" ht="13.5" customHeight="1" hidden="1">
      <c r="A801" s="113"/>
      <c r="B801" s="113"/>
      <c r="C801" s="248"/>
      <c r="D801" s="17" t="s">
        <v>279</v>
      </c>
      <c r="E801" s="302">
        <v>2</v>
      </c>
      <c r="F801" s="113">
        <v>321959</v>
      </c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7">
        <f>SUM(G801:P801)</f>
        <v>0</v>
      </c>
      <c r="R801" s="646"/>
    </row>
    <row r="802" spans="1:18" ht="25.5" customHeight="1" hidden="1">
      <c r="A802" s="113"/>
      <c r="B802" s="113"/>
      <c r="C802" s="248"/>
      <c r="D802" s="234" t="s">
        <v>232</v>
      </c>
      <c r="E802" s="303"/>
      <c r="F802" s="534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7"/>
      <c r="R802" s="646"/>
    </row>
    <row r="803" spans="1:18" ht="15" customHeight="1" hidden="1">
      <c r="A803" s="113"/>
      <c r="B803" s="113"/>
      <c r="C803" s="248"/>
      <c r="D803" s="233" t="s">
        <v>280</v>
      </c>
      <c r="E803" s="303">
        <v>2</v>
      </c>
      <c r="F803" s="540">
        <v>321960</v>
      </c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7">
        <f aca="true" t="shared" si="53" ref="Q803:Q808">SUM(G803:P803)</f>
        <v>0</v>
      </c>
      <c r="R803" s="646"/>
    </row>
    <row r="804" spans="1:18" ht="24" customHeight="1" hidden="1">
      <c r="A804" s="113"/>
      <c r="B804" s="113"/>
      <c r="C804" s="248"/>
      <c r="D804" s="240" t="s">
        <v>1119</v>
      </c>
      <c r="E804" s="313"/>
      <c r="F804" s="549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7"/>
      <c r="R804" s="646"/>
    </row>
    <row r="805" spans="1:18" ht="15" customHeight="1" hidden="1">
      <c r="A805" s="113"/>
      <c r="B805" s="113"/>
      <c r="C805" s="248"/>
      <c r="D805" s="224" t="s">
        <v>1120</v>
      </c>
      <c r="E805" s="303">
        <v>1</v>
      </c>
      <c r="F805" s="540">
        <v>321961</v>
      </c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7">
        <f t="shared" si="53"/>
        <v>0</v>
      </c>
      <c r="R805" s="646"/>
    </row>
    <row r="806" spans="1:18" ht="15" customHeight="1" hidden="1">
      <c r="A806" s="113"/>
      <c r="B806" s="113"/>
      <c r="C806" s="248"/>
      <c r="D806" s="224" t="s">
        <v>907</v>
      </c>
      <c r="E806" s="303">
        <v>1</v>
      </c>
      <c r="F806" s="540">
        <v>321909</v>
      </c>
      <c r="G806" s="18"/>
      <c r="H806" s="18"/>
      <c r="I806" s="18"/>
      <c r="J806" s="18"/>
      <c r="K806" s="15"/>
      <c r="L806" s="18"/>
      <c r="M806" s="18"/>
      <c r="N806" s="18"/>
      <c r="O806" s="18"/>
      <c r="P806" s="18"/>
      <c r="Q806" s="17">
        <f t="shared" si="53"/>
        <v>0</v>
      </c>
      <c r="R806" s="646"/>
    </row>
    <row r="807" spans="1:18" ht="13.5" customHeight="1" hidden="1">
      <c r="A807" s="113"/>
      <c r="B807" s="113"/>
      <c r="C807" s="248"/>
      <c r="D807" s="157" t="s">
        <v>530</v>
      </c>
      <c r="E807" s="18"/>
      <c r="F807" s="113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7"/>
      <c r="R807" s="646"/>
    </row>
    <row r="808" spans="1:18" ht="13.5" customHeight="1" hidden="1">
      <c r="A808" s="113"/>
      <c r="B808" s="113"/>
      <c r="C808" s="248" t="s">
        <v>1288</v>
      </c>
      <c r="D808" s="614" t="s">
        <v>1363</v>
      </c>
      <c r="E808" s="18"/>
      <c r="F808" s="113">
        <v>324902</v>
      </c>
      <c r="G808" s="18"/>
      <c r="H808" s="18"/>
      <c r="I808" s="18"/>
      <c r="J808" s="18"/>
      <c r="K808" s="15"/>
      <c r="L808" s="18"/>
      <c r="M808" s="18"/>
      <c r="N808" s="18"/>
      <c r="O808" s="18"/>
      <c r="P808" s="18"/>
      <c r="Q808" s="17">
        <f t="shared" si="53"/>
        <v>0</v>
      </c>
      <c r="R808" s="646"/>
    </row>
    <row r="809" spans="1:18" ht="15.75" customHeight="1">
      <c r="A809" s="104"/>
      <c r="B809" s="104"/>
      <c r="C809" s="245"/>
      <c r="D809" s="106" t="s">
        <v>1012</v>
      </c>
      <c r="E809" s="107"/>
      <c r="F809" s="532"/>
      <c r="G809" s="111">
        <f aca="true" t="shared" si="54" ref="G809:Q809">SUM(G783:G808)</f>
        <v>0</v>
      </c>
      <c r="H809" s="111">
        <f t="shared" si="54"/>
        <v>0</v>
      </c>
      <c r="I809" s="111">
        <f t="shared" si="54"/>
        <v>0</v>
      </c>
      <c r="J809" s="111">
        <f t="shared" si="54"/>
        <v>0</v>
      </c>
      <c r="K809" s="111">
        <f t="shared" si="54"/>
        <v>-584</v>
      </c>
      <c r="L809" s="111">
        <f t="shared" si="54"/>
        <v>0</v>
      </c>
      <c r="M809" s="111">
        <f t="shared" si="54"/>
        <v>0</v>
      </c>
      <c r="N809" s="111">
        <f t="shared" si="54"/>
        <v>0</v>
      </c>
      <c r="O809" s="111">
        <f t="shared" si="54"/>
        <v>0</v>
      </c>
      <c r="P809" s="111">
        <f t="shared" si="54"/>
        <v>0</v>
      </c>
      <c r="Q809" s="106">
        <f t="shared" si="54"/>
        <v>-584</v>
      </c>
      <c r="R809" s="646"/>
    </row>
    <row r="810" spans="1:18" ht="15.75" customHeight="1">
      <c r="A810" s="104"/>
      <c r="B810" s="104"/>
      <c r="C810" s="245"/>
      <c r="D810" s="239" t="s">
        <v>284</v>
      </c>
      <c r="E810" s="479"/>
      <c r="F810" s="550"/>
      <c r="G810" s="159">
        <f aca="true" t="shared" si="55" ref="G810:Q810">SUM(G49+G234+G248+G517+G643+G674+G698+G735+G738+G782+G809)</f>
        <v>12361</v>
      </c>
      <c r="H810" s="159">
        <f t="shared" si="55"/>
        <v>4951</v>
      </c>
      <c r="I810" s="159">
        <f t="shared" si="55"/>
        <v>46940</v>
      </c>
      <c r="J810" s="159">
        <f t="shared" si="55"/>
        <v>1361</v>
      </c>
      <c r="K810" s="159">
        <f t="shared" si="55"/>
        <v>1532</v>
      </c>
      <c r="L810" s="159">
        <f t="shared" si="55"/>
        <v>4518308</v>
      </c>
      <c r="M810" s="159">
        <f t="shared" si="55"/>
        <v>957992</v>
      </c>
      <c r="N810" s="159">
        <f t="shared" si="55"/>
        <v>336</v>
      </c>
      <c r="O810" s="159">
        <f t="shared" si="55"/>
        <v>0</v>
      </c>
      <c r="P810" s="159">
        <f t="shared" si="55"/>
        <v>0</v>
      </c>
      <c r="Q810" s="645">
        <f t="shared" si="55"/>
        <v>5543781</v>
      </c>
      <c r="R810" s="646"/>
    </row>
    <row r="811" spans="1:18" ht="15.75" customHeight="1">
      <c r="A811" s="100"/>
      <c r="B811" s="100"/>
      <c r="C811" s="100"/>
      <c r="D811" s="290" t="s">
        <v>454</v>
      </c>
      <c r="E811" s="102"/>
      <c r="F811" s="328"/>
      <c r="G811" s="90">
        <f>'táj.4'!C22</f>
        <v>3500</v>
      </c>
      <c r="H811" s="90">
        <f>'táj.4'!D22</f>
        <v>948</v>
      </c>
      <c r="I811" s="90">
        <f>'táj.4'!E22</f>
        <v>42500</v>
      </c>
      <c r="J811" s="90">
        <f>'táj.4'!F22</f>
        <v>0</v>
      </c>
      <c r="K811" s="90">
        <f>'táj.4'!G22</f>
        <v>-406</v>
      </c>
      <c r="L811" s="90">
        <f>'táj.4'!H22</f>
        <v>5616</v>
      </c>
      <c r="M811" s="90">
        <f>'táj.4'!I22</f>
        <v>-5121</v>
      </c>
      <c r="N811" s="90">
        <f>'táj.4'!J22</f>
        <v>0</v>
      </c>
      <c r="O811" s="90"/>
      <c r="P811" s="90">
        <f>'táj.4'!K22</f>
        <v>0</v>
      </c>
      <c r="Q811" s="255">
        <f>SUM(G811:P811)</f>
        <v>47037</v>
      </c>
      <c r="R811" s="646"/>
    </row>
    <row r="812" spans="1:18" ht="15.75" customHeight="1">
      <c r="A812" s="104"/>
      <c r="B812" s="104"/>
      <c r="C812" s="245"/>
      <c r="D812" s="106" t="s">
        <v>440</v>
      </c>
      <c r="E812" s="187"/>
      <c r="F812" s="551"/>
      <c r="G812" s="55">
        <f aca="true" t="shared" si="56" ref="G812:Q812">SUM(G810:G811)</f>
        <v>15861</v>
      </c>
      <c r="H812" s="55">
        <f t="shared" si="56"/>
        <v>5899</v>
      </c>
      <c r="I812" s="55">
        <f t="shared" si="56"/>
        <v>89440</v>
      </c>
      <c r="J812" s="55">
        <f t="shared" si="56"/>
        <v>1361</v>
      </c>
      <c r="K812" s="55">
        <f t="shared" si="56"/>
        <v>1126</v>
      </c>
      <c r="L812" s="111">
        <f t="shared" si="56"/>
        <v>4523924</v>
      </c>
      <c r="M812" s="111">
        <f t="shared" si="56"/>
        <v>952871</v>
      </c>
      <c r="N812" s="111">
        <f t="shared" si="56"/>
        <v>336</v>
      </c>
      <c r="O812" s="111">
        <f t="shared" si="56"/>
        <v>0</v>
      </c>
      <c r="P812" s="111">
        <f t="shared" si="56"/>
        <v>0</v>
      </c>
      <c r="Q812" s="106">
        <f t="shared" si="56"/>
        <v>5590818</v>
      </c>
      <c r="R812" s="646"/>
    </row>
  </sheetData>
  <sheetProtection selectLockedCells="1" selectUnlockedCells="1"/>
  <mergeCells count="9">
    <mergeCell ref="R1:R2"/>
    <mergeCell ref="O1:P1"/>
    <mergeCell ref="A1:A2"/>
    <mergeCell ref="B1:B2"/>
    <mergeCell ref="D1:D2"/>
    <mergeCell ref="E1:E2"/>
    <mergeCell ref="C1:C2"/>
    <mergeCell ref="G1:N1"/>
    <mergeCell ref="F1:F2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80" r:id="rId1"/>
  <headerFooter alignWithMargins="0">
    <oddHeader>&amp;C&amp;"Times New Roman CE,Félkövér dőlt"ZALAEGERSZEG MEGYEI JOGÚ VÖNKORMÁNYZATA
2016. ÉVI KIADÁSI ELŐIRÁNYZATAINAK MÓDOSÍTÁSA &amp;R&amp;"Times New Roman CE,Félkövér dőlt"2. tájékoztató tábla
Adatok ezer Ft-ban</oddHeader>
    <oddFooter>&amp;LFeladat jellege:
1=kötelező
2=önként vállalt
&amp;C&amp;P. oldal&amp;Ra *-gal jelzett célok  hitel felvételével valósíthatók meg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H26" sqref="H26"/>
    </sheetView>
  </sheetViews>
  <sheetFormatPr defaultColWidth="9.00390625" defaultRowHeight="12.75"/>
  <cols>
    <col min="1" max="1" width="3.375" style="278" customWidth="1"/>
    <col min="2" max="2" width="39.625" style="278" customWidth="1"/>
    <col min="3" max="3" width="12.375" style="278" customWidth="1"/>
    <col min="4" max="4" width="11.00390625" style="278" customWidth="1"/>
    <col min="5" max="5" width="7.625" style="278" customWidth="1"/>
    <col min="6" max="6" width="10.375" style="278" customWidth="1"/>
    <col min="7" max="7" width="12.00390625" style="278" customWidth="1"/>
    <col min="8" max="8" width="12.125" style="278" customWidth="1"/>
    <col min="9" max="9" width="12.375" style="278" customWidth="1"/>
    <col min="10" max="10" width="12.00390625" style="278" customWidth="1"/>
    <col min="11" max="11" width="13.50390625" style="278" customWidth="1"/>
    <col min="12" max="12" width="12.00390625" style="278" customWidth="1"/>
    <col min="13" max="13" width="11.50390625" style="278" customWidth="1"/>
    <col min="14" max="16384" width="9.375" style="278" customWidth="1"/>
  </cols>
  <sheetData>
    <row r="1" spans="1:13" ht="12.75" customHeight="1">
      <c r="A1" s="764" t="s">
        <v>1285</v>
      </c>
      <c r="B1" s="765" t="s">
        <v>151</v>
      </c>
      <c r="C1" s="782" t="s">
        <v>164</v>
      </c>
      <c r="D1" s="782"/>
      <c r="E1" s="782"/>
      <c r="F1" s="782"/>
      <c r="G1" s="782"/>
      <c r="H1" s="782"/>
      <c r="I1" s="782"/>
      <c r="J1" s="782" t="s">
        <v>536</v>
      </c>
      <c r="K1" s="782"/>
      <c r="L1" s="782"/>
      <c r="M1" s="780" t="s">
        <v>546</v>
      </c>
    </row>
    <row r="2" spans="1:13" s="279" customFormat="1" ht="66.75" customHeight="1">
      <c r="A2" s="764"/>
      <c r="B2" s="765"/>
      <c r="C2" s="411" t="s">
        <v>1017</v>
      </c>
      <c r="D2" s="411" t="s">
        <v>1018</v>
      </c>
      <c r="E2" s="191" t="s">
        <v>1019</v>
      </c>
      <c r="F2" s="411" t="s">
        <v>532</v>
      </c>
      <c r="G2" s="191" t="s">
        <v>533</v>
      </c>
      <c r="H2" s="191" t="s">
        <v>534</v>
      </c>
      <c r="I2" s="191" t="s">
        <v>535</v>
      </c>
      <c r="J2" s="191" t="s">
        <v>166</v>
      </c>
      <c r="K2" s="191" t="s">
        <v>1300</v>
      </c>
      <c r="L2" s="191" t="s">
        <v>168</v>
      </c>
      <c r="M2" s="781"/>
    </row>
    <row r="3" spans="1:13" ht="16.5" customHeight="1">
      <c r="A3" s="412" t="s">
        <v>1287</v>
      </c>
      <c r="B3" s="413" t="s">
        <v>154</v>
      </c>
      <c r="C3" s="414">
        <v>1327</v>
      </c>
      <c r="D3" s="414"/>
      <c r="E3" s="414"/>
      <c r="F3" s="414"/>
      <c r="G3" s="414"/>
      <c r="H3" s="414"/>
      <c r="I3" s="414"/>
      <c r="J3" s="414"/>
      <c r="K3" s="667">
        <v>372</v>
      </c>
      <c r="L3" s="414"/>
      <c r="M3" s="414">
        <f aca="true" t="shared" si="0" ref="M3:M21">SUM(C3:L3)</f>
        <v>1699</v>
      </c>
    </row>
    <row r="4" spans="1:13" ht="16.5" customHeight="1">
      <c r="A4" s="412" t="s">
        <v>1289</v>
      </c>
      <c r="B4" s="413" t="s">
        <v>470</v>
      </c>
      <c r="C4" s="414"/>
      <c r="D4" s="414"/>
      <c r="E4" s="414"/>
      <c r="F4" s="414"/>
      <c r="G4" s="414"/>
      <c r="H4" s="414"/>
      <c r="I4" s="414"/>
      <c r="J4" s="414"/>
      <c r="K4" s="414">
        <v>-5124</v>
      </c>
      <c r="L4" s="414"/>
      <c r="M4" s="414">
        <f t="shared" si="0"/>
        <v>-5124</v>
      </c>
    </row>
    <row r="5" spans="1:13" ht="16.5" customHeight="1">
      <c r="A5" s="412" t="s">
        <v>1290</v>
      </c>
      <c r="B5" s="413" t="s">
        <v>100</v>
      </c>
      <c r="C5" s="414"/>
      <c r="D5" s="414"/>
      <c r="E5" s="414"/>
      <c r="F5" s="414">
        <v>17800</v>
      </c>
      <c r="G5" s="414"/>
      <c r="H5" s="414"/>
      <c r="I5" s="414"/>
      <c r="J5" s="414"/>
      <c r="K5" s="414">
        <v>127</v>
      </c>
      <c r="L5" s="414"/>
      <c r="M5" s="414">
        <f t="shared" si="0"/>
        <v>17927</v>
      </c>
    </row>
    <row r="6" spans="1:13" ht="16.5" customHeight="1">
      <c r="A6" s="412" t="s">
        <v>1252</v>
      </c>
      <c r="B6" s="413" t="s">
        <v>268</v>
      </c>
      <c r="C6" s="414"/>
      <c r="D6" s="414"/>
      <c r="E6" s="414"/>
      <c r="F6" s="414">
        <v>2000</v>
      </c>
      <c r="G6" s="414"/>
      <c r="H6" s="414"/>
      <c r="I6" s="414"/>
      <c r="J6" s="414"/>
      <c r="K6" s="414">
        <v>2067</v>
      </c>
      <c r="L6" s="414"/>
      <c r="M6" s="414">
        <f t="shared" si="0"/>
        <v>4067</v>
      </c>
    </row>
    <row r="7" spans="1:13" ht="24" customHeight="1">
      <c r="A7" s="412" t="s">
        <v>1250</v>
      </c>
      <c r="B7" s="415" t="s">
        <v>471</v>
      </c>
      <c r="C7" s="414"/>
      <c r="D7" s="414"/>
      <c r="E7" s="414"/>
      <c r="F7" s="414"/>
      <c r="G7" s="414"/>
      <c r="H7" s="414"/>
      <c r="I7" s="414"/>
      <c r="J7" s="414"/>
      <c r="K7" s="414">
        <v>464</v>
      </c>
      <c r="L7" s="414"/>
      <c r="M7" s="414">
        <f t="shared" si="0"/>
        <v>464</v>
      </c>
    </row>
    <row r="8" spans="1:13" ht="24" customHeight="1">
      <c r="A8" s="412" t="s">
        <v>1253</v>
      </c>
      <c r="B8" s="415" t="s">
        <v>472</v>
      </c>
      <c r="C8" s="414"/>
      <c r="D8" s="414"/>
      <c r="E8" s="414"/>
      <c r="F8" s="414"/>
      <c r="G8" s="414"/>
      <c r="H8" s="414"/>
      <c r="I8" s="414"/>
      <c r="J8" s="414"/>
      <c r="K8" s="414">
        <v>1570</v>
      </c>
      <c r="L8" s="414"/>
      <c r="M8" s="414">
        <f t="shared" si="0"/>
        <v>1570</v>
      </c>
    </row>
    <row r="9" spans="1:13" ht="16.5" customHeight="1">
      <c r="A9" s="412" t="s">
        <v>1255</v>
      </c>
      <c r="B9" s="416" t="s">
        <v>269</v>
      </c>
      <c r="C9" s="414">
        <v>87</v>
      </c>
      <c r="D9" s="414">
        <v>2000</v>
      </c>
      <c r="E9" s="414"/>
      <c r="F9" s="414"/>
      <c r="G9" s="414"/>
      <c r="H9" s="414"/>
      <c r="I9" s="414"/>
      <c r="J9" s="414"/>
      <c r="K9" s="414">
        <v>35</v>
      </c>
      <c r="L9" s="414"/>
      <c r="M9" s="414">
        <f t="shared" si="0"/>
        <v>2122</v>
      </c>
    </row>
    <row r="10" spans="1:13" ht="16.5" customHeight="1">
      <c r="A10" s="412" t="s">
        <v>1257</v>
      </c>
      <c r="B10" s="416" t="s">
        <v>270</v>
      </c>
      <c r="C10" s="414">
        <v>40</v>
      </c>
      <c r="D10" s="414"/>
      <c r="E10" s="414"/>
      <c r="F10" s="414"/>
      <c r="G10" s="414"/>
      <c r="H10" s="414"/>
      <c r="I10" s="414"/>
      <c r="J10" s="414"/>
      <c r="K10" s="414">
        <v>91</v>
      </c>
      <c r="L10" s="414"/>
      <c r="M10" s="414">
        <f t="shared" si="0"/>
        <v>131</v>
      </c>
    </row>
    <row r="11" spans="1:13" ht="16.5" customHeight="1">
      <c r="A11" s="412" t="s">
        <v>1105</v>
      </c>
      <c r="B11" s="416" t="s">
        <v>271</v>
      </c>
      <c r="C11" s="414"/>
      <c r="D11" s="414"/>
      <c r="E11" s="414"/>
      <c r="F11" s="414"/>
      <c r="G11" s="414"/>
      <c r="H11" s="414"/>
      <c r="I11" s="414"/>
      <c r="J11" s="414"/>
      <c r="K11" s="414">
        <v>155</v>
      </c>
      <c r="L11" s="414"/>
      <c r="M11" s="414">
        <f t="shared" si="0"/>
        <v>155</v>
      </c>
    </row>
    <row r="12" spans="1:13" ht="16.5" customHeight="1">
      <c r="A12" s="412" t="s">
        <v>1106</v>
      </c>
      <c r="B12" s="416" t="s">
        <v>272</v>
      </c>
      <c r="C12" s="414">
        <v>299</v>
      </c>
      <c r="D12" s="414">
        <v>-57</v>
      </c>
      <c r="E12" s="414"/>
      <c r="F12" s="414"/>
      <c r="G12" s="414"/>
      <c r="H12" s="414"/>
      <c r="I12" s="414"/>
      <c r="J12" s="414"/>
      <c r="K12" s="414">
        <v>21</v>
      </c>
      <c r="L12" s="414"/>
      <c r="M12" s="414">
        <f t="shared" si="0"/>
        <v>263</v>
      </c>
    </row>
    <row r="13" spans="1:13" ht="18" customHeight="1">
      <c r="A13" s="412" t="s">
        <v>1107</v>
      </c>
      <c r="B13" s="417" t="s">
        <v>473</v>
      </c>
      <c r="C13" s="414"/>
      <c r="D13" s="414"/>
      <c r="E13" s="414"/>
      <c r="F13" s="414"/>
      <c r="G13" s="414"/>
      <c r="H13" s="414"/>
      <c r="I13" s="414"/>
      <c r="J13" s="414"/>
      <c r="K13" s="414">
        <v>117</v>
      </c>
      <c r="L13" s="414"/>
      <c r="M13" s="414">
        <f t="shared" si="0"/>
        <v>117</v>
      </c>
    </row>
    <row r="14" spans="1:13" ht="16.5" customHeight="1">
      <c r="A14" s="412" t="s">
        <v>1108</v>
      </c>
      <c r="B14" s="418" t="s">
        <v>265</v>
      </c>
      <c r="C14" s="414"/>
      <c r="D14" s="414"/>
      <c r="E14" s="414"/>
      <c r="F14" s="414"/>
      <c r="G14" s="414"/>
      <c r="H14" s="414"/>
      <c r="I14" s="414"/>
      <c r="J14" s="414"/>
      <c r="K14" s="414">
        <v>269</v>
      </c>
      <c r="L14" s="414"/>
      <c r="M14" s="414">
        <f t="shared" si="0"/>
        <v>269</v>
      </c>
    </row>
    <row r="15" spans="1:13" ht="27" customHeight="1">
      <c r="A15" s="412" t="s">
        <v>1109</v>
      </c>
      <c r="B15" s="415" t="s">
        <v>273</v>
      </c>
      <c r="C15" s="414"/>
      <c r="D15" s="414"/>
      <c r="E15" s="414"/>
      <c r="F15" s="414"/>
      <c r="G15" s="414"/>
      <c r="H15" s="414"/>
      <c r="I15" s="414"/>
      <c r="J15" s="414"/>
      <c r="K15" s="414">
        <v>19</v>
      </c>
      <c r="L15" s="414"/>
      <c r="M15" s="414">
        <f t="shared" si="0"/>
        <v>19</v>
      </c>
    </row>
    <row r="16" spans="1:13" ht="16.5" customHeight="1">
      <c r="A16" s="412" t="s">
        <v>1110</v>
      </c>
      <c r="B16" s="416" t="s">
        <v>266</v>
      </c>
      <c r="C16" s="414">
        <v>19000</v>
      </c>
      <c r="D16" s="414"/>
      <c r="E16" s="414"/>
      <c r="F16" s="414"/>
      <c r="G16" s="414"/>
      <c r="H16" s="414">
        <v>30</v>
      </c>
      <c r="I16" s="414"/>
      <c r="J16" s="414"/>
      <c r="K16" s="414">
        <v>421</v>
      </c>
      <c r="L16" s="414"/>
      <c r="M16" s="414">
        <f t="shared" si="0"/>
        <v>19451</v>
      </c>
    </row>
    <row r="17" spans="1:13" ht="16.5" customHeight="1">
      <c r="A17" s="412" t="s">
        <v>1269</v>
      </c>
      <c r="B17" s="416" t="s">
        <v>267</v>
      </c>
      <c r="C17" s="414"/>
      <c r="D17" s="414"/>
      <c r="E17" s="414"/>
      <c r="F17" s="414"/>
      <c r="G17" s="414"/>
      <c r="H17" s="414"/>
      <c r="I17" s="414"/>
      <c r="J17" s="414"/>
      <c r="K17" s="414">
        <v>126</v>
      </c>
      <c r="L17" s="414"/>
      <c r="M17" s="414">
        <f t="shared" si="0"/>
        <v>126</v>
      </c>
    </row>
    <row r="18" spans="1:13" ht="16.5" customHeight="1">
      <c r="A18" s="412" t="s">
        <v>1111</v>
      </c>
      <c r="B18" s="416" t="s">
        <v>274</v>
      </c>
      <c r="C18" s="414"/>
      <c r="D18" s="414"/>
      <c r="E18" s="414"/>
      <c r="F18" s="414">
        <v>3000</v>
      </c>
      <c r="G18" s="414"/>
      <c r="H18" s="414"/>
      <c r="I18" s="414"/>
      <c r="J18" s="414"/>
      <c r="K18" s="414">
        <v>545</v>
      </c>
      <c r="L18" s="414"/>
      <c r="M18" s="414">
        <f t="shared" si="0"/>
        <v>3545</v>
      </c>
    </row>
    <row r="19" spans="1:13" ht="16.5" customHeight="1">
      <c r="A19" s="412" t="s">
        <v>1112</v>
      </c>
      <c r="B19" s="416" t="s">
        <v>275</v>
      </c>
      <c r="C19" s="414"/>
      <c r="D19" s="414"/>
      <c r="E19" s="414"/>
      <c r="F19" s="414"/>
      <c r="G19" s="414"/>
      <c r="H19" s="414"/>
      <c r="I19" s="414"/>
      <c r="J19" s="414"/>
      <c r="K19" s="414">
        <v>126</v>
      </c>
      <c r="L19" s="414"/>
      <c r="M19" s="414">
        <f t="shared" si="0"/>
        <v>126</v>
      </c>
    </row>
    <row r="20" spans="1:13" ht="16.5" customHeight="1">
      <c r="A20" s="412" t="s">
        <v>474</v>
      </c>
      <c r="B20" s="416" t="s">
        <v>475</v>
      </c>
      <c r="C20" s="667"/>
      <c r="D20" s="667"/>
      <c r="E20" s="667"/>
      <c r="F20" s="667"/>
      <c r="G20" s="667"/>
      <c r="H20" s="667"/>
      <c r="I20" s="667"/>
      <c r="J20" s="667"/>
      <c r="K20" s="667">
        <v>88</v>
      </c>
      <c r="L20" s="667"/>
      <c r="M20" s="667">
        <f t="shared" si="0"/>
        <v>88</v>
      </c>
    </row>
    <row r="21" spans="1:13" ht="16.5" customHeight="1">
      <c r="A21" s="412" t="s">
        <v>476</v>
      </c>
      <c r="B21" s="416" t="s">
        <v>528</v>
      </c>
      <c r="C21" s="414"/>
      <c r="D21" s="414"/>
      <c r="E21" s="414"/>
      <c r="F21" s="414"/>
      <c r="G21" s="414"/>
      <c r="H21" s="414"/>
      <c r="I21" s="414"/>
      <c r="J21" s="414"/>
      <c r="K21" s="414">
        <v>22</v>
      </c>
      <c r="L21" s="414"/>
      <c r="M21" s="414">
        <f t="shared" si="0"/>
        <v>22</v>
      </c>
    </row>
    <row r="22" spans="1:13" ht="14.25" customHeight="1">
      <c r="A22" s="419"/>
      <c r="B22" s="420" t="s">
        <v>1016</v>
      </c>
      <c r="C22" s="421">
        <f aca="true" t="shared" si="1" ref="C22:M22">SUM(C3:C21)</f>
        <v>20753</v>
      </c>
      <c r="D22" s="421">
        <f t="shared" si="1"/>
        <v>1943</v>
      </c>
      <c r="E22" s="421">
        <f t="shared" si="1"/>
        <v>0</v>
      </c>
      <c r="F22" s="421">
        <f t="shared" si="1"/>
        <v>22800</v>
      </c>
      <c r="G22" s="421">
        <f t="shared" si="1"/>
        <v>0</v>
      </c>
      <c r="H22" s="421">
        <f t="shared" si="1"/>
        <v>30</v>
      </c>
      <c r="I22" s="421">
        <f t="shared" si="1"/>
        <v>0</v>
      </c>
      <c r="J22" s="421">
        <f t="shared" si="1"/>
        <v>0</v>
      </c>
      <c r="K22" s="421">
        <f t="shared" si="1"/>
        <v>1511</v>
      </c>
      <c r="L22" s="421">
        <f t="shared" si="1"/>
        <v>0</v>
      </c>
      <c r="M22" s="421">
        <f t="shared" si="1"/>
        <v>47037</v>
      </c>
    </row>
    <row r="23" spans="3:11" ht="13.5" customHeight="1">
      <c r="C23" s="280"/>
      <c r="D23" s="280"/>
      <c r="E23" s="280"/>
      <c r="F23" s="280"/>
      <c r="G23" s="280"/>
      <c r="H23" s="280"/>
      <c r="I23" s="280"/>
      <c r="J23" s="280"/>
      <c r="K23" s="280"/>
    </row>
    <row r="24" spans="3:11" ht="13.5" customHeight="1">
      <c r="C24" s="280"/>
      <c r="D24" s="280"/>
      <c r="E24" s="280"/>
      <c r="F24" s="280"/>
      <c r="G24" s="280"/>
      <c r="H24" s="280"/>
      <c r="I24" s="280"/>
      <c r="J24" s="280"/>
      <c r="K24" s="280"/>
    </row>
    <row r="25" spans="3:11" ht="13.5" customHeight="1">
      <c r="C25" s="280"/>
      <c r="D25" s="280"/>
      <c r="E25" s="280"/>
      <c r="F25" s="280"/>
      <c r="G25" s="280"/>
      <c r="H25" s="280"/>
      <c r="I25" s="280"/>
      <c r="J25" s="280"/>
      <c r="K25" s="422"/>
    </row>
    <row r="26" spans="3:11" ht="13.5" customHeight="1">
      <c r="C26" s="280"/>
      <c r="D26" s="280"/>
      <c r="E26" s="280"/>
      <c r="F26" s="280"/>
      <c r="G26" s="280"/>
      <c r="H26" s="280"/>
      <c r="I26" s="280"/>
      <c r="J26" s="280"/>
      <c r="K26" s="422"/>
    </row>
    <row r="27" spans="3:11" ht="13.5" customHeight="1">
      <c r="C27" s="280"/>
      <c r="D27" s="280"/>
      <c r="E27" s="280"/>
      <c r="F27" s="280"/>
      <c r="G27" s="280"/>
      <c r="H27" s="280"/>
      <c r="I27" s="280"/>
      <c r="J27" s="280"/>
      <c r="K27" s="280"/>
    </row>
    <row r="28" ht="13.5" customHeight="1"/>
    <row r="29" ht="13.5" customHeight="1"/>
    <row r="30" ht="13.5" customHeight="1"/>
  </sheetData>
  <sheetProtection/>
  <mergeCells count="5">
    <mergeCell ref="M1:M2"/>
    <mergeCell ref="A1:A2"/>
    <mergeCell ref="B1:B2"/>
    <mergeCell ref="C1:I1"/>
    <mergeCell ref="J1:L1"/>
  </mergeCells>
  <printOptions horizontalCentered="1"/>
  <pageMargins left="0.1968503937007874" right="0.1968503937007874" top="1.6141732283464567" bottom="0.7874015748031497" header="0.8661417322834646" footer="0.5118110236220472"/>
  <pageSetup fitToHeight="1" fitToWidth="1" horizontalDpi="300" verticalDpi="300" orientation="landscape" paperSize="9" scale="93" r:id="rId1"/>
  <headerFooter alignWithMargins="0">
    <oddHeader>&amp;C&amp;"Times New Roman,Félkövér dőlt"ZMJV ÖNKORMÁNYZATA ÁLTAL IRÁNYÍTOTT KÖLTSÉGVETÉSI SZERVEK
  2016. ÉVI  BEVÉTELI ELŐIRÁNYZATAINAK UTOLSÓ MÓDOSÍTÁSA&amp;R&amp;"Times New Roman,Félkövér dőlt"3. tájékoztató tábla
Adatok: ezer 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110" zoomScaleNormal="110" zoomScalePageLayoutView="0" workbookViewId="0" topLeftCell="A1">
      <pane ySplit="2" topLeftCell="BM3" activePane="bottomLeft" state="frozen"/>
      <selection pane="topLeft" activeCell="B1" sqref="B1"/>
      <selection pane="bottomLeft" activeCell="J3" sqref="J3"/>
    </sheetView>
  </sheetViews>
  <sheetFormatPr defaultColWidth="9.00390625" defaultRowHeight="12.75"/>
  <cols>
    <col min="1" max="1" width="3.875" style="27" customWidth="1"/>
    <col min="2" max="2" width="38.375" style="27" customWidth="1"/>
    <col min="3" max="3" width="10.00390625" style="27" customWidth="1"/>
    <col min="4" max="4" width="11.875" style="27" customWidth="1"/>
    <col min="5" max="5" width="9.875" style="27" customWidth="1"/>
    <col min="6" max="7" width="10.50390625" style="27" customWidth="1"/>
    <col min="8" max="8" width="11.125" style="27" customWidth="1"/>
    <col min="9" max="9" width="11.875" style="27" customWidth="1"/>
    <col min="10" max="10" width="9.50390625" style="27" customWidth="1"/>
    <col min="11" max="11" width="8.125" style="27" customWidth="1"/>
    <col min="12" max="12" width="10.875" style="39" customWidth="1"/>
    <col min="13" max="16384" width="9.375" style="27" customWidth="1"/>
  </cols>
  <sheetData>
    <row r="1" spans="1:12" ht="12.75" customHeight="1">
      <c r="A1" s="750" t="s">
        <v>1285</v>
      </c>
      <c r="B1" s="750" t="s">
        <v>151</v>
      </c>
      <c r="C1" s="749" t="s">
        <v>163</v>
      </c>
      <c r="D1" s="749"/>
      <c r="E1" s="749"/>
      <c r="F1" s="749"/>
      <c r="G1" s="749"/>
      <c r="H1" s="749"/>
      <c r="I1" s="749"/>
      <c r="J1" s="749"/>
      <c r="K1" s="750" t="s">
        <v>162</v>
      </c>
      <c r="L1" s="750" t="s">
        <v>450</v>
      </c>
    </row>
    <row r="2" spans="1:12" s="36" customFormat="1" ht="60" customHeight="1">
      <c r="A2" s="750"/>
      <c r="B2" s="750"/>
      <c r="C2" s="190" t="s">
        <v>1</v>
      </c>
      <c r="D2" s="190" t="s">
        <v>537</v>
      </c>
      <c r="E2" s="190" t="s">
        <v>529</v>
      </c>
      <c r="F2" s="190" t="s">
        <v>1020</v>
      </c>
      <c r="G2" s="190" t="s">
        <v>1116</v>
      </c>
      <c r="H2" s="190" t="s">
        <v>1104</v>
      </c>
      <c r="I2" s="190" t="s">
        <v>1103</v>
      </c>
      <c r="J2" s="190" t="s">
        <v>1021</v>
      </c>
      <c r="K2" s="785"/>
      <c r="L2" s="750"/>
    </row>
    <row r="3" spans="1:12" s="36" customFormat="1" ht="15" customHeight="1">
      <c r="A3" s="423" t="s">
        <v>1287</v>
      </c>
      <c r="B3" s="424" t="s">
        <v>154</v>
      </c>
      <c r="C3" s="425">
        <v>1338</v>
      </c>
      <c r="D3" s="425">
        <v>361</v>
      </c>
      <c r="E3" s="425">
        <v>8000</v>
      </c>
      <c r="F3" s="425"/>
      <c r="G3" s="425"/>
      <c r="H3" s="425"/>
      <c r="I3" s="425">
        <v>-8000</v>
      </c>
      <c r="J3" s="425"/>
      <c r="K3" s="425"/>
      <c r="L3" s="425">
        <f aca="true" t="shared" si="0" ref="L3:L21">SUM(C3:K3)</f>
        <v>1699</v>
      </c>
    </row>
    <row r="4" spans="1:12" s="36" customFormat="1" ht="15" customHeight="1">
      <c r="A4" s="423" t="s">
        <v>1289</v>
      </c>
      <c r="B4" s="424" t="s">
        <v>470</v>
      </c>
      <c r="C4" s="425">
        <v>398</v>
      </c>
      <c r="D4" s="425">
        <v>107</v>
      </c>
      <c r="E4" s="425">
        <v>-5629</v>
      </c>
      <c r="F4" s="425"/>
      <c r="G4" s="425"/>
      <c r="H4" s="425"/>
      <c r="I4" s="425"/>
      <c r="J4" s="425"/>
      <c r="K4" s="425"/>
      <c r="L4" s="425">
        <f t="shared" si="0"/>
        <v>-5124</v>
      </c>
    </row>
    <row r="5" spans="1:12" s="36" customFormat="1" ht="15" customHeight="1">
      <c r="A5" s="423" t="s">
        <v>1290</v>
      </c>
      <c r="B5" s="424" t="s">
        <v>100</v>
      </c>
      <c r="C5" s="425">
        <v>100</v>
      </c>
      <c r="D5" s="425">
        <v>27</v>
      </c>
      <c r="E5" s="425">
        <v>17800</v>
      </c>
      <c r="F5" s="425"/>
      <c r="G5" s="425"/>
      <c r="H5" s="425"/>
      <c r="I5" s="425"/>
      <c r="J5" s="425"/>
      <c r="K5" s="425"/>
      <c r="L5" s="425">
        <f t="shared" si="0"/>
        <v>17927</v>
      </c>
    </row>
    <row r="6" spans="1:12" s="36" customFormat="1" ht="15" customHeight="1">
      <c r="A6" s="423" t="s">
        <v>1252</v>
      </c>
      <c r="B6" s="424" t="s">
        <v>268</v>
      </c>
      <c r="C6" s="425">
        <v>1627</v>
      </c>
      <c r="D6" s="425">
        <v>440</v>
      </c>
      <c r="E6" s="425"/>
      <c r="F6" s="425"/>
      <c r="G6" s="425"/>
      <c r="H6" s="425">
        <v>2000</v>
      </c>
      <c r="I6" s="425"/>
      <c r="J6" s="425"/>
      <c r="K6" s="425"/>
      <c r="L6" s="425">
        <f t="shared" si="0"/>
        <v>4067</v>
      </c>
    </row>
    <row r="7" spans="1:12" s="36" customFormat="1" ht="23.25" customHeight="1">
      <c r="A7" s="423" t="s">
        <v>1250</v>
      </c>
      <c r="B7" s="415" t="s">
        <v>471</v>
      </c>
      <c r="C7" s="425">
        <v>365</v>
      </c>
      <c r="D7" s="425">
        <v>99</v>
      </c>
      <c r="E7" s="425"/>
      <c r="F7" s="425"/>
      <c r="G7" s="425"/>
      <c r="H7" s="425"/>
      <c r="I7" s="425"/>
      <c r="J7" s="425"/>
      <c r="K7" s="425"/>
      <c r="L7" s="425">
        <f t="shared" si="0"/>
        <v>464</v>
      </c>
    </row>
    <row r="8" spans="1:12" s="36" customFormat="1" ht="26.25" customHeight="1">
      <c r="A8" s="423" t="s">
        <v>1253</v>
      </c>
      <c r="B8" s="415" t="s">
        <v>472</v>
      </c>
      <c r="C8" s="425">
        <v>1236</v>
      </c>
      <c r="D8" s="425">
        <v>334</v>
      </c>
      <c r="E8" s="425"/>
      <c r="F8" s="425"/>
      <c r="G8" s="425"/>
      <c r="H8" s="425"/>
      <c r="I8" s="425"/>
      <c r="J8" s="425"/>
      <c r="K8" s="425"/>
      <c r="L8" s="425">
        <f t="shared" si="0"/>
        <v>1570</v>
      </c>
    </row>
    <row r="9" spans="1:12" s="36" customFormat="1" ht="15" customHeight="1">
      <c r="A9" s="423" t="s">
        <v>1255</v>
      </c>
      <c r="B9" s="416" t="s">
        <v>269</v>
      </c>
      <c r="C9" s="425">
        <v>28</v>
      </c>
      <c r="D9" s="425">
        <v>7</v>
      </c>
      <c r="E9" s="425">
        <v>87</v>
      </c>
      <c r="F9" s="425"/>
      <c r="G9" s="425"/>
      <c r="H9" s="425"/>
      <c r="I9" s="425">
        <v>2000</v>
      </c>
      <c r="J9" s="425"/>
      <c r="K9" s="425"/>
      <c r="L9" s="425">
        <f t="shared" si="0"/>
        <v>2122</v>
      </c>
    </row>
    <row r="10" spans="1:12" s="36" customFormat="1" ht="15" customHeight="1">
      <c r="A10" s="423" t="s">
        <v>1257</v>
      </c>
      <c r="B10" s="416" t="s">
        <v>270</v>
      </c>
      <c r="C10" s="425">
        <v>72</v>
      </c>
      <c r="D10" s="425">
        <v>19</v>
      </c>
      <c r="E10" s="425">
        <v>40</v>
      </c>
      <c r="F10" s="425"/>
      <c r="G10" s="425"/>
      <c r="H10" s="425"/>
      <c r="I10" s="425"/>
      <c r="J10" s="425"/>
      <c r="K10" s="425"/>
      <c r="L10" s="425">
        <f t="shared" si="0"/>
        <v>131</v>
      </c>
    </row>
    <row r="11" spans="1:12" s="37" customFormat="1" ht="15" customHeight="1">
      <c r="A11" s="423" t="s">
        <v>1105</v>
      </c>
      <c r="B11" s="416" t="s">
        <v>271</v>
      </c>
      <c r="C11" s="8">
        <v>122</v>
      </c>
      <c r="D11" s="8">
        <v>33</v>
      </c>
      <c r="E11" s="99"/>
      <c r="F11" s="99"/>
      <c r="G11" s="99">
        <v>-97</v>
      </c>
      <c r="H11" s="99">
        <v>-584</v>
      </c>
      <c r="I11" s="99">
        <v>681</v>
      </c>
      <c r="J11" s="99"/>
      <c r="K11" s="99"/>
      <c r="L11" s="425">
        <f t="shared" si="0"/>
        <v>155</v>
      </c>
    </row>
    <row r="12" spans="1:12" s="37" customFormat="1" ht="17.25" customHeight="1">
      <c r="A12" s="423" t="s">
        <v>1106</v>
      </c>
      <c r="B12" s="416" t="s">
        <v>272</v>
      </c>
      <c r="C12" s="8">
        <v>16</v>
      </c>
      <c r="D12" s="8">
        <v>5</v>
      </c>
      <c r="E12" s="99">
        <v>242</v>
      </c>
      <c r="F12" s="99"/>
      <c r="G12" s="99"/>
      <c r="H12" s="99"/>
      <c r="I12" s="99"/>
      <c r="J12" s="99"/>
      <c r="K12" s="99"/>
      <c r="L12" s="425">
        <f t="shared" si="0"/>
        <v>263</v>
      </c>
    </row>
    <row r="13" spans="1:12" s="37" customFormat="1" ht="18.75" customHeight="1">
      <c r="A13" s="423" t="s">
        <v>1107</v>
      </c>
      <c r="B13" s="417" t="s">
        <v>473</v>
      </c>
      <c r="C13" s="8">
        <v>92</v>
      </c>
      <c r="D13" s="8">
        <v>25</v>
      </c>
      <c r="E13" s="99"/>
      <c r="F13" s="99"/>
      <c r="G13" s="99"/>
      <c r="H13" s="99"/>
      <c r="I13" s="99"/>
      <c r="J13" s="99"/>
      <c r="K13" s="99"/>
      <c r="L13" s="425">
        <f t="shared" si="0"/>
        <v>117</v>
      </c>
    </row>
    <row r="14" spans="1:12" s="37" customFormat="1" ht="13.5" customHeight="1">
      <c r="A14" s="423" t="s">
        <v>1108</v>
      </c>
      <c r="B14" s="418" t="s">
        <v>265</v>
      </c>
      <c r="C14" s="8">
        <v>-2953</v>
      </c>
      <c r="D14" s="8">
        <v>-797</v>
      </c>
      <c r="E14" s="99">
        <v>3600</v>
      </c>
      <c r="F14" s="99"/>
      <c r="G14" s="99">
        <v>-309</v>
      </c>
      <c r="H14" s="99">
        <v>530</v>
      </c>
      <c r="I14" s="99">
        <v>198</v>
      </c>
      <c r="J14" s="99"/>
      <c r="K14" s="99"/>
      <c r="L14" s="425">
        <f t="shared" si="0"/>
        <v>269</v>
      </c>
    </row>
    <row r="15" spans="1:12" s="37" customFormat="1" ht="24.75" customHeight="1">
      <c r="A15" s="423" t="s">
        <v>1109</v>
      </c>
      <c r="B15" s="415" t="s">
        <v>273</v>
      </c>
      <c r="C15" s="8">
        <v>15</v>
      </c>
      <c r="D15" s="8">
        <v>4</v>
      </c>
      <c r="E15" s="99"/>
      <c r="F15" s="99"/>
      <c r="G15" s="99"/>
      <c r="H15" s="99"/>
      <c r="I15" s="99"/>
      <c r="J15" s="99"/>
      <c r="K15" s="99"/>
      <c r="L15" s="425">
        <f t="shared" si="0"/>
        <v>19</v>
      </c>
    </row>
    <row r="16" spans="1:12" s="37" customFormat="1" ht="13.5" customHeight="1">
      <c r="A16" s="423" t="s">
        <v>1110</v>
      </c>
      <c r="B16" s="416" t="s">
        <v>266</v>
      </c>
      <c r="C16" s="8">
        <v>331</v>
      </c>
      <c r="D16" s="8">
        <v>90</v>
      </c>
      <c r="E16" s="99">
        <v>15360</v>
      </c>
      <c r="F16" s="99"/>
      <c r="G16" s="99"/>
      <c r="H16" s="99">
        <v>3670</v>
      </c>
      <c r="I16" s="99"/>
      <c r="J16" s="99"/>
      <c r="K16" s="99"/>
      <c r="L16" s="425">
        <f t="shared" si="0"/>
        <v>19451</v>
      </c>
    </row>
    <row r="17" spans="1:12" s="37" customFormat="1" ht="13.5" customHeight="1">
      <c r="A17" s="423" t="s">
        <v>1269</v>
      </c>
      <c r="B17" s="416" t="s">
        <v>267</v>
      </c>
      <c r="C17" s="8">
        <v>99</v>
      </c>
      <c r="D17" s="8">
        <v>27</v>
      </c>
      <c r="E17" s="99"/>
      <c r="F17" s="99"/>
      <c r="G17" s="99"/>
      <c r="H17" s="99"/>
      <c r="I17" s="99"/>
      <c r="J17" s="99"/>
      <c r="K17" s="99"/>
      <c r="L17" s="425">
        <f t="shared" si="0"/>
        <v>126</v>
      </c>
    </row>
    <row r="18" spans="1:12" s="37" customFormat="1" ht="12.75" customHeight="1">
      <c r="A18" s="423" t="s">
        <v>1111</v>
      </c>
      <c r="B18" s="416" t="s">
        <v>274</v>
      </c>
      <c r="C18" s="8">
        <v>429</v>
      </c>
      <c r="D18" s="8">
        <v>116</v>
      </c>
      <c r="E18" s="99">
        <v>3000</v>
      </c>
      <c r="F18" s="99"/>
      <c r="G18" s="99"/>
      <c r="H18" s="99"/>
      <c r="I18" s="99"/>
      <c r="J18" s="99"/>
      <c r="K18" s="99"/>
      <c r="L18" s="425">
        <f t="shared" si="0"/>
        <v>3545</v>
      </c>
    </row>
    <row r="19" spans="1:12" s="37" customFormat="1" ht="12.75" customHeight="1">
      <c r="A19" s="423" t="s">
        <v>1112</v>
      </c>
      <c r="B19" s="416" t="s">
        <v>275</v>
      </c>
      <c r="C19" s="8">
        <v>99</v>
      </c>
      <c r="D19" s="8">
        <v>27</v>
      </c>
      <c r="E19" s="99"/>
      <c r="F19" s="99"/>
      <c r="G19" s="99"/>
      <c r="H19" s="99"/>
      <c r="I19" s="99"/>
      <c r="J19" s="99"/>
      <c r="K19" s="99"/>
      <c r="L19" s="425">
        <f t="shared" si="0"/>
        <v>126</v>
      </c>
    </row>
    <row r="20" spans="1:12" s="37" customFormat="1" ht="15.75" customHeight="1">
      <c r="A20" s="423" t="s">
        <v>474</v>
      </c>
      <c r="B20" s="416" t="s">
        <v>475</v>
      </c>
      <c r="C20" s="99">
        <v>69</v>
      </c>
      <c r="D20" s="99">
        <v>19</v>
      </c>
      <c r="E20" s="99"/>
      <c r="F20" s="99"/>
      <c r="G20" s="99"/>
      <c r="H20" s="99"/>
      <c r="I20" s="99"/>
      <c r="J20" s="99"/>
      <c r="K20" s="99"/>
      <c r="L20" s="425">
        <f t="shared" si="0"/>
        <v>88</v>
      </c>
    </row>
    <row r="21" spans="1:12" s="4" customFormat="1" ht="12">
      <c r="A21" s="423" t="s">
        <v>476</v>
      </c>
      <c r="B21" s="416" t="s">
        <v>528</v>
      </c>
      <c r="C21" s="15">
        <v>17</v>
      </c>
      <c r="D21" s="15">
        <v>5</v>
      </c>
      <c r="E21" s="15"/>
      <c r="F21" s="15"/>
      <c r="G21" s="15"/>
      <c r="H21" s="15"/>
      <c r="I21" s="15"/>
      <c r="J21" s="15"/>
      <c r="K21" s="15"/>
      <c r="L21" s="425">
        <f t="shared" si="0"/>
        <v>22</v>
      </c>
    </row>
    <row r="22" spans="1:12" s="4" customFormat="1" ht="12">
      <c r="A22" s="426"/>
      <c r="B22" s="427" t="s">
        <v>1016</v>
      </c>
      <c r="C22" s="111">
        <f aca="true" t="shared" si="1" ref="C22:L22">SUM(C3:C21)</f>
        <v>3500</v>
      </c>
      <c r="D22" s="111">
        <f t="shared" si="1"/>
        <v>948</v>
      </c>
      <c r="E22" s="111">
        <f t="shared" si="1"/>
        <v>42500</v>
      </c>
      <c r="F22" s="111">
        <f t="shared" si="1"/>
        <v>0</v>
      </c>
      <c r="G22" s="111">
        <f t="shared" si="1"/>
        <v>-406</v>
      </c>
      <c r="H22" s="111">
        <f t="shared" si="1"/>
        <v>5616</v>
      </c>
      <c r="I22" s="111">
        <f t="shared" si="1"/>
        <v>-5121</v>
      </c>
      <c r="J22" s="111">
        <f t="shared" si="1"/>
        <v>0</v>
      </c>
      <c r="K22" s="111">
        <f t="shared" si="1"/>
        <v>0</v>
      </c>
      <c r="L22" s="111">
        <f t="shared" si="1"/>
        <v>47037</v>
      </c>
    </row>
    <row r="23" s="4" customFormat="1" ht="12">
      <c r="L23" s="28"/>
    </row>
    <row r="24" spans="2:12" s="4" customFormat="1" ht="12">
      <c r="B24" s="23"/>
      <c r="L24" s="28"/>
    </row>
    <row r="25" s="4" customFormat="1" ht="12">
      <c r="L25" s="28"/>
    </row>
    <row r="26" s="4" customFormat="1" ht="12">
      <c r="L26" s="28"/>
    </row>
    <row r="27" spans="3:12" s="4" customFormat="1" ht="12">
      <c r="C27" s="23"/>
      <c r="L27" s="28"/>
    </row>
  </sheetData>
  <sheetProtection/>
  <mergeCells count="5">
    <mergeCell ref="L1:L2"/>
    <mergeCell ref="A1:A2"/>
    <mergeCell ref="B1:B2"/>
    <mergeCell ref="C1:J1"/>
    <mergeCell ref="K1:K2"/>
  </mergeCells>
  <printOptions horizontalCentered="1" verticalCentered="1"/>
  <pageMargins left="0.2362204724409449" right="0.35433070866141736" top="1.6929133858267718" bottom="0.7874015748031497" header="0.6299212598425197" footer="0.5118110236220472"/>
  <pageSetup fitToHeight="1" fitToWidth="1" horizontalDpi="300" verticalDpi="300" orientation="landscape" paperSize="9" r:id="rId1"/>
  <headerFooter alignWithMargins="0">
    <oddHeader>&amp;C&amp;"Times New Roman CE,Félkövér dőlt"ZMJV ÖNKORMÁNYZATA ÁLTAL IRÁNYÍTOTT KÖLTSÉGVETÉSI SZERVEK 
2016.  ÉVI KIADÁSI ELŐIRÁNYZATAINAK UTOLSÓ MÓDOSÍTÁSA&amp;R&amp;"Times New Roman CE,Félkövér dőlt"4. tájékoztató tábla
Adatok: ezer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3">
      <selection activeCell="D26" sqref="D26"/>
    </sheetView>
  </sheetViews>
  <sheetFormatPr defaultColWidth="9.00390625" defaultRowHeight="12.75"/>
  <cols>
    <col min="1" max="1" width="7.50390625" style="31" customWidth="1"/>
    <col min="2" max="2" width="70.375" style="29" customWidth="1"/>
    <col min="3" max="3" width="15.375" style="29" customWidth="1"/>
    <col min="4" max="4" width="14.125" style="29" customWidth="1"/>
    <col min="5" max="5" width="14.00390625" style="29" customWidth="1"/>
    <col min="6" max="16384" width="9.375" style="27" customWidth="1"/>
  </cols>
  <sheetData>
    <row r="1" spans="1:5" s="24" customFormat="1" ht="55.5" customHeight="1" thickBot="1">
      <c r="A1" s="60" t="s">
        <v>194</v>
      </c>
      <c r="B1" s="61" t="s">
        <v>151</v>
      </c>
      <c r="C1" s="65" t="s">
        <v>854</v>
      </c>
      <c r="D1" s="65" t="s">
        <v>710</v>
      </c>
      <c r="E1" s="65" t="s">
        <v>712</v>
      </c>
    </row>
    <row r="2" spans="1:5" s="30" customFormat="1" ht="14.25" customHeight="1">
      <c r="A2" s="51" t="s">
        <v>1129</v>
      </c>
      <c r="B2" s="62" t="s">
        <v>1502</v>
      </c>
      <c r="C2" s="62"/>
      <c r="D2" s="62"/>
      <c r="E2" s="62"/>
    </row>
    <row r="3" spans="1:5" s="24" customFormat="1" ht="14.25" customHeight="1">
      <c r="A3" s="51" t="s">
        <v>1130</v>
      </c>
      <c r="B3" s="62" t="s">
        <v>1131</v>
      </c>
      <c r="C3" s="64"/>
      <c r="D3" s="62"/>
      <c r="E3" s="64"/>
    </row>
    <row r="4" spans="1:5" s="24" customFormat="1" ht="14.25" customHeight="1">
      <c r="A4" s="197" t="s">
        <v>1132</v>
      </c>
      <c r="B4" s="64" t="s">
        <v>1133</v>
      </c>
      <c r="C4" s="64"/>
      <c r="D4" s="64"/>
      <c r="E4" s="64"/>
    </row>
    <row r="5" spans="1:7" s="24" customFormat="1" ht="14.25" customHeight="1">
      <c r="A5" s="198" t="s">
        <v>1134</v>
      </c>
      <c r="B5" s="64" t="s">
        <v>1135</v>
      </c>
      <c r="C5" s="566">
        <v>5924</v>
      </c>
      <c r="D5" s="64">
        <v>1</v>
      </c>
      <c r="E5" s="566">
        <f aca="true" t="shared" si="0" ref="E5:E11">SUM(C5:D5)</f>
        <v>5925</v>
      </c>
      <c r="F5"/>
      <c r="G5"/>
    </row>
    <row r="6" spans="1:7" s="24" customFormat="1" ht="22.5" customHeight="1">
      <c r="A6" s="198" t="s">
        <v>1136</v>
      </c>
      <c r="B6" s="64" t="s">
        <v>1149</v>
      </c>
      <c r="C6" s="566">
        <v>909916</v>
      </c>
      <c r="D6" s="64">
        <v>-1824</v>
      </c>
      <c r="E6" s="566">
        <f t="shared" si="0"/>
        <v>908092</v>
      </c>
      <c r="F6"/>
      <c r="G6"/>
    </row>
    <row r="7" spans="1:7" s="24" customFormat="1" ht="24.75" customHeight="1">
      <c r="A7" s="198" t="s">
        <v>1137</v>
      </c>
      <c r="B7" s="64" t="s">
        <v>1138</v>
      </c>
      <c r="C7" s="566">
        <v>749136</v>
      </c>
      <c r="D7" s="64">
        <v>92889</v>
      </c>
      <c r="E7" s="566">
        <f t="shared" si="0"/>
        <v>842025</v>
      </c>
      <c r="F7"/>
      <c r="G7"/>
    </row>
    <row r="8" spans="1:7" s="24" customFormat="1" ht="15" customHeight="1">
      <c r="A8" s="198" t="s">
        <v>1139</v>
      </c>
      <c r="B8" s="64" t="s">
        <v>1141</v>
      </c>
      <c r="C8" s="566">
        <v>663664</v>
      </c>
      <c r="D8" s="64">
        <v>535</v>
      </c>
      <c r="E8" s="566">
        <f t="shared" si="0"/>
        <v>664199</v>
      </c>
      <c r="F8"/>
      <c r="G8"/>
    </row>
    <row r="9" spans="1:5" s="24" customFormat="1" ht="24.75" customHeight="1">
      <c r="A9" s="198" t="s">
        <v>1140</v>
      </c>
      <c r="B9" s="64" t="s">
        <v>1461</v>
      </c>
      <c r="C9" s="64"/>
      <c r="D9" s="64">
        <v>84284</v>
      </c>
      <c r="E9" s="566">
        <f t="shared" si="0"/>
        <v>84284</v>
      </c>
    </row>
    <row r="10" spans="1:5" s="24" customFormat="1" ht="24.75" customHeight="1">
      <c r="A10" s="198" t="s">
        <v>18</v>
      </c>
      <c r="B10" s="64" t="s">
        <v>19</v>
      </c>
      <c r="C10" s="64"/>
      <c r="D10" s="64">
        <v>2929</v>
      </c>
      <c r="E10" s="566">
        <f t="shared" si="0"/>
        <v>2929</v>
      </c>
    </row>
    <row r="11" spans="1:5" s="24" customFormat="1" ht="24.75" customHeight="1">
      <c r="A11" s="197" t="s">
        <v>68</v>
      </c>
      <c r="B11" s="64" t="s">
        <v>69</v>
      </c>
      <c r="C11" s="64">
        <v>1765032</v>
      </c>
      <c r="D11" s="64">
        <v>-640548</v>
      </c>
      <c r="E11" s="566">
        <f t="shared" si="0"/>
        <v>1124484</v>
      </c>
    </row>
    <row r="12" spans="1:5" s="25" customFormat="1" ht="22.5" customHeight="1">
      <c r="A12" s="65"/>
      <c r="B12" s="59" t="s">
        <v>1142</v>
      </c>
      <c r="C12" s="59">
        <f>SUM(C4:C11)</f>
        <v>4093672</v>
      </c>
      <c r="D12" s="59">
        <f>SUM(D4:D11)</f>
        <v>-461734</v>
      </c>
      <c r="E12" s="59">
        <f>SUM(E4:E11)</f>
        <v>3631938</v>
      </c>
    </row>
    <row r="13" spans="1:5" s="24" customFormat="1" ht="14.25" customHeight="1">
      <c r="A13" s="51" t="s">
        <v>1143</v>
      </c>
      <c r="B13" s="62" t="s">
        <v>1144</v>
      </c>
      <c r="C13" s="64"/>
      <c r="D13" s="62"/>
      <c r="E13" s="64"/>
    </row>
    <row r="14" spans="1:5" s="24" customFormat="1" ht="14.25" customHeight="1">
      <c r="A14" s="197" t="s">
        <v>1145</v>
      </c>
      <c r="B14" s="64" t="s">
        <v>1146</v>
      </c>
      <c r="C14" s="64"/>
      <c r="D14" s="64">
        <v>950062</v>
      </c>
      <c r="E14" s="64">
        <f>SUM(C14:D14)</f>
        <v>950062</v>
      </c>
    </row>
    <row r="15" spans="1:5" s="24" customFormat="1" ht="23.25" customHeight="1">
      <c r="A15" s="197" t="s">
        <v>1147</v>
      </c>
      <c r="B15" s="64" t="s">
        <v>1148</v>
      </c>
      <c r="C15" s="64">
        <v>1751901</v>
      </c>
      <c r="D15" s="64">
        <v>6292672</v>
      </c>
      <c r="E15" s="64">
        <f>SUM(C15:D15)</f>
        <v>8044573</v>
      </c>
    </row>
    <row r="16" spans="1:5" s="25" customFormat="1" ht="23.25" customHeight="1">
      <c r="A16" s="65"/>
      <c r="B16" s="59" t="s">
        <v>1150</v>
      </c>
      <c r="C16" s="59">
        <f>SUM(C14:C15)</f>
        <v>1751901</v>
      </c>
      <c r="D16" s="59">
        <f>SUM(D14:D15)</f>
        <v>7242734</v>
      </c>
      <c r="E16" s="59">
        <f>SUM(E14:E15)</f>
        <v>8994635</v>
      </c>
    </row>
    <row r="17" spans="1:5" s="24" customFormat="1" ht="14.25" customHeight="1">
      <c r="A17" s="51" t="s">
        <v>1151</v>
      </c>
      <c r="B17" s="62" t="s">
        <v>1019</v>
      </c>
      <c r="C17" s="64"/>
      <c r="D17" s="62"/>
      <c r="E17" s="64"/>
    </row>
    <row r="18" spans="1:5" s="24" customFormat="1" ht="14.25" customHeight="1">
      <c r="A18" s="377" t="s">
        <v>1462</v>
      </c>
      <c r="B18" s="378" t="s">
        <v>1463</v>
      </c>
      <c r="C18" s="64">
        <v>924000</v>
      </c>
      <c r="D18" s="378"/>
      <c r="E18" s="64">
        <f>SUM(C18:D18)</f>
        <v>924000</v>
      </c>
    </row>
    <row r="19" spans="1:5" s="24" customFormat="1" ht="14.25" customHeight="1">
      <c r="A19" s="197" t="s">
        <v>1152</v>
      </c>
      <c r="B19" s="64" t="s">
        <v>1154</v>
      </c>
      <c r="C19" s="64"/>
      <c r="D19" s="64"/>
      <c r="E19" s="64"/>
    </row>
    <row r="20" spans="1:5" s="24" customFormat="1" ht="14.25" customHeight="1">
      <c r="A20" s="198" t="s">
        <v>1153</v>
      </c>
      <c r="B20" s="64" t="s">
        <v>856</v>
      </c>
      <c r="C20" s="64">
        <v>4220000</v>
      </c>
      <c r="D20" s="64"/>
      <c r="E20" s="64">
        <f>SUM(C20:D20)</f>
        <v>4220000</v>
      </c>
    </row>
    <row r="21" spans="1:5" s="24" customFormat="1" ht="14.25" customHeight="1">
      <c r="A21" s="198" t="s">
        <v>855</v>
      </c>
      <c r="B21" s="64" t="s">
        <v>1505</v>
      </c>
      <c r="C21" s="64">
        <v>150</v>
      </c>
      <c r="D21" s="64">
        <v>-150</v>
      </c>
      <c r="E21" s="64">
        <f>SUM(C21:D21)</f>
        <v>0</v>
      </c>
    </row>
    <row r="22" spans="1:5" s="24" customFormat="1" ht="14.25" customHeight="1">
      <c r="A22" s="198" t="s">
        <v>1155</v>
      </c>
      <c r="B22" s="64" t="s">
        <v>1156</v>
      </c>
      <c r="C22" s="64">
        <v>228000</v>
      </c>
      <c r="D22" s="64"/>
      <c r="E22" s="64">
        <f>SUM(C22:D22)</f>
        <v>228000</v>
      </c>
    </row>
    <row r="23" spans="1:5" s="24" customFormat="1" ht="14.25" customHeight="1">
      <c r="A23" s="198" t="s">
        <v>1157</v>
      </c>
      <c r="B23" s="64" t="s">
        <v>857</v>
      </c>
      <c r="C23" s="64">
        <v>20000</v>
      </c>
      <c r="D23" s="64"/>
      <c r="E23" s="64">
        <f>SUM(C23:D23)</f>
        <v>20000</v>
      </c>
    </row>
    <row r="24" spans="1:5" s="24" customFormat="1" ht="14.25" customHeight="1">
      <c r="A24" s="197" t="s">
        <v>1158</v>
      </c>
      <c r="B24" s="64" t="s">
        <v>1160</v>
      </c>
      <c r="C24" s="64">
        <v>8000</v>
      </c>
      <c r="D24" s="64">
        <v>-1350</v>
      </c>
      <c r="E24" s="64">
        <f>SUM(C24:D24)</f>
        <v>6650</v>
      </c>
    </row>
    <row r="25" spans="1:5" ht="15" customHeight="1">
      <c r="A25" s="65"/>
      <c r="B25" s="59" t="s">
        <v>1159</v>
      </c>
      <c r="C25" s="59">
        <f>SUM(C17:C24)</f>
        <v>5400150</v>
      </c>
      <c r="D25" s="59">
        <f>SUM(D17:D24)</f>
        <v>-1500</v>
      </c>
      <c r="E25" s="59">
        <f>SUM(E17:E24)</f>
        <v>5398650</v>
      </c>
    </row>
    <row r="26" spans="1:5" s="24" customFormat="1" ht="15" customHeight="1">
      <c r="A26" s="65" t="s">
        <v>1161</v>
      </c>
      <c r="B26" s="59" t="s">
        <v>532</v>
      </c>
      <c r="C26" s="59">
        <v>2696083</v>
      </c>
      <c r="D26" s="59">
        <v>278664</v>
      </c>
      <c r="E26" s="59">
        <f>SUM(C26:D26)</f>
        <v>2974747</v>
      </c>
    </row>
    <row r="27" spans="1:5" s="24" customFormat="1" ht="15" customHeight="1">
      <c r="A27" s="51" t="s">
        <v>1162</v>
      </c>
      <c r="B27" s="62" t="s">
        <v>533</v>
      </c>
      <c r="C27" s="64"/>
      <c r="D27" s="62"/>
      <c r="E27" s="64"/>
    </row>
    <row r="28" spans="1:5" s="24" customFormat="1" ht="15" customHeight="1">
      <c r="A28" s="63" t="s">
        <v>1163</v>
      </c>
      <c r="B28" s="64" t="s">
        <v>1211</v>
      </c>
      <c r="C28" s="64">
        <v>80000</v>
      </c>
      <c r="D28" s="64">
        <v>25664</v>
      </c>
      <c r="E28" s="64">
        <f>SUM(C28:D28)</f>
        <v>105664</v>
      </c>
    </row>
    <row r="29" spans="1:5" s="24" customFormat="1" ht="15" customHeight="1">
      <c r="A29" s="63" t="s">
        <v>1464</v>
      </c>
      <c r="B29" s="64" t="s">
        <v>1465</v>
      </c>
      <c r="C29" s="64">
        <v>2800</v>
      </c>
      <c r="D29" s="64">
        <v>950</v>
      </c>
      <c r="E29" s="64">
        <f>SUM(C29:D29)</f>
        <v>3750</v>
      </c>
    </row>
    <row r="30" spans="1:5" s="24" customFormat="1" ht="15" customHeight="1">
      <c r="A30" s="63" t="s">
        <v>1466</v>
      </c>
      <c r="B30" s="64" t="s">
        <v>1467</v>
      </c>
      <c r="C30" s="64"/>
      <c r="D30" s="64"/>
      <c r="E30" s="64">
        <f>SUM(C30:D30)</f>
        <v>0</v>
      </c>
    </row>
    <row r="31" spans="1:5" s="24" customFormat="1" ht="15" customHeight="1">
      <c r="A31" s="63" t="s">
        <v>1468</v>
      </c>
      <c r="B31" s="64" t="s">
        <v>1469</v>
      </c>
      <c r="C31" s="64"/>
      <c r="D31" s="64">
        <v>20394</v>
      </c>
      <c r="E31" s="64">
        <f>SUM(C31:D31)</f>
        <v>20394</v>
      </c>
    </row>
    <row r="32" spans="1:5" s="24" customFormat="1" ht="15" customHeight="1">
      <c r="A32" s="95"/>
      <c r="B32" s="59" t="s">
        <v>1212</v>
      </c>
      <c r="C32" s="59">
        <f>SUM(C28:C31)</f>
        <v>82800</v>
      </c>
      <c r="D32" s="59">
        <f>SUM(D28:D31)</f>
        <v>47008</v>
      </c>
      <c r="E32" s="59">
        <f>SUM(E28:E31)</f>
        <v>129808</v>
      </c>
    </row>
    <row r="33" spans="1:5" s="24" customFormat="1" ht="15" customHeight="1">
      <c r="A33" s="65" t="s">
        <v>1213</v>
      </c>
      <c r="B33" s="59" t="s">
        <v>534</v>
      </c>
      <c r="C33" s="59">
        <v>78450</v>
      </c>
      <c r="D33" s="59">
        <v>36699</v>
      </c>
      <c r="E33" s="59">
        <f>SUM(C33:D33)</f>
        <v>115149</v>
      </c>
    </row>
    <row r="34" spans="1:5" s="24" customFormat="1" ht="15" customHeight="1">
      <c r="A34" s="51" t="s">
        <v>1214</v>
      </c>
      <c r="B34" s="62" t="s">
        <v>535</v>
      </c>
      <c r="C34" s="62"/>
      <c r="D34" s="62"/>
      <c r="E34" s="62"/>
    </row>
    <row r="35" spans="1:5" s="24" customFormat="1" ht="24.75" customHeight="1">
      <c r="A35" s="63" t="s">
        <v>1215</v>
      </c>
      <c r="B35" s="64" t="s">
        <v>1216</v>
      </c>
      <c r="C35" s="64">
        <v>20000</v>
      </c>
      <c r="D35" s="64"/>
      <c r="E35" s="64">
        <f>SUM(C35:D35)</f>
        <v>20000</v>
      </c>
    </row>
    <row r="36" spans="1:5" s="24" customFormat="1" ht="15" customHeight="1">
      <c r="A36" s="63" t="s">
        <v>1217</v>
      </c>
      <c r="B36" s="64" t="s">
        <v>1218</v>
      </c>
      <c r="C36" s="64">
        <v>88000</v>
      </c>
      <c r="D36" s="64">
        <v>46355</v>
      </c>
      <c r="E36" s="64">
        <f>SUM(C36:D36)</f>
        <v>134355</v>
      </c>
    </row>
    <row r="37" spans="1:5" s="24" customFormat="1" ht="15" customHeight="1">
      <c r="A37" s="95"/>
      <c r="B37" s="59" t="s">
        <v>1219</v>
      </c>
      <c r="C37" s="59">
        <f>SUM(C35:C36)</f>
        <v>108000</v>
      </c>
      <c r="D37" s="59">
        <f>SUM(D35:D36)</f>
        <v>46355</v>
      </c>
      <c r="E37" s="59">
        <f>SUM(E35:E36)</f>
        <v>154355</v>
      </c>
    </row>
    <row r="38" spans="1:5" s="24" customFormat="1" ht="15" customHeight="1">
      <c r="A38" s="65" t="s">
        <v>1220</v>
      </c>
      <c r="B38" s="59" t="s">
        <v>164</v>
      </c>
      <c r="C38" s="59">
        <f>SUM(C12+C16+C25+C26+C32+C33+C37)</f>
        <v>14211056</v>
      </c>
      <c r="D38" s="59">
        <f>SUM(D12+D16+D25+D26+D32+D33+D37)</f>
        <v>7188226</v>
      </c>
      <c r="E38" s="59">
        <f>SUM(C38:D38)</f>
        <v>21399282</v>
      </c>
    </row>
    <row r="39" spans="1:5" s="24" customFormat="1" ht="15.75" customHeight="1">
      <c r="A39" s="51" t="s">
        <v>1221</v>
      </c>
      <c r="B39" s="62" t="s">
        <v>536</v>
      </c>
      <c r="C39" s="62"/>
      <c r="D39" s="62"/>
      <c r="E39" s="62"/>
    </row>
    <row r="40" spans="1:5" s="24" customFormat="1" ht="14.25" customHeight="1">
      <c r="A40" s="197" t="s">
        <v>1222</v>
      </c>
      <c r="B40" s="64" t="s">
        <v>1223</v>
      </c>
      <c r="C40" s="64"/>
      <c r="D40" s="64"/>
      <c r="E40" s="64"/>
    </row>
    <row r="41" spans="1:5" s="24" customFormat="1" ht="14.25" customHeight="1">
      <c r="A41" s="199" t="s">
        <v>1224</v>
      </c>
      <c r="B41" s="96" t="s">
        <v>1225</v>
      </c>
      <c r="C41" s="64">
        <v>78000</v>
      </c>
      <c r="D41" s="96">
        <v>954780</v>
      </c>
      <c r="E41" s="64">
        <f>SUM(C41:D41)</f>
        <v>1032780</v>
      </c>
    </row>
    <row r="42" spans="1:5" s="24" customFormat="1" ht="14.25" customHeight="1">
      <c r="A42" s="199" t="s">
        <v>1226</v>
      </c>
      <c r="B42" s="96" t="s">
        <v>166</v>
      </c>
      <c r="C42" s="64">
        <v>2674056</v>
      </c>
      <c r="D42" s="96">
        <v>393392</v>
      </c>
      <c r="E42" s="64">
        <f>SUM(C42:D42)</f>
        <v>3067448</v>
      </c>
    </row>
    <row r="43" spans="1:5" s="24" customFormat="1" ht="14.25" customHeight="1">
      <c r="A43" s="199" t="s">
        <v>1470</v>
      </c>
      <c r="B43" s="96" t="s">
        <v>1471</v>
      </c>
      <c r="C43" s="64">
        <v>284541</v>
      </c>
      <c r="D43" s="96"/>
      <c r="E43" s="64">
        <f>SUM(C43:D43)</f>
        <v>284541</v>
      </c>
    </row>
    <row r="44" spans="1:5" s="24" customFormat="1" ht="14.25" customHeight="1">
      <c r="A44" s="200"/>
      <c r="B44" s="59" t="s">
        <v>1227</v>
      </c>
      <c r="C44" s="59">
        <f>SUM(C41:C43)</f>
        <v>3036597</v>
      </c>
      <c r="D44" s="59">
        <f>SUM(D41:D43)</f>
        <v>1348172</v>
      </c>
      <c r="E44" s="59">
        <f>SUM(E41:E43)</f>
        <v>4384769</v>
      </c>
    </row>
    <row r="45" spans="1:5" ht="15.75" customHeight="1">
      <c r="A45" s="65"/>
      <c r="B45" s="59" t="s">
        <v>1228</v>
      </c>
      <c r="C45" s="59">
        <f>SUM(C38+C44)</f>
        <v>17247653</v>
      </c>
      <c r="D45" s="59">
        <f>SUM(D38+D44)</f>
        <v>8536398</v>
      </c>
      <c r="E45" s="59">
        <f>SUM(E38+E44)</f>
        <v>25784051</v>
      </c>
    </row>
  </sheetData>
  <sheetProtection/>
  <printOptions horizontalCentered="1"/>
  <pageMargins left="0.15748031496062992" right="0.15748031496062992" top="1.1023622047244095" bottom="0.2362204724409449" header="0.5118110236220472" footer="0.35433070866141736"/>
  <pageSetup horizontalDpi="300" verticalDpi="300" orientation="portrait" paperSize="9" scale="93" r:id="rId1"/>
  <headerFooter alignWithMargins="0">
    <oddHeader>&amp;C&amp;"Times New Roman CE,Félkövér dőlt"ZALAEGERSZEG MEGYEI  JOGÚ  VÁROS  ÖNKORMÁNYZATA
ÖSSZESÍTŐ A BEVÉTELEKRŐL ROVATONKÉNT
2016.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6"/>
  <sheetViews>
    <sheetView zoomScale="90" zoomScaleNormal="90" zoomScalePageLayoutView="0" workbookViewId="0" topLeftCell="A1">
      <pane xSplit="1" ySplit="2" topLeftCell="C51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L1" sqref="L1"/>
    </sheetView>
  </sheetViews>
  <sheetFormatPr defaultColWidth="9.00390625" defaultRowHeight="12.75"/>
  <cols>
    <col min="1" max="1" width="81.375" style="380" customWidth="1"/>
    <col min="2" max="4" width="11.00390625" style="380" customWidth="1"/>
    <col min="5" max="5" width="13.875" style="380" customWidth="1"/>
    <col min="6" max="6" width="13.375" style="380" customWidth="1"/>
    <col min="7" max="7" width="11.125" style="397" customWidth="1"/>
    <col min="8" max="8" width="11.00390625" style="397" customWidth="1"/>
    <col min="9" max="9" width="13.125" style="397" customWidth="1"/>
    <col min="10" max="10" width="14.625" style="397" customWidth="1"/>
    <col min="11" max="11" width="13.875" style="397" customWidth="1"/>
    <col min="12" max="12" width="14.50390625" style="397" hidden="1" customWidth="1"/>
    <col min="13" max="13" width="13.125" style="380" customWidth="1"/>
    <col min="14" max="16384" width="9.375" style="380" customWidth="1"/>
  </cols>
  <sheetData>
    <row r="1" spans="1:12" ht="23.25" customHeight="1" thickBot="1">
      <c r="A1" s="379"/>
      <c r="B1" s="757" t="s">
        <v>713</v>
      </c>
      <c r="C1" s="758"/>
      <c r="D1" s="758"/>
      <c r="E1" s="758"/>
      <c r="F1" s="759"/>
      <c r="G1" s="757" t="s">
        <v>714</v>
      </c>
      <c r="H1" s="758"/>
      <c r="I1" s="758"/>
      <c r="J1" s="758"/>
      <c r="K1" s="759"/>
      <c r="L1" s="380"/>
    </row>
    <row r="2" spans="1:12" s="384" customFormat="1" ht="38.25" customHeight="1" thickBot="1">
      <c r="A2" s="381" t="s">
        <v>963</v>
      </c>
      <c r="B2" s="382" t="s">
        <v>964</v>
      </c>
      <c r="C2" s="383" t="s">
        <v>965</v>
      </c>
      <c r="D2" s="383" t="s">
        <v>966</v>
      </c>
      <c r="E2" s="383" t="s">
        <v>173</v>
      </c>
      <c r="F2" s="383" t="s">
        <v>967</v>
      </c>
      <c r="G2" s="382" t="s">
        <v>964</v>
      </c>
      <c r="H2" s="383" t="s">
        <v>965</v>
      </c>
      <c r="I2" s="383" t="s">
        <v>966</v>
      </c>
      <c r="J2" s="383" t="s">
        <v>173</v>
      </c>
      <c r="K2" s="383" t="s">
        <v>967</v>
      </c>
      <c r="L2" s="384" t="s">
        <v>621</v>
      </c>
    </row>
    <row r="3" spans="1:11" s="384" customFormat="1" ht="17.25" customHeight="1">
      <c r="A3" s="569" t="s">
        <v>715</v>
      </c>
      <c r="B3" s="567"/>
      <c r="C3" s="568"/>
      <c r="D3" s="568"/>
      <c r="E3" s="568"/>
      <c r="F3" s="568"/>
      <c r="G3" s="567"/>
      <c r="H3" s="568"/>
      <c r="I3" s="568"/>
      <c r="J3" s="568"/>
      <c r="K3" s="568"/>
    </row>
    <row r="4" spans="1:12" ht="13.5" customHeight="1">
      <c r="A4" s="385" t="s">
        <v>968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0"/>
    </row>
    <row r="5" spans="1:12" ht="15" customHeight="1">
      <c r="A5" s="387" t="s">
        <v>1472</v>
      </c>
      <c r="B5" s="388"/>
      <c r="C5" s="388">
        <v>134</v>
      </c>
      <c r="D5" s="386">
        <v>4580000</v>
      </c>
      <c r="E5" s="386">
        <v>613720</v>
      </c>
      <c r="F5" s="386"/>
      <c r="G5" s="388"/>
      <c r="H5" s="388">
        <v>134</v>
      </c>
      <c r="I5" s="386">
        <v>4580000</v>
      </c>
      <c r="J5" s="386">
        <v>613720</v>
      </c>
      <c r="K5" s="386"/>
      <c r="L5" s="380"/>
    </row>
    <row r="6" spans="1:12" ht="15" customHeight="1">
      <c r="A6" s="387" t="s">
        <v>174</v>
      </c>
      <c r="B6" s="388"/>
      <c r="C6" s="388"/>
      <c r="D6" s="386"/>
      <c r="E6" s="386"/>
      <c r="F6" s="386">
        <v>0</v>
      </c>
      <c r="G6" s="388"/>
      <c r="H6" s="388"/>
      <c r="I6" s="386"/>
      <c r="J6" s="386"/>
      <c r="K6" s="386">
        <v>0</v>
      </c>
      <c r="L6" s="380"/>
    </row>
    <row r="7" spans="1:12" ht="15" customHeight="1">
      <c r="A7" s="387" t="s">
        <v>175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0"/>
    </row>
    <row r="8" spans="1:12" ht="15" customHeight="1">
      <c r="A8" s="387" t="s">
        <v>466</v>
      </c>
      <c r="B8" s="386"/>
      <c r="C8" s="386">
        <v>2300</v>
      </c>
      <c r="D8" s="386">
        <v>22300</v>
      </c>
      <c r="E8" s="386">
        <v>51292</v>
      </c>
      <c r="F8" s="386"/>
      <c r="G8" s="386"/>
      <c r="H8" s="386">
        <v>2300</v>
      </c>
      <c r="I8" s="386">
        <v>22300</v>
      </c>
      <c r="J8" s="386">
        <v>51292</v>
      </c>
      <c r="K8" s="386"/>
      <c r="L8" s="380"/>
    </row>
    <row r="9" spans="1:12" ht="15" customHeight="1">
      <c r="A9" s="387" t="s">
        <v>468</v>
      </c>
      <c r="B9" s="386"/>
      <c r="C9" s="389">
        <v>393.8</v>
      </c>
      <c r="D9" s="386">
        <v>415000</v>
      </c>
      <c r="E9" s="386">
        <v>163427</v>
      </c>
      <c r="F9" s="386"/>
      <c r="G9" s="386"/>
      <c r="H9" s="389">
        <v>393.8</v>
      </c>
      <c r="I9" s="386">
        <v>415000</v>
      </c>
      <c r="J9" s="386">
        <v>163427</v>
      </c>
      <c r="K9" s="386"/>
      <c r="L9" s="380"/>
    </row>
    <row r="10" spans="1:12" ht="15" customHeight="1">
      <c r="A10" s="387" t="s">
        <v>477</v>
      </c>
      <c r="B10" s="386"/>
      <c r="C10" s="386">
        <v>323446</v>
      </c>
      <c r="D10" s="386">
        <v>70</v>
      </c>
      <c r="E10" s="386">
        <v>22641</v>
      </c>
      <c r="F10" s="386"/>
      <c r="G10" s="386"/>
      <c r="H10" s="386">
        <v>323446</v>
      </c>
      <c r="I10" s="386">
        <v>70</v>
      </c>
      <c r="J10" s="386">
        <v>22641</v>
      </c>
      <c r="K10" s="386"/>
      <c r="L10" s="380"/>
    </row>
    <row r="11" spans="1:12" ht="15" customHeight="1">
      <c r="A11" s="387" t="s">
        <v>994</v>
      </c>
      <c r="B11" s="386"/>
      <c r="C11" s="386">
        <v>218</v>
      </c>
      <c r="D11" s="386">
        <v>470000</v>
      </c>
      <c r="E11" s="386">
        <v>102545</v>
      </c>
      <c r="F11" s="386"/>
      <c r="G11" s="386"/>
      <c r="H11" s="386">
        <v>218</v>
      </c>
      <c r="I11" s="386">
        <v>470000</v>
      </c>
      <c r="J11" s="386">
        <v>102545</v>
      </c>
      <c r="K11" s="386"/>
      <c r="L11" s="380"/>
    </row>
    <row r="12" spans="1:12" ht="15" customHeight="1">
      <c r="A12" s="387" t="s">
        <v>176</v>
      </c>
      <c r="B12" s="386"/>
      <c r="C12" s="386"/>
      <c r="D12" s="386"/>
      <c r="E12" s="386"/>
      <c r="F12" s="386">
        <v>0</v>
      </c>
      <c r="G12" s="386"/>
      <c r="H12" s="386"/>
      <c r="I12" s="386"/>
      <c r="J12" s="386"/>
      <c r="K12" s="386">
        <v>0</v>
      </c>
      <c r="L12" s="380"/>
    </row>
    <row r="13" spans="1:12" ht="15" customHeight="1">
      <c r="A13" s="387" t="s">
        <v>177</v>
      </c>
      <c r="B13" s="386">
        <v>58678</v>
      </c>
      <c r="C13" s="386"/>
      <c r="D13" s="386">
        <v>2700</v>
      </c>
      <c r="E13" s="386">
        <f>SUM(B13*D13)/1000</f>
        <v>158430.6</v>
      </c>
      <c r="F13" s="386"/>
      <c r="G13" s="386">
        <v>58678</v>
      </c>
      <c r="H13" s="386"/>
      <c r="I13" s="386">
        <v>2700</v>
      </c>
      <c r="J13" s="386">
        <f>SUM(G13*I13)/1000</f>
        <v>158430.6</v>
      </c>
      <c r="K13" s="386"/>
      <c r="L13" s="380"/>
    </row>
    <row r="14" spans="1:12" ht="15" customHeight="1">
      <c r="A14" s="387" t="s">
        <v>178</v>
      </c>
      <c r="B14" s="386"/>
      <c r="C14" s="386"/>
      <c r="D14" s="386"/>
      <c r="E14" s="386"/>
      <c r="F14" s="386">
        <v>0</v>
      </c>
      <c r="G14" s="386"/>
      <c r="H14" s="386"/>
      <c r="I14" s="386"/>
      <c r="J14" s="386"/>
      <c r="K14" s="386">
        <v>0</v>
      </c>
      <c r="L14" s="380"/>
    </row>
    <row r="15" spans="1:12" ht="15" customHeight="1">
      <c r="A15" s="387" t="s">
        <v>478</v>
      </c>
      <c r="B15" s="386">
        <v>3629</v>
      </c>
      <c r="C15" s="386"/>
      <c r="D15" s="386">
        <v>2550</v>
      </c>
      <c r="E15" s="386">
        <f>SUM(B15*D15)/1000</f>
        <v>9253.95</v>
      </c>
      <c r="F15" s="386"/>
      <c r="G15" s="386">
        <v>3629</v>
      </c>
      <c r="H15" s="386"/>
      <c r="I15" s="386">
        <v>2550</v>
      </c>
      <c r="J15" s="386">
        <f>SUM(G15*I15)/1000</f>
        <v>9253.95</v>
      </c>
      <c r="K15" s="386"/>
      <c r="L15" s="380"/>
    </row>
    <row r="16" spans="1:12" ht="15" customHeight="1">
      <c r="A16" s="387" t="s">
        <v>566</v>
      </c>
      <c r="B16" s="386"/>
      <c r="C16" s="386"/>
      <c r="D16" s="386"/>
      <c r="E16" s="386"/>
      <c r="F16" s="386">
        <v>0</v>
      </c>
      <c r="G16" s="386"/>
      <c r="H16" s="386"/>
      <c r="I16" s="386"/>
      <c r="J16" s="386"/>
      <c r="K16" s="386">
        <v>0</v>
      </c>
      <c r="L16" s="380"/>
    </row>
    <row r="17" spans="1:12" ht="15" customHeight="1">
      <c r="A17" s="387" t="s">
        <v>567</v>
      </c>
      <c r="B17" s="389"/>
      <c r="C17" s="386">
        <v>14956000</v>
      </c>
      <c r="D17" s="388">
        <v>1.55</v>
      </c>
      <c r="E17" s="386">
        <v>23182</v>
      </c>
      <c r="F17" s="386"/>
      <c r="G17" s="389"/>
      <c r="H17" s="386">
        <v>14956000</v>
      </c>
      <c r="I17" s="388">
        <v>1.55</v>
      </c>
      <c r="J17" s="386">
        <v>23182</v>
      </c>
      <c r="K17" s="386"/>
      <c r="L17" s="380"/>
    </row>
    <row r="18" spans="1:12" ht="15" customHeight="1">
      <c r="A18" s="387" t="s">
        <v>568</v>
      </c>
      <c r="B18" s="386"/>
      <c r="C18" s="386"/>
      <c r="D18" s="388"/>
      <c r="E18" s="386"/>
      <c r="F18" s="386">
        <v>0</v>
      </c>
      <c r="G18" s="386"/>
      <c r="H18" s="386"/>
      <c r="I18" s="388"/>
      <c r="J18" s="386"/>
      <c r="K18" s="386">
        <v>0</v>
      </c>
      <c r="L18" s="380"/>
    </row>
    <row r="19" spans="1:12" ht="15" customHeight="1">
      <c r="A19" s="387" t="s">
        <v>569</v>
      </c>
      <c r="B19" s="386"/>
      <c r="C19" s="386"/>
      <c r="D19" s="386"/>
      <c r="E19" s="386">
        <v>-1155212</v>
      </c>
      <c r="F19" s="386"/>
      <c r="G19" s="386"/>
      <c r="H19" s="386"/>
      <c r="I19" s="386"/>
      <c r="J19" s="386">
        <v>-1155212</v>
      </c>
      <c r="K19" s="386"/>
      <c r="L19" s="380"/>
    </row>
    <row r="20" spans="1:12" ht="15" customHeight="1">
      <c r="A20" s="387" t="s">
        <v>570</v>
      </c>
      <c r="B20" s="386"/>
      <c r="C20" s="386">
        <v>800</v>
      </c>
      <c r="D20" s="386">
        <v>100</v>
      </c>
      <c r="E20" s="386"/>
      <c r="F20" s="386">
        <f>SUM(C20*D20)/1000</f>
        <v>80</v>
      </c>
      <c r="G20" s="386"/>
      <c r="H20" s="386">
        <v>800</v>
      </c>
      <c r="I20" s="386">
        <v>100</v>
      </c>
      <c r="J20" s="386"/>
      <c r="K20" s="386">
        <f>SUM(H20*I20)/1000</f>
        <v>80</v>
      </c>
      <c r="L20" s="397">
        <v>80000</v>
      </c>
    </row>
    <row r="21" spans="1:12" ht="15" customHeight="1">
      <c r="A21" s="387" t="s">
        <v>370</v>
      </c>
      <c r="B21" s="386"/>
      <c r="C21" s="386"/>
      <c r="D21" s="386"/>
      <c r="E21" s="386"/>
      <c r="F21" s="386">
        <v>5844</v>
      </c>
      <c r="G21" s="386"/>
      <c r="H21" s="386"/>
      <c r="I21" s="386"/>
      <c r="J21" s="386"/>
      <c r="K21" s="386">
        <v>5845</v>
      </c>
      <c r="L21" s="397">
        <v>5844485</v>
      </c>
    </row>
    <row r="22" spans="1:11" ht="15" customHeight="1">
      <c r="A22" s="385" t="s">
        <v>969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</row>
    <row r="23" spans="1:11" ht="24.75" customHeight="1">
      <c r="A23" s="390" t="s">
        <v>531</v>
      </c>
      <c r="B23" s="386"/>
      <c r="C23" s="386"/>
      <c r="D23" s="386"/>
      <c r="E23" s="386"/>
      <c r="F23" s="386"/>
      <c r="G23" s="386"/>
      <c r="H23" s="386"/>
      <c r="I23" s="386"/>
      <c r="J23" s="386"/>
      <c r="K23" s="386"/>
    </row>
    <row r="24" spans="1:12" ht="15" customHeight="1">
      <c r="A24" s="390" t="s">
        <v>179</v>
      </c>
      <c r="B24" s="386"/>
      <c r="C24" s="389">
        <v>138.8</v>
      </c>
      <c r="D24" s="386">
        <v>2872000</v>
      </c>
      <c r="E24" s="388"/>
      <c r="F24" s="386">
        <f>SUM(C24*D24)/1000</f>
        <v>398633.60000000003</v>
      </c>
      <c r="G24" s="386"/>
      <c r="H24" s="389">
        <v>138.9</v>
      </c>
      <c r="I24" s="386">
        <v>2872000</v>
      </c>
      <c r="J24" s="388"/>
      <c r="K24" s="386">
        <f>SUM(H24*I24)/1000</f>
        <v>398920.8</v>
      </c>
      <c r="L24" s="397">
        <v>398920800</v>
      </c>
    </row>
    <row r="25" spans="1:12" ht="15" customHeight="1">
      <c r="A25" s="390" t="s">
        <v>180</v>
      </c>
      <c r="B25" s="386"/>
      <c r="C25" s="389">
        <v>137.8</v>
      </c>
      <c r="D25" s="386">
        <v>1436000</v>
      </c>
      <c r="E25" s="388"/>
      <c r="F25" s="386">
        <f>SUM(C25*D25)/1000</f>
        <v>197880.80000000002</v>
      </c>
      <c r="G25" s="386"/>
      <c r="H25" s="389">
        <v>136.8</v>
      </c>
      <c r="I25" s="386">
        <v>1436000</v>
      </c>
      <c r="J25" s="388"/>
      <c r="K25" s="386">
        <f>SUM(H25*I25)/1000</f>
        <v>196444.80000000002</v>
      </c>
      <c r="L25" s="397">
        <v>196444800</v>
      </c>
    </row>
    <row r="26" spans="1:12" ht="15" customHeight="1">
      <c r="A26" s="391" t="s">
        <v>181</v>
      </c>
      <c r="B26" s="386"/>
      <c r="C26" s="389">
        <v>137.8</v>
      </c>
      <c r="D26" s="386">
        <v>35000</v>
      </c>
      <c r="E26" s="386"/>
      <c r="F26" s="386">
        <f>SUM(C26*D26)/1000</f>
        <v>4823</v>
      </c>
      <c r="G26" s="386"/>
      <c r="H26" s="389">
        <v>136.8</v>
      </c>
      <c r="I26" s="386">
        <v>35000</v>
      </c>
      <c r="J26" s="386"/>
      <c r="K26" s="386">
        <f>SUM(H26*I26)/1000</f>
        <v>4788</v>
      </c>
      <c r="L26" s="397">
        <v>4788000</v>
      </c>
    </row>
    <row r="27" spans="1:12" ht="24.75" customHeight="1">
      <c r="A27" s="390" t="s">
        <v>182</v>
      </c>
      <c r="B27" s="386"/>
      <c r="C27" s="386">
        <v>90</v>
      </c>
      <c r="D27" s="386">
        <v>1200000</v>
      </c>
      <c r="E27" s="392"/>
      <c r="F27" s="386">
        <f>SUM(C27*D27)/1000</f>
        <v>108000</v>
      </c>
      <c r="G27" s="386"/>
      <c r="H27" s="386">
        <v>90</v>
      </c>
      <c r="I27" s="386">
        <v>1200000</v>
      </c>
      <c r="J27" s="392"/>
      <c r="K27" s="386">
        <f>SUM(H27*I27)/1000</f>
        <v>108000</v>
      </c>
      <c r="L27" s="397">
        <v>108000000</v>
      </c>
    </row>
    <row r="28" spans="1:12" ht="24.75" customHeight="1">
      <c r="A28" s="390" t="s">
        <v>183</v>
      </c>
      <c r="B28" s="386"/>
      <c r="C28" s="386">
        <v>90</v>
      </c>
      <c r="D28" s="386">
        <v>600000</v>
      </c>
      <c r="E28" s="392"/>
      <c r="F28" s="386">
        <f>SUM(C28*D28)/1000</f>
        <v>54000</v>
      </c>
      <c r="G28" s="386"/>
      <c r="H28" s="386">
        <v>90</v>
      </c>
      <c r="I28" s="386">
        <v>600000</v>
      </c>
      <c r="J28" s="392"/>
      <c r="K28" s="386">
        <f>SUM(H28*I28)/1000</f>
        <v>54000</v>
      </c>
      <c r="L28" s="397">
        <v>54000000</v>
      </c>
    </row>
    <row r="29" spans="1:12" ht="19.5" customHeight="1">
      <c r="A29" s="387" t="s">
        <v>571</v>
      </c>
      <c r="B29" s="386">
        <v>1548</v>
      </c>
      <c r="C29" s="386"/>
      <c r="D29" s="386">
        <v>53333</v>
      </c>
      <c r="E29" s="392"/>
      <c r="F29" s="386">
        <v>82560</v>
      </c>
      <c r="G29" s="386">
        <v>1550</v>
      </c>
      <c r="H29" s="386"/>
      <c r="I29" s="386">
        <v>53333</v>
      </c>
      <c r="J29" s="392"/>
      <c r="K29" s="386">
        <v>82666</v>
      </c>
      <c r="L29" s="397">
        <v>82666667</v>
      </c>
    </row>
    <row r="30" spans="1:12" ht="13.5" customHeight="1">
      <c r="A30" s="387" t="s">
        <v>1473</v>
      </c>
      <c r="B30" s="386">
        <v>1545</v>
      </c>
      <c r="C30" s="386"/>
      <c r="D30" s="386">
        <v>26667</v>
      </c>
      <c r="E30" s="392"/>
      <c r="F30" s="386">
        <v>41200</v>
      </c>
      <c r="G30" s="386">
        <v>1517</v>
      </c>
      <c r="H30" s="386"/>
      <c r="I30" s="386">
        <v>26667</v>
      </c>
      <c r="J30" s="392"/>
      <c r="K30" s="386">
        <v>40453</v>
      </c>
      <c r="L30" s="397">
        <v>40453334</v>
      </c>
    </row>
    <row r="31" spans="1:11" ht="15" customHeight="1">
      <c r="A31" s="387" t="s">
        <v>991</v>
      </c>
      <c r="B31" s="386"/>
      <c r="C31" s="386"/>
      <c r="D31" s="386"/>
      <c r="E31" s="392"/>
      <c r="F31" s="386"/>
      <c r="G31" s="386"/>
      <c r="H31" s="386"/>
      <c r="I31" s="386"/>
      <c r="J31" s="392"/>
      <c r="K31" s="386"/>
    </row>
    <row r="32" spans="1:12" ht="15" customHeight="1">
      <c r="A32" s="387" t="s">
        <v>992</v>
      </c>
      <c r="B32" s="386">
        <v>21</v>
      </c>
      <c r="C32" s="386"/>
      <c r="D32" s="386">
        <v>384000</v>
      </c>
      <c r="E32" s="392"/>
      <c r="F32" s="386">
        <v>8064</v>
      </c>
      <c r="G32" s="386">
        <v>21</v>
      </c>
      <c r="H32" s="386"/>
      <c r="I32" s="386">
        <v>384000</v>
      </c>
      <c r="J32" s="392"/>
      <c r="K32" s="386">
        <v>8064</v>
      </c>
      <c r="L32" s="397">
        <v>8064000</v>
      </c>
    </row>
    <row r="33" spans="1:12" ht="15" customHeight="1">
      <c r="A33" s="387" t="s">
        <v>993</v>
      </c>
      <c r="B33" s="386">
        <v>3</v>
      </c>
      <c r="C33" s="386"/>
      <c r="D33" s="386">
        <v>1402910</v>
      </c>
      <c r="E33" s="392"/>
      <c r="F33" s="386">
        <v>4209</v>
      </c>
      <c r="G33" s="386">
        <v>3</v>
      </c>
      <c r="H33" s="386"/>
      <c r="I33" s="386">
        <v>1402910</v>
      </c>
      <c r="J33" s="392"/>
      <c r="K33" s="386">
        <v>4209</v>
      </c>
      <c r="L33" s="397">
        <v>4208730</v>
      </c>
    </row>
    <row r="34" spans="1:12" ht="15" customHeight="1">
      <c r="A34" s="387" t="s">
        <v>992</v>
      </c>
      <c r="B34" s="386">
        <v>8</v>
      </c>
      <c r="C34" s="386"/>
      <c r="D34" s="386">
        <v>352000</v>
      </c>
      <c r="E34" s="392"/>
      <c r="F34" s="386">
        <v>2816</v>
      </c>
      <c r="G34" s="386">
        <v>8</v>
      </c>
      <c r="H34" s="386"/>
      <c r="I34" s="386">
        <v>352000</v>
      </c>
      <c r="J34" s="392"/>
      <c r="K34" s="386">
        <v>2816</v>
      </c>
      <c r="L34" s="397">
        <v>2816000</v>
      </c>
    </row>
    <row r="35" spans="1:12" ht="15" customHeight="1">
      <c r="A35" s="387" t="s">
        <v>1474</v>
      </c>
      <c r="B35" s="386"/>
      <c r="C35" s="386"/>
      <c r="D35" s="386"/>
      <c r="E35" s="392"/>
      <c r="F35" s="386">
        <v>7730</v>
      </c>
      <c r="G35" s="386"/>
      <c r="H35" s="386"/>
      <c r="I35" s="386"/>
      <c r="J35" s="392"/>
      <c r="K35" s="386">
        <v>7730</v>
      </c>
      <c r="L35" s="397">
        <v>7730000</v>
      </c>
    </row>
    <row r="36" spans="1:11" ht="15" customHeight="1">
      <c r="A36" s="385" t="s">
        <v>1026</v>
      </c>
      <c r="B36" s="386"/>
      <c r="C36" s="386"/>
      <c r="D36" s="392"/>
      <c r="E36" s="392"/>
      <c r="F36" s="386"/>
      <c r="G36" s="386"/>
      <c r="H36" s="386"/>
      <c r="I36" s="392"/>
      <c r="J36" s="392"/>
      <c r="K36" s="386"/>
    </row>
    <row r="37" spans="1:12" ht="15" customHeight="1">
      <c r="A37" s="387" t="s">
        <v>557</v>
      </c>
      <c r="B37" s="386"/>
      <c r="C37" s="386"/>
      <c r="D37" s="392"/>
      <c r="E37" s="392"/>
      <c r="F37" s="386">
        <v>542</v>
      </c>
      <c r="G37" s="386"/>
      <c r="H37" s="386"/>
      <c r="I37" s="392"/>
      <c r="J37" s="392"/>
      <c r="K37" s="386">
        <v>624</v>
      </c>
      <c r="L37" s="380">
        <v>624029</v>
      </c>
    </row>
    <row r="38" spans="1:11" ht="15" customHeight="1">
      <c r="A38" s="387" t="s">
        <v>1475</v>
      </c>
      <c r="B38" s="386"/>
      <c r="C38" s="386"/>
      <c r="D38" s="386"/>
      <c r="E38" s="386"/>
      <c r="F38" s="386"/>
      <c r="G38" s="386"/>
      <c r="H38" s="386"/>
      <c r="I38" s="386"/>
      <c r="J38" s="386"/>
      <c r="K38" s="386"/>
    </row>
    <row r="39" spans="1:12" ht="15" customHeight="1">
      <c r="A39" s="387" t="s">
        <v>1476</v>
      </c>
      <c r="B39" s="386">
        <v>58678</v>
      </c>
      <c r="C39" s="393">
        <v>7.3</v>
      </c>
      <c r="D39" s="386">
        <v>3000000</v>
      </c>
      <c r="E39" s="386"/>
      <c r="F39" s="386">
        <f>SUM(C39*D39)/1000</f>
        <v>21900</v>
      </c>
      <c r="G39" s="386">
        <v>58678</v>
      </c>
      <c r="H39" s="393">
        <v>7.3</v>
      </c>
      <c r="I39" s="386">
        <v>3000000</v>
      </c>
      <c r="J39" s="386"/>
      <c r="K39" s="386">
        <f>SUM(H39*I39)/1000</f>
        <v>21900</v>
      </c>
      <c r="L39" s="397">
        <v>21900000</v>
      </c>
    </row>
    <row r="40" spans="1:12" ht="15" customHeight="1">
      <c r="A40" s="387" t="s">
        <v>1477</v>
      </c>
      <c r="B40" s="386">
        <v>4042</v>
      </c>
      <c r="C40" s="393">
        <v>1</v>
      </c>
      <c r="D40" s="386">
        <v>3000000</v>
      </c>
      <c r="E40" s="386"/>
      <c r="F40" s="386">
        <f>SUM(C40*D40)/1000</f>
        <v>3000</v>
      </c>
      <c r="G40" s="386">
        <v>4042</v>
      </c>
      <c r="H40" s="393">
        <v>1</v>
      </c>
      <c r="I40" s="386">
        <v>3000000</v>
      </c>
      <c r="J40" s="386"/>
      <c r="K40" s="386">
        <f>SUM(H40*I40)/1000</f>
        <v>3000</v>
      </c>
      <c r="L40" s="397">
        <v>3000000</v>
      </c>
    </row>
    <row r="41" spans="1:12" ht="15" customHeight="1">
      <c r="A41" s="387" t="s">
        <v>1478</v>
      </c>
      <c r="B41" s="386"/>
      <c r="C41" s="393">
        <v>1</v>
      </c>
      <c r="D41" s="386">
        <v>3000000</v>
      </c>
      <c r="E41" s="386"/>
      <c r="F41" s="386">
        <f>SUM(C41*D41)/1000</f>
        <v>3000</v>
      </c>
      <c r="G41" s="386"/>
      <c r="H41" s="393">
        <v>1</v>
      </c>
      <c r="I41" s="386">
        <v>3000000</v>
      </c>
      <c r="J41" s="386"/>
      <c r="K41" s="386">
        <f>SUM(H41*I41)/1000</f>
        <v>3000</v>
      </c>
      <c r="L41" s="397">
        <v>3000000</v>
      </c>
    </row>
    <row r="42" spans="1:11" ht="15" customHeight="1">
      <c r="A42" s="387" t="s">
        <v>538</v>
      </c>
      <c r="B42" s="386"/>
      <c r="C42" s="386"/>
      <c r="D42" s="386"/>
      <c r="E42" s="386"/>
      <c r="F42" s="386"/>
      <c r="G42" s="386"/>
      <c r="H42" s="386"/>
      <c r="I42" s="386"/>
      <c r="J42" s="386"/>
      <c r="K42" s="386"/>
    </row>
    <row r="43" spans="1:12" ht="15" customHeight="1">
      <c r="A43" s="387" t="s">
        <v>1479</v>
      </c>
      <c r="B43" s="386">
        <v>102415</v>
      </c>
      <c r="C43" s="389">
        <v>22.8</v>
      </c>
      <c r="D43" s="386">
        <v>3000000</v>
      </c>
      <c r="E43" s="386"/>
      <c r="F43" s="386">
        <f aca="true" t="shared" si="0" ref="F43:F48">SUM(C43*D43)/1000</f>
        <v>68400</v>
      </c>
      <c r="G43" s="386">
        <v>102415</v>
      </c>
      <c r="H43" s="389">
        <v>22.8</v>
      </c>
      <c r="I43" s="386">
        <v>3000000</v>
      </c>
      <c r="J43" s="386"/>
      <c r="K43" s="386">
        <f>SUM(H43*I43)/1000</f>
        <v>68400</v>
      </c>
      <c r="L43" s="397">
        <v>68400000</v>
      </c>
    </row>
    <row r="44" spans="1:12" ht="15" customHeight="1">
      <c r="A44" s="387" t="s">
        <v>539</v>
      </c>
      <c r="B44" s="386"/>
      <c r="C44" s="386">
        <v>390</v>
      </c>
      <c r="D44" s="386">
        <v>60896</v>
      </c>
      <c r="E44" s="386"/>
      <c r="F44" s="386">
        <f t="shared" si="0"/>
        <v>23749.44</v>
      </c>
      <c r="G44" s="386"/>
      <c r="H44" s="386">
        <v>365</v>
      </c>
      <c r="I44" s="386">
        <v>60896</v>
      </c>
      <c r="J44" s="386"/>
      <c r="K44" s="386">
        <f>SUM(H44*I44)/1000</f>
        <v>22227.04</v>
      </c>
      <c r="L44" s="397">
        <v>22227040</v>
      </c>
    </row>
    <row r="45" spans="1:12" ht="15" customHeight="1">
      <c r="A45" s="387" t="s">
        <v>540</v>
      </c>
      <c r="B45" s="386"/>
      <c r="C45" s="386">
        <v>67</v>
      </c>
      <c r="D45" s="386">
        <v>188500</v>
      </c>
      <c r="E45" s="386"/>
      <c r="F45" s="386">
        <f t="shared" si="0"/>
        <v>12629.5</v>
      </c>
      <c r="G45" s="386"/>
      <c r="H45" s="386">
        <v>63</v>
      </c>
      <c r="I45" s="386">
        <v>188500</v>
      </c>
      <c r="J45" s="386"/>
      <c r="K45" s="386">
        <f>SUM(H45*I45)/1000</f>
        <v>11875.5</v>
      </c>
      <c r="L45" s="397">
        <v>11875500</v>
      </c>
    </row>
    <row r="46" spans="1:12" ht="15" customHeight="1">
      <c r="A46" s="390" t="s">
        <v>541</v>
      </c>
      <c r="B46" s="394"/>
      <c r="C46" s="386">
        <v>80</v>
      </c>
      <c r="D46" s="386">
        <v>163500</v>
      </c>
      <c r="E46" s="386"/>
      <c r="F46" s="386">
        <f t="shared" si="0"/>
        <v>13080</v>
      </c>
      <c r="G46" s="394"/>
      <c r="H46" s="386">
        <v>77</v>
      </c>
      <c r="I46" s="386">
        <v>163500</v>
      </c>
      <c r="J46" s="386"/>
      <c r="K46" s="386">
        <v>12590</v>
      </c>
      <c r="L46" s="397">
        <v>12589500</v>
      </c>
    </row>
    <row r="47" spans="1:12" ht="15" customHeight="1">
      <c r="A47" s="390" t="s">
        <v>542</v>
      </c>
      <c r="B47" s="394"/>
      <c r="C47" s="386">
        <v>5</v>
      </c>
      <c r="D47" s="386">
        <v>550000</v>
      </c>
      <c r="E47" s="386"/>
      <c r="F47" s="386">
        <f t="shared" si="0"/>
        <v>2750</v>
      </c>
      <c r="G47" s="394"/>
      <c r="H47" s="386">
        <v>4</v>
      </c>
      <c r="I47" s="386">
        <v>550000</v>
      </c>
      <c r="J47" s="386"/>
      <c r="K47" s="386">
        <f>SUM(H47*I47)/1000</f>
        <v>2200</v>
      </c>
      <c r="L47" s="397">
        <v>2200000</v>
      </c>
    </row>
    <row r="48" spans="1:12" ht="15" customHeight="1">
      <c r="A48" s="390" t="s">
        <v>543</v>
      </c>
      <c r="B48" s="394"/>
      <c r="C48" s="386">
        <v>23</v>
      </c>
      <c r="D48" s="386">
        <v>372000</v>
      </c>
      <c r="E48" s="386"/>
      <c r="F48" s="386">
        <f t="shared" si="0"/>
        <v>8556</v>
      </c>
      <c r="G48" s="394"/>
      <c r="H48" s="386">
        <v>22</v>
      </c>
      <c r="I48" s="386">
        <v>372000</v>
      </c>
      <c r="J48" s="386"/>
      <c r="K48" s="386">
        <f>SUM(H48*I48)/1000</f>
        <v>8184</v>
      </c>
      <c r="L48" s="397">
        <v>8184000</v>
      </c>
    </row>
    <row r="49" spans="1:11" ht="15" customHeight="1">
      <c r="A49" s="390" t="s">
        <v>544</v>
      </c>
      <c r="B49" s="394"/>
      <c r="C49" s="386"/>
      <c r="D49" s="386"/>
      <c r="E49" s="386"/>
      <c r="F49" s="386"/>
      <c r="G49" s="394"/>
      <c r="H49" s="386"/>
      <c r="I49" s="386"/>
      <c r="J49" s="386"/>
      <c r="K49" s="386"/>
    </row>
    <row r="50" spans="1:12" ht="15" customHeight="1">
      <c r="A50" s="387" t="s">
        <v>545</v>
      </c>
      <c r="B50" s="395"/>
      <c r="C50" s="395">
        <v>280</v>
      </c>
      <c r="D50" s="396">
        <v>494100</v>
      </c>
      <c r="E50" s="396"/>
      <c r="F50" s="386">
        <f>SUM(C50*D50)/1000</f>
        <v>138348</v>
      </c>
      <c r="G50" s="395"/>
      <c r="H50" s="395">
        <v>286</v>
      </c>
      <c r="I50" s="396">
        <v>494100</v>
      </c>
      <c r="J50" s="396"/>
      <c r="K50" s="386">
        <f>SUM(H50*I50)/1000</f>
        <v>141312.6</v>
      </c>
      <c r="L50" s="397">
        <v>141312600</v>
      </c>
    </row>
    <row r="51" spans="1:12" ht="13.5" customHeight="1">
      <c r="A51" s="387" t="s">
        <v>1027</v>
      </c>
      <c r="B51" s="395"/>
      <c r="C51" s="395">
        <v>5</v>
      </c>
      <c r="D51" s="396">
        <v>741150</v>
      </c>
      <c r="E51" s="396"/>
      <c r="F51" s="386">
        <f>SUM(C51*D51)/1000</f>
        <v>3705.75</v>
      </c>
      <c r="G51" s="395"/>
      <c r="H51" s="395">
        <v>7</v>
      </c>
      <c r="I51" s="396">
        <v>741150</v>
      </c>
      <c r="J51" s="396"/>
      <c r="K51" s="386">
        <f>SUM(H51*I51)/1000</f>
        <v>5188.05</v>
      </c>
      <c r="L51" s="397">
        <v>5188050</v>
      </c>
    </row>
    <row r="52" spans="1:12" ht="14.25" customHeight="1">
      <c r="A52" s="387" t="s">
        <v>371</v>
      </c>
      <c r="B52" s="389"/>
      <c r="C52" s="386">
        <v>12</v>
      </c>
      <c r="D52" s="386">
        <v>1508760</v>
      </c>
      <c r="E52" s="386"/>
      <c r="F52" s="386">
        <v>18105</v>
      </c>
      <c r="G52" s="389"/>
      <c r="H52" s="389">
        <v>13.9</v>
      </c>
      <c r="I52" s="386">
        <v>1508760</v>
      </c>
      <c r="J52" s="386"/>
      <c r="K52" s="386">
        <f>SUM(H52*I52)/1000</f>
        <v>20971.764</v>
      </c>
      <c r="L52" s="406">
        <v>20971764</v>
      </c>
    </row>
    <row r="53" spans="1:12" ht="24.75" customHeight="1">
      <c r="A53" s="390" t="s">
        <v>1028</v>
      </c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406"/>
    </row>
    <row r="54" spans="1:12" ht="15" customHeight="1">
      <c r="A54" s="390" t="s">
        <v>1029</v>
      </c>
      <c r="B54" s="386"/>
      <c r="C54" s="388">
        <v>37.25</v>
      </c>
      <c r="D54" s="386">
        <v>2606040</v>
      </c>
      <c r="E54" s="386"/>
      <c r="F54" s="386">
        <f>SUM(C54*D54)/1000</f>
        <v>97074.99</v>
      </c>
      <c r="G54" s="386"/>
      <c r="H54" s="388">
        <v>37.25</v>
      </c>
      <c r="I54" s="386">
        <v>2606040</v>
      </c>
      <c r="J54" s="386"/>
      <c r="K54" s="386">
        <f>SUM(H54*I54)/1000</f>
        <v>97074.99</v>
      </c>
      <c r="L54" s="406">
        <v>97074990</v>
      </c>
    </row>
    <row r="55" spans="1:12" ht="13.5" customHeight="1">
      <c r="A55" s="387" t="s">
        <v>1030</v>
      </c>
      <c r="B55" s="386"/>
      <c r="C55" s="386"/>
      <c r="D55" s="386"/>
      <c r="E55" s="394"/>
      <c r="F55" s="386">
        <v>7306</v>
      </c>
      <c r="G55" s="386"/>
      <c r="H55" s="386"/>
      <c r="I55" s="386"/>
      <c r="J55" s="394"/>
      <c r="K55" s="386">
        <v>17477</v>
      </c>
      <c r="L55" s="406">
        <v>17477000</v>
      </c>
    </row>
    <row r="56" spans="1:12" ht="13.5" customHeight="1">
      <c r="A56" s="398" t="s">
        <v>184</v>
      </c>
      <c r="B56" s="386"/>
      <c r="C56" s="386"/>
      <c r="D56" s="392"/>
      <c r="E56" s="399"/>
      <c r="F56" s="386"/>
      <c r="G56" s="386"/>
      <c r="H56" s="386"/>
      <c r="I56" s="392"/>
      <c r="J56" s="399"/>
      <c r="K56" s="386"/>
      <c r="L56" s="406"/>
    </row>
    <row r="57" spans="1:12" ht="13.5" customHeight="1">
      <c r="A57" s="400" t="s">
        <v>209</v>
      </c>
      <c r="B57" s="388">
        <v>107.56</v>
      </c>
      <c r="C57" s="386"/>
      <c r="D57" s="386">
        <v>1632000</v>
      </c>
      <c r="E57" s="399"/>
      <c r="F57" s="386">
        <f>SUM(B57*D57/1000)</f>
        <v>175537.92</v>
      </c>
      <c r="G57" s="388">
        <v>99.28</v>
      </c>
      <c r="H57" s="386"/>
      <c r="I57" s="386">
        <v>1632000</v>
      </c>
      <c r="J57" s="399"/>
      <c r="K57" s="386">
        <f>SUM(G57*I57/1000)</f>
        <v>162024.96</v>
      </c>
      <c r="L57" s="406">
        <v>162024960</v>
      </c>
    </row>
    <row r="58" spans="1:12" ht="13.5" customHeight="1">
      <c r="A58" s="400" t="s">
        <v>224</v>
      </c>
      <c r="B58" s="386"/>
      <c r="C58" s="386"/>
      <c r="D58" s="392"/>
      <c r="E58" s="399"/>
      <c r="F58" s="386">
        <v>150237</v>
      </c>
      <c r="G58" s="386"/>
      <c r="H58" s="386"/>
      <c r="I58" s="392"/>
      <c r="J58" s="399"/>
      <c r="K58" s="386">
        <v>147222</v>
      </c>
      <c r="L58" s="406">
        <v>147222181</v>
      </c>
    </row>
    <row r="59" spans="1:12" ht="13.5" customHeight="1">
      <c r="A59" s="400" t="s">
        <v>897</v>
      </c>
      <c r="B59" s="386"/>
      <c r="C59" s="386"/>
      <c r="D59" s="392"/>
      <c r="E59" s="399"/>
      <c r="F59" s="386">
        <v>1214</v>
      </c>
      <c r="G59" s="386"/>
      <c r="H59" s="386"/>
      <c r="I59" s="392"/>
      <c r="J59" s="399"/>
      <c r="K59" s="386">
        <v>290</v>
      </c>
      <c r="L59" s="406">
        <v>290415</v>
      </c>
    </row>
    <row r="60" spans="1:13" ht="13.5" customHeight="1">
      <c r="A60" s="400" t="s">
        <v>956</v>
      </c>
      <c r="B60" s="386"/>
      <c r="C60" s="386"/>
      <c r="D60" s="392"/>
      <c r="E60" s="399"/>
      <c r="F60" s="386"/>
      <c r="G60" s="386"/>
      <c r="H60" s="386"/>
      <c r="I60" s="392"/>
      <c r="J60" s="399"/>
      <c r="K60" s="386">
        <v>39456</v>
      </c>
      <c r="L60" s="397">
        <v>39456230</v>
      </c>
      <c r="M60" s="397"/>
    </row>
    <row r="61" spans="1:13" ht="13.5" customHeight="1">
      <c r="A61" s="387" t="s">
        <v>96</v>
      </c>
      <c r="B61" s="386"/>
      <c r="C61" s="386"/>
      <c r="D61" s="392"/>
      <c r="E61" s="399"/>
      <c r="F61" s="386"/>
      <c r="G61" s="386"/>
      <c r="H61" s="386"/>
      <c r="I61" s="392"/>
      <c r="J61" s="399"/>
      <c r="K61" s="386">
        <v>57007</v>
      </c>
      <c r="L61" s="397">
        <v>57006625</v>
      </c>
      <c r="M61" s="397"/>
    </row>
    <row r="62" spans="1:11" ht="13.5" customHeight="1">
      <c r="A62" s="401" t="s">
        <v>1031</v>
      </c>
      <c r="B62" s="386"/>
      <c r="C62" s="386"/>
      <c r="D62" s="394"/>
      <c r="E62" s="394"/>
      <c r="F62" s="386"/>
      <c r="G62" s="386"/>
      <c r="H62" s="386"/>
      <c r="I62" s="394"/>
      <c r="J62" s="394"/>
      <c r="K62" s="386"/>
    </row>
    <row r="63" spans="1:12" ht="13.5" customHeight="1">
      <c r="A63" s="390" t="s">
        <v>1032</v>
      </c>
      <c r="B63" s="386"/>
      <c r="C63" s="386"/>
      <c r="D63" s="394"/>
      <c r="E63" s="394"/>
      <c r="F63" s="386">
        <v>102200</v>
      </c>
      <c r="G63" s="386"/>
      <c r="H63" s="386"/>
      <c r="I63" s="394"/>
      <c r="J63" s="394"/>
      <c r="K63" s="386">
        <v>102200</v>
      </c>
      <c r="L63" s="397">
        <v>102200000</v>
      </c>
    </row>
    <row r="64" spans="1:12" ht="24.75" customHeight="1">
      <c r="A64" s="390" t="s">
        <v>1483</v>
      </c>
      <c r="B64" s="386"/>
      <c r="C64" s="386"/>
      <c r="D64" s="394"/>
      <c r="E64" s="394"/>
      <c r="F64" s="386">
        <v>112600</v>
      </c>
      <c r="G64" s="386"/>
      <c r="H64" s="386"/>
      <c r="I64" s="394"/>
      <c r="J64" s="394"/>
      <c r="K64" s="386">
        <v>112600</v>
      </c>
      <c r="L64" s="397">
        <v>112600000</v>
      </c>
    </row>
    <row r="65" spans="1:12" ht="13.5" customHeight="1">
      <c r="A65" s="390" t="s">
        <v>1033</v>
      </c>
      <c r="B65" s="386">
        <v>58678</v>
      </c>
      <c r="C65" s="386"/>
      <c r="D65" s="394">
        <v>400</v>
      </c>
      <c r="E65" s="394"/>
      <c r="F65" s="402">
        <f>SUM(B65*D65)/1000</f>
        <v>23471.2</v>
      </c>
      <c r="G65" s="386">
        <v>58678</v>
      </c>
      <c r="H65" s="386"/>
      <c r="I65" s="394">
        <v>400</v>
      </c>
      <c r="J65" s="394"/>
      <c r="K65" s="402">
        <f>SUM(G65*I65)/1000</f>
        <v>23471.2</v>
      </c>
      <c r="L65" s="397">
        <v>23471200</v>
      </c>
    </row>
    <row r="66" spans="1:12" ht="24.75" customHeight="1">
      <c r="A66" s="390" t="s">
        <v>898</v>
      </c>
      <c r="B66" s="396"/>
      <c r="C66" s="396"/>
      <c r="D66" s="396"/>
      <c r="E66" s="396"/>
      <c r="F66" s="403">
        <v>175593</v>
      </c>
      <c r="G66" s="396"/>
      <c r="H66" s="396"/>
      <c r="I66" s="396"/>
      <c r="J66" s="396"/>
      <c r="K66" s="396">
        <v>175593</v>
      </c>
      <c r="L66" s="397">
        <v>175592620</v>
      </c>
    </row>
    <row r="67" spans="1:11" ht="15" customHeight="1">
      <c r="A67" s="390" t="s">
        <v>1480</v>
      </c>
      <c r="B67" s="386"/>
      <c r="C67" s="386"/>
      <c r="D67" s="386"/>
      <c r="E67" s="386"/>
      <c r="F67" s="402"/>
      <c r="G67" s="386"/>
      <c r="H67" s="386"/>
      <c r="I67" s="386"/>
      <c r="J67" s="386"/>
      <c r="K67" s="402"/>
    </row>
    <row r="68" spans="1:11" ht="13.5" customHeight="1">
      <c r="A68" s="390" t="s">
        <v>1481</v>
      </c>
      <c r="B68" s="386"/>
      <c r="C68" s="386"/>
      <c r="D68" s="386"/>
      <c r="E68" s="386"/>
      <c r="F68" s="386"/>
      <c r="G68" s="386"/>
      <c r="H68" s="386"/>
      <c r="I68" s="386"/>
      <c r="J68" s="386"/>
      <c r="K68" s="386"/>
    </row>
    <row r="69" spans="1:12" ht="15" customHeight="1">
      <c r="A69" s="387" t="s">
        <v>1482</v>
      </c>
      <c r="B69" s="386"/>
      <c r="C69" s="386"/>
      <c r="D69" s="386"/>
      <c r="E69" s="386"/>
      <c r="F69" s="386">
        <v>249800</v>
      </c>
      <c r="G69" s="386"/>
      <c r="H69" s="386"/>
      <c r="I69" s="386"/>
      <c r="J69" s="386"/>
      <c r="K69" s="386">
        <v>249800</v>
      </c>
      <c r="L69" s="397">
        <v>249800000</v>
      </c>
    </row>
    <row r="70" spans="1:12" ht="15" customHeight="1">
      <c r="A70" s="387" t="s">
        <v>95</v>
      </c>
      <c r="B70" s="386"/>
      <c r="C70" s="386"/>
      <c r="D70" s="386"/>
      <c r="E70" s="386"/>
      <c r="F70" s="386"/>
      <c r="G70" s="386"/>
      <c r="H70" s="386"/>
      <c r="I70" s="386"/>
      <c r="J70" s="386"/>
      <c r="K70" s="386">
        <v>535</v>
      </c>
      <c r="L70" s="397">
        <v>535291</v>
      </c>
    </row>
    <row r="71" spans="1:11" ht="15" customHeight="1">
      <c r="A71" s="385" t="s">
        <v>716</v>
      </c>
      <c r="B71" s="386"/>
      <c r="C71" s="386"/>
      <c r="D71" s="386"/>
      <c r="E71" s="386"/>
      <c r="F71" s="386"/>
      <c r="G71" s="386"/>
      <c r="H71" s="386"/>
      <c r="I71" s="386"/>
      <c r="J71" s="386"/>
      <c r="K71" s="386"/>
    </row>
    <row r="72" spans="1:12" ht="15" customHeight="1">
      <c r="A72" s="387" t="s">
        <v>957</v>
      </c>
      <c r="B72" s="386"/>
      <c r="C72" s="386"/>
      <c r="D72" s="386"/>
      <c r="E72" s="386"/>
      <c r="F72" s="386"/>
      <c r="G72" s="386"/>
      <c r="H72" s="386"/>
      <c r="I72" s="386"/>
      <c r="J72" s="386"/>
      <c r="K72" s="386">
        <v>57744</v>
      </c>
      <c r="L72" s="397">
        <v>57743610</v>
      </c>
    </row>
    <row r="73" spans="1:12" ht="15" customHeight="1">
      <c r="A73" s="387" t="s">
        <v>15</v>
      </c>
      <c r="B73" s="386"/>
      <c r="C73" s="386"/>
      <c r="D73" s="386"/>
      <c r="E73" s="386"/>
      <c r="F73" s="386"/>
      <c r="G73" s="386"/>
      <c r="H73" s="386"/>
      <c r="I73" s="386"/>
      <c r="J73" s="386"/>
      <c r="K73" s="386">
        <v>26540</v>
      </c>
      <c r="L73" s="397">
        <v>26540000</v>
      </c>
    </row>
    <row r="74" spans="1:11" ht="15" customHeight="1">
      <c r="A74" s="387" t="s">
        <v>16</v>
      </c>
      <c r="B74" s="386"/>
      <c r="C74" s="386"/>
      <c r="D74" s="386"/>
      <c r="E74" s="386"/>
      <c r="F74" s="386"/>
      <c r="G74" s="386"/>
      <c r="H74" s="386"/>
      <c r="I74" s="386"/>
      <c r="J74" s="386"/>
      <c r="K74" s="386"/>
    </row>
    <row r="75" spans="1:12" ht="15" customHeight="1">
      <c r="A75" s="387" t="s">
        <v>17</v>
      </c>
      <c r="B75" s="386"/>
      <c r="C75" s="386"/>
      <c r="D75" s="386"/>
      <c r="E75" s="386"/>
      <c r="F75" s="386"/>
      <c r="G75" s="386"/>
      <c r="H75" s="386"/>
      <c r="I75" s="386"/>
      <c r="J75" s="386"/>
      <c r="K75" s="386">
        <v>2929</v>
      </c>
      <c r="L75" s="397">
        <v>2929292</v>
      </c>
    </row>
    <row r="76" spans="1:12" ht="15" customHeight="1">
      <c r="A76" s="740" t="s">
        <v>1002</v>
      </c>
      <c r="B76" s="386"/>
      <c r="C76" s="386"/>
      <c r="D76" s="386"/>
      <c r="E76" s="386"/>
      <c r="F76" s="386"/>
      <c r="G76" s="386"/>
      <c r="H76" s="386"/>
      <c r="I76" s="386"/>
      <c r="J76" s="386"/>
      <c r="K76" s="386">
        <v>62</v>
      </c>
      <c r="L76" s="397">
        <v>62000</v>
      </c>
    </row>
    <row r="77" spans="1:12" ht="15" customHeight="1">
      <c r="A77" s="740" t="s">
        <v>1435</v>
      </c>
      <c r="B77" s="386"/>
      <c r="C77" s="386"/>
      <c r="D77" s="386"/>
      <c r="E77" s="386"/>
      <c r="F77" s="386"/>
      <c r="G77" s="386"/>
      <c r="H77" s="386"/>
      <c r="I77" s="386"/>
      <c r="J77" s="386"/>
      <c r="K77" s="386">
        <v>950000</v>
      </c>
      <c r="L77" s="397">
        <v>950000000</v>
      </c>
    </row>
    <row r="78" spans="1:12" s="384" customFormat="1" ht="13.5" customHeight="1">
      <c r="A78" s="404" t="s">
        <v>1484</v>
      </c>
      <c r="B78" s="405"/>
      <c r="C78" s="405"/>
      <c r="D78" s="405"/>
      <c r="E78" s="405"/>
      <c r="F78" s="405">
        <f>SUM(F5:F69)</f>
        <v>2328640.1999999997</v>
      </c>
      <c r="G78" s="405"/>
      <c r="H78" s="405"/>
      <c r="I78" s="405"/>
      <c r="J78" s="405"/>
      <c r="K78" s="405">
        <f>SUM(K5:K77)</f>
        <v>3457515.704</v>
      </c>
      <c r="L78" s="704">
        <f>SUM(L19:L77)</f>
        <v>3457515713</v>
      </c>
    </row>
    <row r="79" spans="11:17" ht="12.75" customHeight="1">
      <c r="K79" s="406"/>
      <c r="L79" s="406"/>
      <c r="M79" s="407"/>
      <c r="N79" s="407"/>
      <c r="O79" s="407"/>
      <c r="P79" s="407"/>
      <c r="Q79" s="407"/>
    </row>
    <row r="80" spans="11:17" ht="12.75" customHeight="1">
      <c r="K80" s="406"/>
      <c r="L80" s="406"/>
      <c r="M80" s="407"/>
      <c r="N80" s="407"/>
      <c r="O80" s="407"/>
      <c r="P80" s="407"/>
      <c r="Q80" s="407"/>
    </row>
    <row r="81" spans="11:17" ht="12">
      <c r="K81" s="406"/>
      <c r="L81" s="406"/>
      <c r="M81" s="407"/>
      <c r="N81" s="407"/>
      <c r="O81" s="407"/>
      <c r="P81" s="407"/>
      <c r="Q81" s="407"/>
    </row>
    <row r="82" spans="11:17" ht="12">
      <c r="K82" s="406"/>
      <c r="L82" s="406"/>
      <c r="M82" s="407"/>
      <c r="N82" s="407"/>
      <c r="O82" s="407"/>
      <c r="P82" s="407"/>
      <c r="Q82" s="407"/>
    </row>
    <row r="83" spans="11:17" ht="12">
      <c r="K83" s="406"/>
      <c r="L83" s="406"/>
      <c r="M83" s="407"/>
      <c r="N83" s="407"/>
      <c r="O83" s="407"/>
      <c r="P83" s="407"/>
      <c r="Q83" s="407"/>
    </row>
    <row r="86" ht="12">
      <c r="K86" s="408"/>
    </row>
  </sheetData>
  <sheetProtection selectLockedCells="1" selectUnlockedCells="1"/>
  <mergeCells count="2">
    <mergeCell ref="G1:K1"/>
    <mergeCell ref="B1:F1"/>
  </mergeCells>
  <printOptions horizontalCentered="1" verticalCentered="1"/>
  <pageMargins left="0.07874015748031496" right="0.07874015748031496" top="0.7086614173228347" bottom="0.2362204724409449" header="0.3937007874015748" footer="0.1968503937007874"/>
  <pageSetup horizontalDpi="300" verticalDpi="300" orientation="landscape" paperSize="9" scale="70" r:id="rId1"/>
  <headerFooter alignWithMargins="0">
    <oddHeader>&amp;C&amp;"Times New Roman,Félkövér dőlt"ÁLLAMI HOZZÁJÁRULÁSOKBÓL SZÁRMAZÓ BEVÉTEL 2016. ÉVBEN&amp;R&amp;"Times New Roman,Dőlt"3. melléklet
Adatok: ezer Ft-ba&amp;"Times New Roman,Normál"n</oddHeader>
    <oddFooter>&amp;C&amp;P</oddFooter>
  </headerFooter>
  <rowBreaks count="1" manualBreakCount="1">
    <brk id="8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9.375" style="27" customWidth="1"/>
    <col min="2" max="2" width="50.50390625" style="27" customWidth="1"/>
    <col min="3" max="3" width="16.50390625" style="27" customWidth="1"/>
    <col min="4" max="5" width="16.375" style="27" customWidth="1"/>
    <col min="6" max="16384" width="9.375" style="27" customWidth="1"/>
  </cols>
  <sheetData>
    <row r="1" spans="1:5" s="57" customFormat="1" ht="49.5" customHeight="1" thickBot="1">
      <c r="A1" s="75" t="s">
        <v>194</v>
      </c>
      <c r="B1" s="75" t="s">
        <v>151</v>
      </c>
      <c r="C1" s="75" t="s">
        <v>854</v>
      </c>
      <c r="D1" s="75" t="s">
        <v>710</v>
      </c>
      <c r="E1" s="75" t="s">
        <v>712</v>
      </c>
    </row>
    <row r="2" spans="1:5" s="57" customFormat="1" ht="19.5" customHeight="1">
      <c r="A2" s="195"/>
      <c r="B2" s="196" t="s">
        <v>163</v>
      </c>
      <c r="C2" s="195"/>
      <c r="D2" s="196"/>
      <c r="E2" s="195"/>
    </row>
    <row r="3" spans="1:5" s="58" customFormat="1" ht="12.75">
      <c r="A3" s="77" t="s">
        <v>195</v>
      </c>
      <c r="B3" s="78" t="s">
        <v>1</v>
      </c>
      <c r="C3" s="92">
        <v>3321033</v>
      </c>
      <c r="D3" s="624">
        <f>207621+'táj.2'!G812</f>
        <v>223482</v>
      </c>
      <c r="E3" s="92">
        <f>SUM(C3:D3)</f>
        <v>3544515</v>
      </c>
    </row>
    <row r="4" spans="1:5" s="37" customFormat="1" ht="12.75">
      <c r="A4" s="77" t="s">
        <v>196</v>
      </c>
      <c r="B4" s="80" t="s">
        <v>488</v>
      </c>
      <c r="C4" s="92">
        <v>942083</v>
      </c>
      <c r="D4" s="624">
        <f>72514+'táj.2'!H812</f>
        <v>78413</v>
      </c>
      <c r="E4" s="92">
        <f>SUM(C4:D4)</f>
        <v>1020496</v>
      </c>
    </row>
    <row r="5" spans="1:5" s="37" customFormat="1" ht="12.75">
      <c r="A5" s="77" t="s">
        <v>197</v>
      </c>
      <c r="B5" s="82" t="s">
        <v>489</v>
      </c>
      <c r="C5" s="92">
        <v>5117961</v>
      </c>
      <c r="D5" s="624">
        <f>622511+'táj.2'!I812</f>
        <v>711951</v>
      </c>
      <c r="E5" s="92">
        <f>SUM(C5:D5)</f>
        <v>5829912</v>
      </c>
    </row>
    <row r="6" spans="1:5" s="37" customFormat="1" ht="12.75">
      <c r="A6" s="77" t="s">
        <v>198</v>
      </c>
      <c r="B6" s="82" t="s">
        <v>1020</v>
      </c>
      <c r="C6" s="92">
        <v>187677</v>
      </c>
      <c r="D6" s="624">
        <f>4908+'táj.2'!J812</f>
        <v>6269</v>
      </c>
      <c r="E6" s="92">
        <f>SUM(C6:D6)</f>
        <v>193946</v>
      </c>
    </row>
    <row r="7" spans="1:5" s="37" customFormat="1" ht="12.75">
      <c r="A7" s="77" t="s">
        <v>199</v>
      </c>
      <c r="B7" s="82" t="s">
        <v>1116</v>
      </c>
      <c r="C7" s="92">
        <v>2426862</v>
      </c>
      <c r="D7" s="624">
        <f>-509111+'táj.2'!K812</f>
        <v>-507985</v>
      </c>
      <c r="E7" s="92">
        <f>SUM(C7:D7)</f>
        <v>1918877</v>
      </c>
    </row>
    <row r="8" spans="1:5" s="37" customFormat="1" ht="13.5">
      <c r="A8" s="77"/>
      <c r="B8" s="76" t="s">
        <v>561</v>
      </c>
      <c r="C8" s="93">
        <f>SUM(C3:C7)</f>
        <v>11995616</v>
      </c>
      <c r="D8" s="625">
        <f>SUM(D3:D7)</f>
        <v>512130</v>
      </c>
      <c r="E8" s="93">
        <f>SUM(E3:E7)</f>
        <v>12507746</v>
      </c>
    </row>
    <row r="9" spans="1:5" s="37" customFormat="1" ht="12.75">
      <c r="A9" s="79" t="s">
        <v>200</v>
      </c>
      <c r="B9" s="81" t="s">
        <v>1104</v>
      </c>
      <c r="C9" s="81">
        <v>3633144</v>
      </c>
      <c r="D9" s="626">
        <f>2471532+'táj.2'!L812</f>
        <v>6995456</v>
      </c>
      <c r="E9" s="81">
        <f>SUM(C9:D9)</f>
        <v>10628600</v>
      </c>
    </row>
    <row r="10" spans="1:5" s="37" customFormat="1" ht="12.75">
      <c r="A10" s="79" t="s">
        <v>203</v>
      </c>
      <c r="B10" s="81" t="s">
        <v>1103</v>
      </c>
      <c r="C10" s="81">
        <v>1151251</v>
      </c>
      <c r="D10" s="626">
        <f>-9779+'táj.2'!M812</f>
        <v>943092</v>
      </c>
      <c r="E10" s="81">
        <f>SUM(C10:D10)</f>
        <v>2094343</v>
      </c>
    </row>
    <row r="11" spans="1:5" s="37" customFormat="1" ht="12.75">
      <c r="A11" s="79" t="s">
        <v>204</v>
      </c>
      <c r="B11" s="81" t="s">
        <v>1245</v>
      </c>
      <c r="C11" s="81">
        <v>393738</v>
      </c>
      <c r="D11" s="626">
        <f>85384+'táj.2'!N812</f>
        <v>85720</v>
      </c>
      <c r="E11" s="81">
        <f>SUM(C11:D11)</f>
        <v>479458</v>
      </c>
    </row>
    <row r="12" spans="1:5" s="37" customFormat="1" ht="13.5">
      <c r="A12" s="79"/>
      <c r="B12" s="94" t="s">
        <v>562</v>
      </c>
      <c r="C12" s="185">
        <f>SUM(C9:C11)</f>
        <v>5178133</v>
      </c>
      <c r="D12" s="627">
        <f>SUM(D9:D11)</f>
        <v>8024268</v>
      </c>
      <c r="E12" s="185">
        <f>SUM(E9:E11)</f>
        <v>13202401</v>
      </c>
    </row>
    <row r="13" spans="1:5" s="37" customFormat="1" ht="18" customHeight="1">
      <c r="A13" s="79" t="s">
        <v>1246</v>
      </c>
      <c r="B13" s="94" t="s">
        <v>1247</v>
      </c>
      <c r="C13" s="185">
        <f>SUM(C8+C12)</f>
        <v>17173749</v>
      </c>
      <c r="D13" s="627">
        <f>SUM(D8+D12)</f>
        <v>8536398</v>
      </c>
      <c r="E13" s="185">
        <f>SUM(E8+E12)</f>
        <v>25710147</v>
      </c>
    </row>
    <row r="14" spans="1:5" s="37" customFormat="1" ht="16.5" customHeight="1">
      <c r="A14" s="79" t="s">
        <v>1248</v>
      </c>
      <c r="B14" s="94" t="s">
        <v>162</v>
      </c>
      <c r="C14" s="185">
        <v>73904</v>
      </c>
      <c r="D14" s="628">
        <f>0+'táj.2'!O812+'táj.2'!P812</f>
        <v>0</v>
      </c>
      <c r="E14" s="185">
        <f>SUM(C14:D14)</f>
        <v>73904</v>
      </c>
    </row>
    <row r="15" spans="1:5" s="38" customFormat="1" ht="18.75" customHeight="1">
      <c r="A15" s="83"/>
      <c r="B15" s="84" t="s">
        <v>35</v>
      </c>
      <c r="C15" s="85">
        <f>SUM(C13:C14)</f>
        <v>17247653</v>
      </c>
      <c r="D15" s="629">
        <f>SUM(D13:D14)</f>
        <v>8536398</v>
      </c>
      <c r="E15" s="85">
        <f>SUM(E13:E14)</f>
        <v>25784051</v>
      </c>
    </row>
    <row r="16" spans="1:5" s="23" customFormat="1" ht="12.75">
      <c r="A16" s="87"/>
      <c r="B16" s="86"/>
      <c r="C16" s="86"/>
      <c r="D16" s="86"/>
      <c r="E16" s="86"/>
    </row>
    <row r="17" spans="1:5" s="4" customFormat="1" ht="12.75">
      <c r="A17" s="87"/>
      <c r="B17" s="87"/>
      <c r="C17" s="87"/>
      <c r="D17" s="87"/>
      <c r="E17" s="87"/>
    </row>
    <row r="18" spans="1:5" s="4" customFormat="1" ht="12.75">
      <c r="A18" s="87"/>
      <c r="B18" s="87"/>
      <c r="C18" s="87"/>
      <c r="D18" s="87"/>
      <c r="E18" s="87"/>
    </row>
    <row r="19" spans="1:5" s="4" customFormat="1" ht="12.75">
      <c r="A19" s="87"/>
      <c r="B19" s="87"/>
      <c r="C19" s="87"/>
      <c r="D19" s="87"/>
      <c r="E19" s="87"/>
    </row>
    <row r="20" spans="1:5" s="4" customFormat="1" ht="12.75">
      <c r="A20" s="87"/>
      <c r="B20" s="87"/>
      <c r="C20" s="87"/>
      <c r="D20" s="87"/>
      <c r="E20" s="87"/>
    </row>
    <row r="21" spans="1:5" s="4" customFormat="1" ht="12.75">
      <c r="A21" s="87"/>
      <c r="B21" s="87"/>
      <c r="C21" s="87"/>
      <c r="D21" s="87"/>
      <c r="E21" s="87"/>
    </row>
    <row r="22" spans="1:5" s="4" customFormat="1" ht="12.75">
      <c r="A22" s="87"/>
      <c r="B22" s="87"/>
      <c r="C22" s="87"/>
      <c r="D22" s="87"/>
      <c r="E22" s="87"/>
    </row>
    <row r="23" spans="1:5" s="4" customFormat="1" ht="12.75">
      <c r="A23" s="87"/>
      <c r="B23" s="87"/>
      <c r="C23" s="87"/>
      <c r="D23" s="87"/>
      <c r="E23" s="87"/>
    </row>
    <row r="24" spans="1:5" s="4" customFormat="1" ht="12.75">
      <c r="A24" s="87"/>
      <c r="B24" s="87"/>
      <c r="C24" s="87"/>
      <c r="D24" s="87"/>
      <c r="E24" s="87"/>
    </row>
    <row r="25" spans="1:5" s="4" customFormat="1" ht="12.75">
      <c r="A25" s="87"/>
      <c r="B25" s="87"/>
      <c r="C25" s="87"/>
      <c r="D25" s="87"/>
      <c r="E25" s="87"/>
    </row>
    <row r="26" spans="1:5" s="4" customFormat="1" ht="12.75">
      <c r="A26" s="88"/>
      <c r="B26" s="87"/>
      <c r="C26" s="87"/>
      <c r="D26" s="87"/>
      <c r="E26" s="87"/>
    </row>
    <row r="27" spans="1:5" ht="12.75">
      <c r="A27" s="88"/>
      <c r="B27" s="88"/>
      <c r="C27" s="88"/>
      <c r="D27" s="88"/>
      <c r="E27" s="88"/>
    </row>
    <row r="28" spans="1:5" ht="12.75">
      <c r="A28" s="88"/>
      <c r="B28" s="88"/>
      <c r="C28" s="88"/>
      <c r="D28" s="88"/>
      <c r="E28" s="88"/>
    </row>
    <row r="29" spans="1:5" ht="12.75">
      <c r="A29" s="88"/>
      <c r="B29" s="88"/>
      <c r="C29" s="88"/>
      <c r="D29" s="88"/>
      <c r="E29" s="88"/>
    </row>
    <row r="30" spans="1:5" ht="12.75">
      <c r="A30" s="88"/>
      <c r="B30" s="88"/>
      <c r="C30" s="88"/>
      <c r="D30" s="88"/>
      <c r="E30" s="88"/>
    </row>
    <row r="31" spans="1:5" ht="12.75">
      <c r="A31" s="88"/>
      <c r="B31" s="88"/>
      <c r="C31" s="88"/>
      <c r="D31" s="88"/>
      <c r="E31" s="88"/>
    </row>
    <row r="32" spans="2:5" ht="12.75">
      <c r="B32" s="88"/>
      <c r="C32" s="88"/>
      <c r="D32" s="88"/>
      <c r="E32" s="88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 KIADÁSI  ELŐIRÁNYZATAI
ROVATONKÉNT 2016.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="90" zoomScaleNormal="90" zoomScalePageLayoutView="0" workbookViewId="0" topLeftCell="A1">
      <pane ySplit="2" topLeftCell="BM3" activePane="bottomLeft" state="frozen"/>
      <selection pane="topLeft" activeCell="A1" sqref="A1"/>
      <selection pane="bottomLeft" activeCell="D16" sqref="D16:M16"/>
    </sheetView>
  </sheetViews>
  <sheetFormatPr defaultColWidth="9.00390625" defaultRowHeight="12.75"/>
  <cols>
    <col min="1" max="1" width="3.375" style="32" customWidth="1"/>
    <col min="2" max="2" width="7.00390625" style="32" customWidth="1"/>
    <col min="3" max="3" width="23.375" style="32" customWidth="1"/>
    <col min="4" max="4" width="12.375" style="32" customWidth="1"/>
    <col min="5" max="5" width="14.375" style="32" customWidth="1"/>
    <col min="6" max="6" width="10.875" style="32" customWidth="1"/>
    <col min="7" max="7" width="10.375" style="32" customWidth="1"/>
    <col min="8" max="8" width="12.00390625" style="32" customWidth="1"/>
    <col min="9" max="9" width="14.00390625" style="32" customWidth="1"/>
    <col min="10" max="10" width="14.875" style="32" customWidth="1"/>
    <col min="11" max="11" width="13.375" style="32" customWidth="1"/>
    <col min="12" max="12" width="14.875" style="32" customWidth="1"/>
    <col min="13" max="13" width="13.625" style="32" customWidth="1"/>
    <col min="14" max="14" width="11.50390625" style="32" customWidth="1"/>
    <col min="15" max="16384" width="9.375" style="32" customWidth="1"/>
  </cols>
  <sheetData>
    <row r="1" spans="1:14" ht="12.75">
      <c r="A1" s="764" t="s">
        <v>1285</v>
      </c>
      <c r="B1" s="764" t="s">
        <v>1286</v>
      </c>
      <c r="C1" s="765" t="s">
        <v>151</v>
      </c>
      <c r="D1" s="762" t="s">
        <v>164</v>
      </c>
      <c r="E1" s="762"/>
      <c r="F1" s="762"/>
      <c r="G1" s="762"/>
      <c r="H1" s="762"/>
      <c r="I1" s="762"/>
      <c r="J1" s="762"/>
      <c r="K1" s="762" t="s">
        <v>536</v>
      </c>
      <c r="L1" s="762"/>
      <c r="M1" s="763"/>
      <c r="N1" s="760" t="s">
        <v>153</v>
      </c>
    </row>
    <row r="2" spans="1:14" s="33" customFormat="1" ht="54.75" customHeight="1" thickBot="1">
      <c r="A2" s="764"/>
      <c r="B2" s="764"/>
      <c r="C2" s="765"/>
      <c r="D2" s="192" t="s">
        <v>1017</v>
      </c>
      <c r="E2" s="192" t="s">
        <v>1018</v>
      </c>
      <c r="F2" s="191" t="s">
        <v>1019</v>
      </c>
      <c r="G2" s="186" t="s">
        <v>532</v>
      </c>
      <c r="H2" s="191" t="s">
        <v>533</v>
      </c>
      <c r="I2" s="191" t="s">
        <v>534</v>
      </c>
      <c r="J2" s="191" t="s">
        <v>535</v>
      </c>
      <c r="K2" s="191" t="s">
        <v>165</v>
      </c>
      <c r="L2" s="191" t="s">
        <v>166</v>
      </c>
      <c r="M2" s="218" t="s">
        <v>168</v>
      </c>
      <c r="N2" s="761"/>
    </row>
    <row r="3" spans="1:14" ht="16.5" customHeight="1">
      <c r="A3" s="66">
        <v>1</v>
      </c>
      <c r="B3" s="66"/>
      <c r="C3" s="66" t="s">
        <v>452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219"/>
    </row>
    <row r="4" spans="1:14" ht="24.75" customHeight="1">
      <c r="A4" s="67"/>
      <c r="B4" s="67">
        <v>12</v>
      </c>
      <c r="C4" s="213" t="s">
        <v>1485</v>
      </c>
      <c r="D4" s="68">
        <f>'5.a'!E11</f>
        <v>8526</v>
      </c>
      <c r="E4" s="68">
        <f>'5.a'!F11</f>
        <v>0</v>
      </c>
      <c r="F4" s="68">
        <f>'5.a'!G11</f>
        <v>0</v>
      </c>
      <c r="G4" s="68">
        <f>'5.a'!H11</f>
        <v>16428</v>
      </c>
      <c r="H4" s="68">
        <f>'5.a'!I11</f>
        <v>0</v>
      </c>
      <c r="I4" s="68">
        <f>'5.a'!J11</f>
        <v>0</v>
      </c>
      <c r="J4" s="68">
        <f>'5.a'!K11</f>
        <v>0</v>
      </c>
      <c r="K4" s="68">
        <f>'5.a'!L11</f>
        <v>0</v>
      </c>
      <c r="L4" s="68">
        <f>'5.a'!M11</f>
        <v>0</v>
      </c>
      <c r="M4" s="68">
        <f>'5.a'!N11</f>
        <v>0</v>
      </c>
      <c r="N4" s="68">
        <f>SUM(D4:M4)</f>
        <v>24954</v>
      </c>
    </row>
    <row r="5" spans="1:14" ht="16.5" customHeight="1">
      <c r="A5" s="67"/>
      <c r="B5" s="67">
        <v>13</v>
      </c>
      <c r="C5" s="66" t="s">
        <v>1486</v>
      </c>
      <c r="D5" s="68">
        <f>'5.a'!E31</f>
        <v>24078</v>
      </c>
      <c r="E5" s="68">
        <f>'5.a'!F31</f>
        <v>3686</v>
      </c>
      <c r="F5" s="68">
        <f>'5.a'!G31</f>
        <v>0</v>
      </c>
      <c r="G5" s="68">
        <f>'5.a'!H31</f>
        <v>6964</v>
      </c>
      <c r="H5" s="68">
        <f>'5.a'!I31</f>
        <v>0</v>
      </c>
      <c r="I5" s="68">
        <f>'5.a'!J31</f>
        <v>9226</v>
      </c>
      <c r="J5" s="68">
        <f>'5.a'!K31</f>
        <v>10350</v>
      </c>
      <c r="K5" s="68">
        <f>'5.a'!L31</f>
        <v>0</v>
      </c>
      <c r="L5" s="68">
        <f>'5.a'!M31</f>
        <v>0</v>
      </c>
      <c r="M5" s="68">
        <f>'5.a'!N31</f>
        <v>0</v>
      </c>
      <c r="N5" s="68">
        <f aca="true" t="shared" si="0" ref="N5:N16">SUM(D5:M5)</f>
        <v>54304</v>
      </c>
    </row>
    <row r="6" spans="1:14" ht="16.5" customHeight="1">
      <c r="A6" s="100"/>
      <c r="B6" s="100">
        <v>14</v>
      </c>
      <c r="C6" s="16" t="s">
        <v>459</v>
      </c>
      <c r="D6" s="68">
        <f>'5.a'!E37</f>
        <v>7620</v>
      </c>
      <c r="E6" s="68">
        <f>'5.a'!F37</f>
        <v>739581</v>
      </c>
      <c r="F6" s="68">
        <f>'5.a'!G37</f>
        <v>0</v>
      </c>
      <c r="G6" s="68">
        <f>'5.a'!H37</f>
        <v>332397</v>
      </c>
      <c r="H6" s="68">
        <f>'5.a'!I37</f>
        <v>0</v>
      </c>
      <c r="I6" s="68">
        <f>'5.a'!J37</f>
        <v>0</v>
      </c>
      <c r="J6" s="68">
        <f>'5.a'!K37</f>
        <v>0</v>
      </c>
      <c r="K6" s="68">
        <f>'5.a'!L37</f>
        <v>0</v>
      </c>
      <c r="L6" s="68">
        <f>'5.a'!M37</f>
        <v>0</v>
      </c>
      <c r="M6" s="68">
        <f>'5.a'!N37</f>
        <v>0</v>
      </c>
      <c r="N6" s="68">
        <f t="shared" si="0"/>
        <v>1079598</v>
      </c>
    </row>
    <row r="7" spans="1:14" ht="16.5" customHeight="1">
      <c r="A7" s="67"/>
      <c r="B7" s="67">
        <v>15</v>
      </c>
      <c r="C7" s="66" t="s">
        <v>447</v>
      </c>
      <c r="D7" s="68">
        <f>'5.a'!E65</f>
        <v>574</v>
      </c>
      <c r="E7" s="68">
        <f>'5.a'!F65</f>
        <v>402468</v>
      </c>
      <c r="F7" s="68">
        <f>'5.a'!G65</f>
        <v>0</v>
      </c>
      <c r="G7" s="68">
        <f>'5.a'!H65</f>
        <v>793038</v>
      </c>
      <c r="H7" s="68">
        <f>'5.a'!I65</f>
        <v>3188</v>
      </c>
      <c r="I7" s="68">
        <f>'5.a'!J65</f>
        <v>6524</v>
      </c>
      <c r="J7" s="68">
        <f>'5.a'!K65</f>
        <v>2586</v>
      </c>
      <c r="K7" s="68">
        <f>'5.a'!L65</f>
        <v>0</v>
      </c>
      <c r="L7" s="68">
        <f>'5.a'!M65</f>
        <v>0</v>
      </c>
      <c r="M7" s="68">
        <f>'5.a'!N65</f>
        <v>0</v>
      </c>
      <c r="N7" s="68">
        <f t="shared" si="0"/>
        <v>1208378</v>
      </c>
    </row>
    <row r="8" spans="1:14" ht="16.5" customHeight="1">
      <c r="A8" s="67"/>
      <c r="B8" s="67">
        <v>16</v>
      </c>
      <c r="C8" s="66" t="s">
        <v>13</v>
      </c>
      <c r="D8" s="68">
        <f>'5.a'!E85</f>
        <v>586949</v>
      </c>
      <c r="E8" s="68">
        <f>'5.a'!F85</f>
        <v>6861863</v>
      </c>
      <c r="F8" s="68">
        <f>'5.a'!G85</f>
        <v>0</v>
      </c>
      <c r="G8" s="68">
        <f>'5.a'!H85</f>
        <v>26685</v>
      </c>
      <c r="H8" s="68">
        <f>'5.a'!I85</f>
        <v>0</v>
      </c>
      <c r="I8" s="68">
        <f>'5.a'!J85</f>
        <v>8763</v>
      </c>
      <c r="J8" s="68">
        <f>'5.a'!K85</f>
        <v>112985</v>
      </c>
      <c r="K8" s="68">
        <f>'5.a'!L85</f>
        <v>0</v>
      </c>
      <c r="L8" s="68">
        <f>'5.a'!M85</f>
        <v>0</v>
      </c>
      <c r="M8" s="68">
        <f>'5.a'!N85</f>
        <v>0</v>
      </c>
      <c r="N8" s="68">
        <f t="shared" si="0"/>
        <v>7597245</v>
      </c>
    </row>
    <row r="9" spans="1:14" ht="16.5" customHeight="1">
      <c r="A9" s="67"/>
      <c r="B9" s="67">
        <v>17</v>
      </c>
      <c r="C9" s="66" t="s">
        <v>448</v>
      </c>
      <c r="D9" s="68">
        <f>'5.a'!E108</f>
        <v>0</v>
      </c>
      <c r="E9" s="68">
        <f>'5.a'!F108</f>
        <v>0</v>
      </c>
      <c r="F9" s="68">
        <f>'5.a'!G108</f>
        <v>0</v>
      </c>
      <c r="G9" s="68">
        <f>'5.a'!H108</f>
        <v>251270</v>
      </c>
      <c r="H9" s="68">
        <f>'5.a'!I108</f>
        <v>102471</v>
      </c>
      <c r="I9" s="68">
        <f>'5.a'!J108</f>
        <v>0</v>
      </c>
      <c r="J9" s="68">
        <f>'5.a'!K108</f>
        <v>20000</v>
      </c>
      <c r="K9" s="68">
        <f>'5.a'!L108</f>
        <v>0</v>
      </c>
      <c r="L9" s="68">
        <f>'5.a'!M108</f>
        <v>61934</v>
      </c>
      <c r="M9" s="68">
        <f>'5.a'!N108</f>
        <v>284541</v>
      </c>
      <c r="N9" s="68">
        <f t="shared" si="0"/>
        <v>720216</v>
      </c>
    </row>
    <row r="10" spans="1:14" ht="16.5" customHeight="1">
      <c r="A10" s="67"/>
      <c r="B10" s="67">
        <v>18</v>
      </c>
      <c r="C10" s="66" t="s">
        <v>449</v>
      </c>
      <c r="D10" s="68">
        <f>'5.a'!E118</f>
        <v>0</v>
      </c>
      <c r="E10" s="68">
        <f>'5.a'!F118</f>
        <v>0</v>
      </c>
      <c r="F10" s="68">
        <f>'5.a'!G118</f>
        <v>6500</v>
      </c>
      <c r="G10" s="68">
        <f>'5.a'!H118</f>
        <v>68450</v>
      </c>
      <c r="H10" s="68">
        <f>'5.a'!I118</f>
        <v>0</v>
      </c>
      <c r="I10" s="68">
        <f>'5.a'!J118</f>
        <v>0</v>
      </c>
      <c r="J10" s="68">
        <f>'5.a'!K118</f>
        <v>0</v>
      </c>
      <c r="K10" s="68">
        <f>'5.a'!L118</f>
        <v>0</v>
      </c>
      <c r="L10" s="68">
        <f>'5.a'!M118</f>
        <v>0</v>
      </c>
      <c r="M10" s="68">
        <f>'5.a'!N118</f>
        <v>0</v>
      </c>
      <c r="N10" s="68">
        <f t="shared" si="0"/>
        <v>74950</v>
      </c>
    </row>
    <row r="11" spans="1:14" ht="16.5" customHeight="1">
      <c r="A11" s="67"/>
      <c r="B11" s="67">
        <v>19</v>
      </c>
      <c r="C11" s="66" t="s">
        <v>1282</v>
      </c>
      <c r="D11" s="68">
        <f>'5.a'!E155</f>
        <v>2546787</v>
      </c>
      <c r="E11" s="68">
        <f>'5.a'!F155</f>
        <v>950062</v>
      </c>
      <c r="F11" s="68">
        <f>'5.a'!G155</f>
        <v>5392150</v>
      </c>
      <c r="G11" s="68">
        <f>'5.a'!H155</f>
        <v>307328</v>
      </c>
      <c r="H11" s="68">
        <f>'5.a'!I155</f>
        <v>0</v>
      </c>
      <c r="I11" s="68">
        <f>'5.a'!J155</f>
        <v>14500</v>
      </c>
      <c r="J11" s="68">
        <f>'5.a'!K155</f>
        <v>800</v>
      </c>
      <c r="K11" s="68">
        <f>'5.a'!L155</f>
        <v>1032780</v>
      </c>
      <c r="L11" s="68">
        <f>'5.a'!M155</f>
        <v>2683647</v>
      </c>
      <c r="M11" s="68">
        <f>'5.a'!N155</f>
        <v>0</v>
      </c>
      <c r="N11" s="68">
        <f t="shared" si="0"/>
        <v>12928054</v>
      </c>
    </row>
    <row r="12" spans="1:14" ht="16.5" customHeight="1">
      <c r="A12" s="67"/>
      <c r="B12" s="67">
        <v>20</v>
      </c>
      <c r="C12" s="15" t="s">
        <v>813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>
        <f t="shared" si="0"/>
        <v>0</v>
      </c>
    </row>
    <row r="13" spans="1:14" ht="16.5" customHeight="1">
      <c r="A13" s="67"/>
      <c r="B13" s="67">
        <v>22</v>
      </c>
      <c r="C13" s="178" t="s">
        <v>902</v>
      </c>
      <c r="D13" s="68">
        <f>'5.a'!E167</f>
        <v>0</v>
      </c>
      <c r="E13" s="68">
        <f>'5.a'!F167</f>
        <v>0</v>
      </c>
      <c r="F13" s="68">
        <f>'5.a'!G167</f>
        <v>0</v>
      </c>
      <c r="G13" s="68">
        <f>'5.a'!H167</f>
        <v>2103</v>
      </c>
      <c r="H13" s="68">
        <f>'5.a'!I167</f>
        <v>20394</v>
      </c>
      <c r="I13" s="68">
        <f>'5.a'!J167</f>
        <v>6042</v>
      </c>
      <c r="J13" s="68">
        <f>'5.a'!K167</f>
        <v>7079</v>
      </c>
      <c r="K13" s="68">
        <f>'5.a'!L167</f>
        <v>0</v>
      </c>
      <c r="L13" s="68">
        <f>'5.a'!M167</f>
        <v>0</v>
      </c>
      <c r="M13" s="68">
        <f>'5.a'!N167</f>
        <v>0</v>
      </c>
      <c r="N13" s="68">
        <f t="shared" si="0"/>
        <v>35618</v>
      </c>
    </row>
    <row r="14" spans="1:14" ht="36" customHeight="1">
      <c r="A14" s="69"/>
      <c r="B14" s="69"/>
      <c r="C14" s="167" t="s">
        <v>961</v>
      </c>
      <c r="D14" s="89">
        <f aca="true" t="shared" si="1" ref="D14:M14">SUM(D4:D13)</f>
        <v>3174534</v>
      </c>
      <c r="E14" s="89">
        <f t="shared" si="1"/>
        <v>8957660</v>
      </c>
      <c r="F14" s="89">
        <f t="shared" si="1"/>
        <v>5398650</v>
      </c>
      <c r="G14" s="89">
        <f t="shared" si="1"/>
        <v>1804663</v>
      </c>
      <c r="H14" s="89">
        <f t="shared" si="1"/>
        <v>126053</v>
      </c>
      <c r="I14" s="89">
        <f t="shared" si="1"/>
        <v>45055</v>
      </c>
      <c r="J14" s="89">
        <f t="shared" si="1"/>
        <v>153800</v>
      </c>
      <c r="K14" s="89">
        <f t="shared" si="1"/>
        <v>1032780</v>
      </c>
      <c r="L14" s="89">
        <f t="shared" si="1"/>
        <v>2745581</v>
      </c>
      <c r="M14" s="89">
        <f t="shared" si="1"/>
        <v>284541</v>
      </c>
      <c r="N14" s="89">
        <f t="shared" si="0"/>
        <v>23723317</v>
      </c>
    </row>
    <row r="15" spans="1:14" ht="16.5" customHeight="1">
      <c r="A15" s="71">
        <v>2</v>
      </c>
      <c r="B15" s="71"/>
      <c r="C15" s="66" t="s">
        <v>454</v>
      </c>
      <c r="D15" s="68">
        <f>SUM('5.a'!E169)</f>
        <v>457404</v>
      </c>
      <c r="E15" s="68">
        <f>SUM('5.a'!F169)</f>
        <v>36975</v>
      </c>
      <c r="F15" s="68">
        <f>SUM('5.a'!G169)</f>
        <v>0</v>
      </c>
      <c r="G15" s="68">
        <f>SUM('5.a'!H169)</f>
        <v>1170084</v>
      </c>
      <c r="H15" s="68">
        <f>SUM('5.a'!I169)</f>
        <v>3755</v>
      </c>
      <c r="I15" s="68">
        <f>SUM('5.a'!J169)</f>
        <v>70094</v>
      </c>
      <c r="J15" s="68">
        <f>SUM('5.a'!K169)</f>
        <v>555</v>
      </c>
      <c r="K15" s="68">
        <f>SUM('5.a'!L169)</f>
        <v>0</v>
      </c>
      <c r="L15" s="68">
        <f>SUM('5.a'!M169)</f>
        <v>321867</v>
      </c>
      <c r="M15" s="68"/>
      <c r="N15" s="68">
        <f t="shared" si="0"/>
        <v>2060734</v>
      </c>
    </row>
    <row r="16" spans="1:14" ht="16.5" customHeight="1">
      <c r="A16" s="69"/>
      <c r="B16" s="69"/>
      <c r="C16" s="70" t="s">
        <v>440</v>
      </c>
      <c r="D16" s="89">
        <f aca="true" t="shared" si="2" ref="D16:M16">SUM(D14:D15)</f>
        <v>3631938</v>
      </c>
      <c r="E16" s="89">
        <f t="shared" si="2"/>
        <v>8994635</v>
      </c>
      <c r="F16" s="89">
        <f t="shared" si="2"/>
        <v>5398650</v>
      </c>
      <c r="G16" s="89">
        <f t="shared" si="2"/>
        <v>2974747</v>
      </c>
      <c r="H16" s="89">
        <f t="shared" si="2"/>
        <v>129808</v>
      </c>
      <c r="I16" s="89">
        <f t="shared" si="2"/>
        <v>115149</v>
      </c>
      <c r="J16" s="89">
        <f t="shared" si="2"/>
        <v>154355</v>
      </c>
      <c r="K16" s="89">
        <f t="shared" si="2"/>
        <v>1032780</v>
      </c>
      <c r="L16" s="89">
        <f t="shared" si="2"/>
        <v>3067448</v>
      </c>
      <c r="M16" s="89">
        <f t="shared" si="2"/>
        <v>284541</v>
      </c>
      <c r="N16" s="89">
        <f t="shared" si="0"/>
        <v>25784051</v>
      </c>
    </row>
    <row r="17" spans="3:13" ht="16.5" customHeight="1"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3:12" ht="13.5" customHeight="1">
      <c r="C18" s="34"/>
      <c r="D18" s="35"/>
      <c r="E18" s="35"/>
      <c r="F18" s="35"/>
      <c r="G18" s="35"/>
      <c r="H18" s="35"/>
      <c r="I18" s="35"/>
      <c r="J18" s="35"/>
      <c r="K18" s="35"/>
      <c r="L18" s="35"/>
    </row>
    <row r="19" spans="4:12" ht="13.5" customHeight="1">
      <c r="D19" s="35"/>
      <c r="E19" s="35"/>
      <c r="F19" s="35"/>
      <c r="G19" s="35"/>
      <c r="H19" s="35"/>
      <c r="I19" s="35"/>
      <c r="J19" s="35"/>
      <c r="K19" s="35"/>
      <c r="L19" s="35"/>
    </row>
    <row r="20" spans="4:12" ht="13.5" customHeight="1">
      <c r="D20" s="35"/>
      <c r="E20" s="35"/>
      <c r="F20" s="35"/>
      <c r="G20" s="35"/>
      <c r="H20" s="35"/>
      <c r="I20" s="35"/>
      <c r="J20" s="35"/>
      <c r="K20" s="35"/>
      <c r="L20" s="35"/>
    </row>
    <row r="21" spans="4:12" ht="13.5" customHeight="1">
      <c r="D21" s="35"/>
      <c r="E21" s="35"/>
      <c r="F21" s="35"/>
      <c r="G21" s="35"/>
      <c r="H21" s="35"/>
      <c r="I21" s="35"/>
      <c r="J21" s="35"/>
      <c r="K21" s="35"/>
      <c r="L21" s="35"/>
    </row>
    <row r="22" spans="4:12" ht="13.5" customHeight="1">
      <c r="D22" s="35"/>
      <c r="E22" s="35"/>
      <c r="F22" s="35"/>
      <c r="G22" s="35"/>
      <c r="H22" s="35"/>
      <c r="I22" s="35"/>
      <c r="J22" s="35"/>
      <c r="K22" s="35"/>
      <c r="L22" s="35"/>
    </row>
    <row r="23" spans="4:12" ht="13.5" customHeight="1">
      <c r="D23" s="35"/>
      <c r="E23" s="35"/>
      <c r="F23" s="35"/>
      <c r="G23" s="35"/>
      <c r="H23" s="35"/>
      <c r="I23" s="35"/>
      <c r="J23" s="35"/>
      <c r="K23" s="35"/>
      <c r="L23" s="35"/>
    </row>
    <row r="24" spans="4:12" ht="13.5" customHeight="1">
      <c r="D24" s="35"/>
      <c r="E24" s="35"/>
      <c r="F24" s="35"/>
      <c r="G24" s="35"/>
      <c r="H24" s="35"/>
      <c r="I24" s="35"/>
      <c r="J24" s="35"/>
      <c r="K24" s="35"/>
      <c r="L24" s="35"/>
    </row>
    <row r="25" spans="4:12" ht="13.5" customHeight="1">
      <c r="D25" s="35"/>
      <c r="E25" s="35"/>
      <c r="F25" s="35"/>
      <c r="G25" s="35"/>
      <c r="H25" s="35"/>
      <c r="I25" s="35"/>
      <c r="J25" s="35"/>
      <c r="K25" s="35"/>
      <c r="L25" s="35"/>
    </row>
    <row r="26" spans="4:12" ht="13.5" customHeight="1">
      <c r="D26" s="35"/>
      <c r="E26" s="35"/>
      <c r="F26" s="35"/>
      <c r="G26" s="35"/>
      <c r="H26" s="35"/>
      <c r="I26" s="35"/>
      <c r="J26" s="35"/>
      <c r="K26" s="35"/>
      <c r="L26" s="35"/>
    </row>
    <row r="27" ht="13.5" customHeight="1"/>
    <row r="28" ht="13.5" customHeight="1"/>
    <row r="29" ht="13.5" customHeight="1"/>
  </sheetData>
  <sheetProtection/>
  <mergeCells count="6">
    <mergeCell ref="N1:N2"/>
    <mergeCell ref="K1:M1"/>
    <mergeCell ref="A1:A2"/>
    <mergeCell ref="B1:B2"/>
    <mergeCell ref="C1:C2"/>
    <mergeCell ref="D1:J1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 
2016. 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73"/>
  <sheetViews>
    <sheetView zoomScalePageLayoutView="0" workbookViewId="0" topLeftCell="A1">
      <pane ySplit="2" topLeftCell="BM57" activePane="bottomLeft" state="frozen"/>
      <selection pane="topLeft" activeCell="A1" sqref="A1"/>
      <selection pane="bottomLeft" activeCell="C173" sqref="C173"/>
    </sheetView>
  </sheetViews>
  <sheetFormatPr defaultColWidth="9.00390625" defaultRowHeight="12.75"/>
  <cols>
    <col min="1" max="1" width="5.375" style="148" customWidth="1"/>
    <col min="2" max="2" width="5.50390625" style="148" customWidth="1"/>
    <col min="3" max="3" width="40.875" style="148" customWidth="1"/>
    <col min="4" max="4" width="10.00390625" style="508" customWidth="1"/>
    <col min="5" max="5" width="13.00390625" style="148" customWidth="1"/>
    <col min="6" max="6" width="13.125" style="148" customWidth="1"/>
    <col min="7" max="7" width="12.375" style="148" customWidth="1"/>
    <col min="8" max="8" width="11.375" style="148" customWidth="1"/>
    <col min="9" max="9" width="11.875" style="148" customWidth="1"/>
    <col min="10" max="10" width="10.875" style="148" customWidth="1"/>
    <col min="11" max="11" width="13.125" style="148" customWidth="1"/>
    <col min="12" max="13" width="11.50390625" style="148" customWidth="1"/>
    <col min="14" max="14" width="10.625" style="148" customWidth="1"/>
    <col min="15" max="15" width="13.125" style="148" customWidth="1"/>
    <col min="16" max="16" width="10.875" style="148" bestFit="1" customWidth="1"/>
    <col min="17" max="17" width="12.125" style="148" bestFit="1" customWidth="1"/>
    <col min="18" max="16384" width="9.375" style="148" customWidth="1"/>
  </cols>
  <sheetData>
    <row r="1" spans="1:15" ht="13.5">
      <c r="A1" s="769" t="s">
        <v>1285</v>
      </c>
      <c r="B1" s="769" t="s">
        <v>1286</v>
      </c>
      <c r="C1" s="766" t="s">
        <v>151</v>
      </c>
      <c r="D1" s="769" t="s">
        <v>573</v>
      </c>
      <c r="E1" s="767" t="s">
        <v>164</v>
      </c>
      <c r="F1" s="767"/>
      <c r="G1" s="767"/>
      <c r="H1" s="767"/>
      <c r="I1" s="767"/>
      <c r="J1" s="767"/>
      <c r="K1" s="767"/>
      <c r="L1" s="768" t="s">
        <v>536</v>
      </c>
      <c r="M1" s="768"/>
      <c r="N1" s="768"/>
      <c r="O1" s="766" t="s">
        <v>1016</v>
      </c>
    </row>
    <row r="2" spans="1:15" s="135" customFormat="1" ht="54.75" customHeight="1">
      <c r="A2" s="769"/>
      <c r="B2" s="769"/>
      <c r="C2" s="766"/>
      <c r="D2" s="770"/>
      <c r="E2" s="555" t="s">
        <v>1017</v>
      </c>
      <c r="F2" s="555" t="s">
        <v>1018</v>
      </c>
      <c r="G2" s="554" t="s">
        <v>1019</v>
      </c>
      <c r="H2" s="507" t="s">
        <v>532</v>
      </c>
      <c r="I2" s="554" t="s">
        <v>533</v>
      </c>
      <c r="J2" s="554" t="s">
        <v>534</v>
      </c>
      <c r="K2" s="554" t="s">
        <v>535</v>
      </c>
      <c r="L2" s="554" t="s">
        <v>165</v>
      </c>
      <c r="M2" s="554" t="s">
        <v>166</v>
      </c>
      <c r="N2" s="554" t="s">
        <v>168</v>
      </c>
      <c r="O2" s="766"/>
    </row>
    <row r="3" spans="1:15" s="135" customFormat="1" ht="12.75" customHeight="1">
      <c r="A3" s="146">
        <v>1</v>
      </c>
      <c r="B3" s="146"/>
      <c r="C3" s="429" t="s">
        <v>452</v>
      </c>
      <c r="D3" s="552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</row>
    <row r="4" spans="1:15" s="135" customFormat="1" ht="12.75" customHeight="1">
      <c r="A4" s="1">
        <v>1</v>
      </c>
      <c r="B4" s="1">
        <v>1</v>
      </c>
      <c r="C4" s="430" t="s">
        <v>812</v>
      </c>
      <c r="D4" s="490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39" customFormat="1" ht="13.5" customHeight="1">
      <c r="A5" s="172">
        <v>1</v>
      </c>
      <c r="B5" s="172">
        <v>12</v>
      </c>
      <c r="C5" s="431" t="s">
        <v>1485</v>
      </c>
      <c r="D5" s="71"/>
      <c r="E5" s="316"/>
      <c r="F5" s="316"/>
      <c r="G5" s="140"/>
      <c r="H5" s="140"/>
      <c r="I5" s="140"/>
      <c r="J5" s="140"/>
      <c r="K5" s="140"/>
      <c r="L5" s="140"/>
      <c r="M5" s="140"/>
      <c r="N5" s="140"/>
      <c r="O5" s="140"/>
    </row>
    <row r="6" spans="1:15" s="139" customFormat="1" ht="24.75" customHeight="1">
      <c r="A6" s="172"/>
      <c r="B6" s="172"/>
      <c r="C6" s="216" t="s">
        <v>57</v>
      </c>
      <c r="D6" s="491"/>
      <c r="E6" s="316"/>
      <c r="F6" s="316"/>
      <c r="G6" s="140"/>
      <c r="H6" s="140"/>
      <c r="I6" s="140"/>
      <c r="J6" s="140"/>
      <c r="K6" s="140"/>
      <c r="L6" s="140"/>
      <c r="M6" s="140"/>
      <c r="N6" s="140"/>
      <c r="O6" s="140"/>
    </row>
    <row r="7" spans="1:15" s="139" customFormat="1" ht="16.5" customHeight="1">
      <c r="A7" s="141"/>
      <c r="B7" s="141"/>
      <c r="C7" s="274" t="s">
        <v>125</v>
      </c>
      <c r="D7" s="482" t="s">
        <v>1305</v>
      </c>
      <c r="E7" s="140">
        <f>0+'táj.1'!E7</f>
        <v>0</v>
      </c>
      <c r="F7" s="140">
        <f>0+'táj.1'!F7</f>
        <v>0</v>
      </c>
      <c r="G7" s="140">
        <f>0+'táj.1'!G7</f>
        <v>0</v>
      </c>
      <c r="H7" s="140">
        <f>14300+'táj.1'!H7</f>
        <v>14758</v>
      </c>
      <c r="I7" s="140">
        <f>0+'táj.1'!I7</f>
        <v>0</v>
      </c>
      <c r="J7" s="140">
        <f>0+'táj.1'!J7</f>
        <v>0</v>
      </c>
      <c r="K7" s="140">
        <f>0+'táj.1'!K7</f>
        <v>0</v>
      </c>
      <c r="L7" s="140">
        <f>0+'táj.1'!L7</f>
        <v>0</v>
      </c>
      <c r="M7" s="140">
        <f>0+'táj.1'!M7</f>
        <v>0</v>
      </c>
      <c r="N7" s="140">
        <f>0+'táj.1'!N7</f>
        <v>0</v>
      </c>
      <c r="O7" s="140">
        <f>SUM(H7:N7)</f>
        <v>14758</v>
      </c>
    </row>
    <row r="8" spans="1:15" s="139" customFormat="1" ht="24" customHeight="1">
      <c r="A8" s="141"/>
      <c r="B8" s="141"/>
      <c r="C8" s="699" t="s">
        <v>1263</v>
      </c>
      <c r="D8" s="482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</row>
    <row r="9" spans="1:15" s="139" customFormat="1" ht="24.75" customHeight="1">
      <c r="A9" s="141"/>
      <c r="B9" s="141"/>
      <c r="C9" s="217" t="s">
        <v>928</v>
      </c>
      <c r="D9" s="700">
        <v>121124</v>
      </c>
      <c r="E9" s="140">
        <f>8526+'táj.1'!E9</f>
        <v>8526</v>
      </c>
      <c r="F9" s="140">
        <f>0+'táj.1'!F9</f>
        <v>0</v>
      </c>
      <c r="G9" s="140">
        <f>0+'táj.1'!G9</f>
        <v>0</v>
      </c>
      <c r="H9" s="140">
        <f>0+'táj.1'!H9</f>
        <v>0</v>
      </c>
      <c r="I9" s="140">
        <f>0+'táj.1'!I9</f>
        <v>0</v>
      </c>
      <c r="J9" s="140">
        <f>0+'táj.1'!J9</f>
        <v>0</v>
      </c>
      <c r="K9" s="140">
        <f>0+'táj.1'!K9</f>
        <v>0</v>
      </c>
      <c r="L9" s="140">
        <f>0+'táj.1'!L9</f>
        <v>0</v>
      </c>
      <c r="M9" s="140">
        <f>0+'táj.1'!M9</f>
        <v>0</v>
      </c>
      <c r="N9" s="140">
        <f>0+'táj.1'!N9</f>
        <v>0</v>
      </c>
      <c r="O9" s="140">
        <f>SUM(E9:N9)</f>
        <v>8526</v>
      </c>
    </row>
    <row r="10" spans="1:15" s="139" customFormat="1" ht="18" customHeight="1">
      <c r="A10" s="141"/>
      <c r="B10" s="141"/>
      <c r="C10" s="217" t="s">
        <v>186</v>
      </c>
      <c r="D10" s="700">
        <v>121203</v>
      </c>
      <c r="E10" s="140">
        <f>0+'táj.1'!E10</f>
        <v>0</v>
      </c>
      <c r="F10" s="140">
        <f>0+'táj.1'!F10</f>
        <v>0</v>
      </c>
      <c r="G10" s="140">
        <f>0+'táj.1'!G10</f>
        <v>0</v>
      </c>
      <c r="H10" s="140">
        <f>0+'táj.1'!H10</f>
        <v>1670</v>
      </c>
      <c r="I10" s="140">
        <f>0+'táj.1'!I10</f>
        <v>0</v>
      </c>
      <c r="J10" s="140">
        <f>0+'táj.1'!J10</f>
        <v>0</v>
      </c>
      <c r="K10" s="140">
        <f>0+'táj.1'!K10</f>
        <v>0</v>
      </c>
      <c r="L10" s="140">
        <f>0+'táj.1'!L10</f>
        <v>0</v>
      </c>
      <c r="M10" s="140">
        <f>0+'táj.1'!M10</f>
        <v>0</v>
      </c>
      <c r="N10" s="140">
        <f>0+'táj.1'!N10</f>
        <v>0</v>
      </c>
      <c r="O10" s="140">
        <f>SUM(E10:N10)</f>
        <v>1670</v>
      </c>
    </row>
    <row r="11" spans="1:15" s="139" customFormat="1" ht="13.5" customHeight="1">
      <c r="A11" s="137"/>
      <c r="B11" s="137"/>
      <c r="C11" s="177" t="s">
        <v>1492</v>
      </c>
      <c r="D11" s="492"/>
      <c r="E11" s="138">
        <f>SUM(E5:E10)</f>
        <v>8526</v>
      </c>
      <c r="F11" s="138">
        <f aca="true" t="shared" si="0" ref="F11:O11">SUM(F5:F10)</f>
        <v>0</v>
      </c>
      <c r="G11" s="138">
        <f t="shared" si="0"/>
        <v>0</v>
      </c>
      <c r="H11" s="138">
        <f t="shared" si="0"/>
        <v>16428</v>
      </c>
      <c r="I11" s="138">
        <f t="shared" si="0"/>
        <v>0</v>
      </c>
      <c r="J11" s="138">
        <f t="shared" si="0"/>
        <v>0</v>
      </c>
      <c r="K11" s="138">
        <f t="shared" si="0"/>
        <v>0</v>
      </c>
      <c r="L11" s="138">
        <f t="shared" si="0"/>
        <v>0</v>
      </c>
      <c r="M11" s="138">
        <f t="shared" si="0"/>
        <v>0</v>
      </c>
      <c r="N11" s="138">
        <f t="shared" si="0"/>
        <v>0</v>
      </c>
      <c r="O11" s="138">
        <f t="shared" si="0"/>
        <v>24954</v>
      </c>
    </row>
    <row r="12" spans="1:15" s="139" customFormat="1" ht="13.5" customHeight="1">
      <c r="A12" s="142">
        <v>1</v>
      </c>
      <c r="B12" s="142">
        <v>13</v>
      </c>
      <c r="C12" s="431" t="s">
        <v>1486</v>
      </c>
      <c r="D12" s="493"/>
      <c r="E12" s="179"/>
      <c r="F12" s="143"/>
      <c r="G12" s="143"/>
      <c r="H12" s="143"/>
      <c r="I12" s="143"/>
      <c r="J12" s="143"/>
      <c r="K12" s="143"/>
      <c r="L12" s="143"/>
      <c r="M12" s="143"/>
      <c r="N12" s="143"/>
      <c r="O12" s="143"/>
    </row>
    <row r="13" spans="1:15" s="139" customFormat="1" ht="13.5" customHeight="1">
      <c r="A13" s="142"/>
      <c r="B13" s="142"/>
      <c r="C13" s="174" t="s">
        <v>61</v>
      </c>
      <c r="D13" s="373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</row>
    <row r="14" spans="1:15" s="139" customFormat="1" ht="24.75" customHeight="1">
      <c r="A14" s="142"/>
      <c r="B14" s="142"/>
      <c r="C14" s="217" t="s">
        <v>486</v>
      </c>
      <c r="D14" s="494">
        <v>131705</v>
      </c>
      <c r="E14" s="140">
        <f>24078+'táj.1'!E14</f>
        <v>24078</v>
      </c>
      <c r="F14" s="140">
        <f>0+'táj.1'!F14</f>
        <v>0</v>
      </c>
      <c r="G14" s="140">
        <f>0+'táj.1'!G14</f>
        <v>0</v>
      </c>
      <c r="H14" s="140">
        <f>0+'táj.1'!H14</f>
        <v>0</v>
      </c>
      <c r="I14" s="140">
        <f>0+'táj.1'!I14</f>
        <v>0</v>
      </c>
      <c r="J14" s="140">
        <f>0+'táj.1'!J14</f>
        <v>0</v>
      </c>
      <c r="K14" s="140">
        <f>0+'táj.1'!K14</f>
        <v>0</v>
      </c>
      <c r="L14" s="140">
        <f>0+'táj.1'!L14</f>
        <v>0</v>
      </c>
      <c r="M14" s="140">
        <f>0+'táj.1'!M14</f>
        <v>0</v>
      </c>
      <c r="N14" s="140">
        <f>0+'táj.1'!N14</f>
        <v>0</v>
      </c>
      <c r="O14" s="140">
        <f>SUM(E14:N14)</f>
        <v>24078</v>
      </c>
    </row>
    <row r="15" spans="1:15" s="139" customFormat="1" ht="24.75" customHeight="1">
      <c r="A15" s="142"/>
      <c r="B15" s="142"/>
      <c r="C15" s="432" t="s">
        <v>188</v>
      </c>
      <c r="D15" s="494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71"/>
    </row>
    <row r="16" spans="1:15" s="139" customFormat="1" ht="24.75" customHeight="1">
      <c r="A16" s="142"/>
      <c r="B16" s="142"/>
      <c r="C16" s="432" t="s">
        <v>483</v>
      </c>
      <c r="D16" s="494">
        <v>131703</v>
      </c>
      <c r="E16" s="140">
        <f>0+'táj.1'!E16</f>
        <v>0</v>
      </c>
      <c r="F16" s="140">
        <f>0+'táj.1'!F16</f>
        <v>0</v>
      </c>
      <c r="G16" s="140">
        <f>0+'táj.1'!G16</f>
        <v>0</v>
      </c>
      <c r="H16" s="140">
        <f>5440+'táj.1'!H16</f>
        <v>5440</v>
      </c>
      <c r="I16" s="140">
        <f>0+'táj.1'!I16</f>
        <v>0</v>
      </c>
      <c r="J16" s="140">
        <f>0+'táj.1'!J16</f>
        <v>0</v>
      </c>
      <c r="K16" s="140">
        <f>0+'táj.1'!K16</f>
        <v>0</v>
      </c>
      <c r="L16" s="140">
        <f>0+'táj.1'!L16</f>
        <v>0</v>
      </c>
      <c r="M16" s="140">
        <f>0+'táj.1'!M16</f>
        <v>0</v>
      </c>
      <c r="N16" s="140">
        <f>0+'táj.1'!N16</f>
        <v>0</v>
      </c>
      <c r="O16" s="140">
        <f>SUM(E16:N16)</f>
        <v>5440</v>
      </c>
    </row>
    <row r="17" spans="1:15" s="139" customFormat="1" ht="38.25" customHeight="1">
      <c r="A17" s="142"/>
      <c r="B17" s="142"/>
      <c r="C17" s="225" t="s">
        <v>189</v>
      </c>
      <c r="D17" s="494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</row>
    <row r="18" spans="1:15" s="139" customFormat="1" ht="24.75" customHeight="1">
      <c r="A18" s="142"/>
      <c r="B18" s="142"/>
      <c r="C18" s="225" t="s">
        <v>574</v>
      </c>
      <c r="D18" s="494">
        <v>131711</v>
      </c>
      <c r="E18" s="140">
        <f>0+'táj.1'!E18</f>
        <v>0</v>
      </c>
      <c r="F18" s="140">
        <f>0+'táj.1'!F18</f>
        <v>0</v>
      </c>
      <c r="G18" s="140">
        <f>0+'táj.1'!G18</f>
        <v>0</v>
      </c>
      <c r="H18" s="140">
        <f>1524+'táj.1'!H18</f>
        <v>1524</v>
      </c>
      <c r="I18" s="140">
        <f>0+'táj.1'!I18</f>
        <v>0</v>
      </c>
      <c r="J18" s="140">
        <f>0+'táj.1'!J18</f>
        <v>0</v>
      </c>
      <c r="K18" s="140">
        <f>0+'táj.1'!K18</f>
        <v>0</v>
      </c>
      <c r="L18" s="140">
        <f>0+'táj.1'!L18</f>
        <v>0</v>
      </c>
      <c r="M18" s="140">
        <f>0+'táj.1'!M18</f>
        <v>0</v>
      </c>
      <c r="N18" s="140">
        <f>0+'táj.1'!N18</f>
        <v>0</v>
      </c>
      <c r="O18" s="140">
        <f>SUM(E18:N18)</f>
        <v>1524</v>
      </c>
    </row>
    <row r="19" spans="1:15" s="139" customFormat="1" ht="24.75" customHeight="1">
      <c r="A19" s="142"/>
      <c r="B19" s="142"/>
      <c r="C19" s="224" t="s">
        <v>67</v>
      </c>
      <c r="D19" s="494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</row>
    <row r="20" spans="1:15" s="139" customFormat="1" ht="24.75" customHeight="1">
      <c r="A20" s="142"/>
      <c r="B20" s="142"/>
      <c r="C20" s="224" t="s">
        <v>760</v>
      </c>
      <c r="D20" s="373">
        <v>132964</v>
      </c>
      <c r="E20" s="140">
        <f>0+'táj.1'!E20</f>
        <v>0</v>
      </c>
      <c r="F20" s="140">
        <f>686+'táj.1'!F20</f>
        <v>686</v>
      </c>
      <c r="G20" s="140">
        <f>0+'táj.1'!G20</f>
        <v>0</v>
      </c>
      <c r="H20" s="140">
        <f>0+'táj.1'!H20</f>
        <v>0</v>
      </c>
      <c r="I20" s="140">
        <f>0+'táj.1'!I20</f>
        <v>0</v>
      </c>
      <c r="J20" s="140">
        <f>0+'táj.1'!J20</f>
        <v>0</v>
      </c>
      <c r="K20" s="140">
        <f>0+'táj.1'!K20</f>
        <v>0</v>
      </c>
      <c r="L20" s="140">
        <f>0+'táj.1'!L20</f>
        <v>0</v>
      </c>
      <c r="M20" s="140">
        <f>0+'táj.1'!M20</f>
        <v>0</v>
      </c>
      <c r="N20" s="140">
        <f>0+'táj.1'!N20</f>
        <v>0</v>
      </c>
      <c r="O20" s="140">
        <f>SUM(E20:N20)</f>
        <v>686</v>
      </c>
    </row>
    <row r="21" spans="1:15" s="139" customFormat="1" ht="33.75" customHeight="1">
      <c r="A21" s="142"/>
      <c r="B21" s="142"/>
      <c r="C21" s="224" t="s">
        <v>1164</v>
      </c>
      <c r="D21" s="494">
        <v>134979</v>
      </c>
      <c r="E21" s="140">
        <f>0+'táj.1'!E21</f>
        <v>0</v>
      </c>
      <c r="F21" s="140">
        <f>0+'táj.1'!F21</f>
        <v>0</v>
      </c>
      <c r="G21" s="140">
        <f>0+'táj.1'!G21</f>
        <v>0</v>
      </c>
      <c r="H21" s="140">
        <f>0+'táj.1'!H21</f>
        <v>0</v>
      </c>
      <c r="I21" s="140">
        <f>0+'táj.1'!I21</f>
        <v>0</v>
      </c>
      <c r="J21" s="140">
        <f>0+'táj.1'!J21</f>
        <v>0</v>
      </c>
      <c r="K21" s="140">
        <f>6350+'táj.1'!K21</f>
        <v>6350</v>
      </c>
      <c r="L21" s="140">
        <f>0+'táj.1'!L21</f>
        <v>0</v>
      </c>
      <c r="M21" s="140">
        <f>0+'táj.1'!M21</f>
        <v>0</v>
      </c>
      <c r="N21" s="140">
        <f>0+'táj.1'!N21</f>
        <v>0</v>
      </c>
      <c r="O21" s="140">
        <f>SUM(E21:N21)</f>
        <v>6350</v>
      </c>
    </row>
    <row r="22" spans="1:15" s="139" customFormat="1" ht="24.75" customHeight="1">
      <c r="A22" s="142"/>
      <c r="B22" s="142"/>
      <c r="C22" s="214" t="s">
        <v>66</v>
      </c>
      <c r="D22" s="442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</row>
    <row r="23" spans="1:15" s="139" customFormat="1" ht="27.75" customHeight="1">
      <c r="A23" s="142"/>
      <c r="B23" s="142"/>
      <c r="C23" s="512" t="s">
        <v>761</v>
      </c>
      <c r="D23" s="511">
        <v>132967</v>
      </c>
      <c r="E23" s="140">
        <f>0+'táj.1'!E23</f>
        <v>0</v>
      </c>
      <c r="F23" s="140">
        <f>3000+'táj.1'!F23</f>
        <v>3000</v>
      </c>
      <c r="G23" s="140">
        <f>0+'táj.1'!G23</f>
        <v>0</v>
      </c>
      <c r="H23" s="140">
        <f>0+'táj.1'!H23</f>
        <v>0</v>
      </c>
      <c r="I23" s="140">
        <f>0+'táj.1'!I23</f>
        <v>0</v>
      </c>
      <c r="J23" s="140">
        <f>0+'táj.1'!J23</f>
        <v>0</v>
      </c>
      <c r="K23" s="140">
        <f>0+'táj.1'!K23</f>
        <v>0</v>
      </c>
      <c r="L23" s="140">
        <f>0+'táj.1'!L23</f>
        <v>0</v>
      </c>
      <c r="M23" s="140">
        <f>0+'táj.1'!M23</f>
        <v>0</v>
      </c>
      <c r="N23" s="140">
        <f>0+'táj.1'!N23</f>
        <v>0</v>
      </c>
      <c r="O23" s="140">
        <f>SUM(E23:N23)</f>
        <v>3000</v>
      </c>
    </row>
    <row r="24" spans="1:15" s="139" customFormat="1" ht="27.75" customHeight="1">
      <c r="A24" s="142"/>
      <c r="B24" s="142"/>
      <c r="C24" s="512" t="s">
        <v>1165</v>
      </c>
      <c r="D24" s="511">
        <v>132977</v>
      </c>
      <c r="E24" s="140">
        <f>0+'táj.1'!E24</f>
        <v>0</v>
      </c>
      <c r="F24" s="140">
        <f>0+'táj.1'!F24</f>
        <v>0</v>
      </c>
      <c r="G24" s="140">
        <f>0+'táj.1'!G24</f>
        <v>0</v>
      </c>
      <c r="H24" s="140">
        <f>0+'táj.1'!H24</f>
        <v>0</v>
      </c>
      <c r="I24" s="140">
        <f>0+'táj.1'!I24</f>
        <v>0</v>
      </c>
      <c r="J24" s="140">
        <f>0+'táj.1'!J24</f>
        <v>0</v>
      </c>
      <c r="K24" s="140">
        <f>4000+'táj.1'!K24</f>
        <v>4000</v>
      </c>
      <c r="L24" s="140">
        <f>0+'táj.1'!L24</f>
        <v>0</v>
      </c>
      <c r="M24" s="140">
        <f>0+'táj.1'!M24</f>
        <v>0</v>
      </c>
      <c r="N24" s="140">
        <f>0+'táj.1'!N24</f>
        <v>0</v>
      </c>
      <c r="O24" s="140">
        <f>SUM(E24:N24)</f>
        <v>4000</v>
      </c>
    </row>
    <row r="25" spans="1:15" s="139" customFormat="1" ht="27.75" customHeight="1">
      <c r="A25" s="142"/>
      <c r="B25" s="142"/>
      <c r="C25" s="193" t="s">
        <v>63</v>
      </c>
      <c r="D25" s="511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</row>
    <row r="26" spans="1:15" s="139" customFormat="1" ht="14.25" customHeight="1">
      <c r="A26" s="142"/>
      <c r="B26" s="142"/>
      <c r="C26" s="16" t="s">
        <v>904</v>
      </c>
      <c r="D26" s="511">
        <v>131803</v>
      </c>
      <c r="E26" s="140">
        <f>0+'táj.1'!E26</f>
        <v>0</v>
      </c>
      <c r="F26" s="140">
        <f>0+'táj.1'!F26</f>
        <v>0</v>
      </c>
      <c r="G26" s="140">
        <f>0+'táj.1'!G26</f>
        <v>0</v>
      </c>
      <c r="H26" s="140">
        <f>0+'táj.1'!H26</f>
        <v>0</v>
      </c>
      <c r="I26" s="140">
        <f>0+'táj.1'!I26</f>
        <v>0</v>
      </c>
      <c r="J26" s="140">
        <f>641+'táj.1'!J26</f>
        <v>641</v>
      </c>
      <c r="K26" s="140">
        <f>0+'táj.1'!K26</f>
        <v>0</v>
      </c>
      <c r="L26" s="140">
        <f>0+'táj.1'!L26</f>
        <v>0</v>
      </c>
      <c r="M26" s="140">
        <f>0+'táj.1'!M26</f>
        <v>0</v>
      </c>
      <c r="N26" s="140">
        <f>0+'táj.1'!N26</f>
        <v>0</v>
      </c>
      <c r="O26" s="140">
        <f>SUM(E26:N26)</f>
        <v>641</v>
      </c>
    </row>
    <row r="27" spans="1:15" s="139" customFormat="1" ht="14.25" customHeight="1">
      <c r="A27" s="142"/>
      <c r="B27" s="142"/>
      <c r="C27" s="193" t="s">
        <v>110</v>
      </c>
      <c r="D27" s="511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</row>
    <row r="28" spans="1:15" s="139" customFormat="1" ht="26.25" customHeight="1">
      <c r="A28" s="142"/>
      <c r="B28" s="142"/>
      <c r="C28" s="224" t="s">
        <v>927</v>
      </c>
      <c r="D28" s="511">
        <v>131107</v>
      </c>
      <c r="E28" s="140">
        <f>0+'táj.1'!E28</f>
        <v>0</v>
      </c>
      <c r="F28" s="140">
        <f>0+'táj.1'!F28</f>
        <v>0</v>
      </c>
      <c r="G28" s="140">
        <f>0+'táj.1'!G28</f>
        <v>0</v>
      </c>
      <c r="H28" s="140">
        <f>0+'táj.1'!H28</f>
        <v>0</v>
      </c>
      <c r="I28" s="140">
        <f>0+'táj.1'!I28</f>
        <v>0</v>
      </c>
      <c r="J28" s="140">
        <f>6000+'táj.1'!J28</f>
        <v>6000</v>
      </c>
      <c r="K28" s="140">
        <f>0+'táj.1'!K28</f>
        <v>0</v>
      </c>
      <c r="L28" s="140">
        <f>0+'táj.1'!L28</f>
        <v>0</v>
      </c>
      <c r="M28" s="140">
        <f>0+'táj.1'!M28</f>
        <v>0</v>
      </c>
      <c r="N28" s="140">
        <f>0+'táj.1'!N28</f>
        <v>0</v>
      </c>
      <c r="O28" s="140">
        <f>SUM(E28:N28)</f>
        <v>6000</v>
      </c>
    </row>
    <row r="29" spans="1:15" s="139" customFormat="1" ht="26.25" customHeight="1">
      <c r="A29" s="142"/>
      <c r="B29" s="142"/>
      <c r="C29" s="224" t="s">
        <v>820</v>
      </c>
      <c r="D29" s="511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</row>
    <row r="30" spans="1:15" s="139" customFormat="1" ht="13.5" customHeight="1">
      <c r="A30" s="142"/>
      <c r="B30" s="142"/>
      <c r="C30" s="309" t="s">
        <v>392</v>
      </c>
      <c r="D30" s="511">
        <v>131146</v>
      </c>
      <c r="E30" s="140">
        <f>0+'táj.1'!E30</f>
        <v>0</v>
      </c>
      <c r="F30" s="140">
        <f>0+'táj.1'!F30</f>
        <v>0</v>
      </c>
      <c r="G30" s="140">
        <f>0+'táj.1'!G30</f>
        <v>0</v>
      </c>
      <c r="H30" s="140">
        <f>0+'táj.1'!H30</f>
        <v>0</v>
      </c>
      <c r="I30" s="140">
        <f>0+'táj.1'!I30</f>
        <v>0</v>
      </c>
      <c r="J30" s="140">
        <f>2585+'táj.1'!J30</f>
        <v>2585</v>
      </c>
      <c r="K30" s="140">
        <f>0+'táj.1'!K30</f>
        <v>0</v>
      </c>
      <c r="L30" s="140">
        <f>0+'táj.1'!L30</f>
        <v>0</v>
      </c>
      <c r="M30" s="140">
        <f>0+'táj.1'!M30</f>
        <v>0</v>
      </c>
      <c r="N30" s="140">
        <f>0+'táj.1'!N30</f>
        <v>0</v>
      </c>
      <c r="O30" s="140">
        <f>SUM(E30:N30)</f>
        <v>2585</v>
      </c>
    </row>
    <row r="31" spans="1:15" s="139" customFormat="1" ht="13.5" customHeight="1">
      <c r="A31" s="137"/>
      <c r="B31" s="137"/>
      <c r="C31" s="177" t="s">
        <v>1488</v>
      </c>
      <c r="D31" s="495"/>
      <c r="E31" s="138">
        <f>SUM(E14:E30)</f>
        <v>24078</v>
      </c>
      <c r="F31" s="138">
        <f aca="true" t="shared" si="1" ref="F31:O31">SUM(F14:F30)</f>
        <v>3686</v>
      </c>
      <c r="G31" s="138">
        <f t="shared" si="1"/>
        <v>0</v>
      </c>
      <c r="H31" s="138">
        <f t="shared" si="1"/>
        <v>6964</v>
      </c>
      <c r="I31" s="138">
        <f t="shared" si="1"/>
        <v>0</v>
      </c>
      <c r="J31" s="138">
        <f t="shared" si="1"/>
        <v>9226</v>
      </c>
      <c r="K31" s="138">
        <f t="shared" si="1"/>
        <v>10350</v>
      </c>
      <c r="L31" s="138">
        <f t="shared" si="1"/>
        <v>0</v>
      </c>
      <c r="M31" s="138">
        <f t="shared" si="1"/>
        <v>0</v>
      </c>
      <c r="N31" s="138">
        <f t="shared" si="1"/>
        <v>0</v>
      </c>
      <c r="O31" s="138">
        <f t="shared" si="1"/>
        <v>54304</v>
      </c>
    </row>
    <row r="32" spans="1:15" s="139" customFormat="1" ht="13.5" customHeight="1">
      <c r="A32" s="104">
        <v>1</v>
      </c>
      <c r="B32" s="104">
        <v>14</v>
      </c>
      <c r="C32" s="106" t="s">
        <v>459</v>
      </c>
      <c r="D32" s="104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</row>
    <row r="33" spans="1:15" s="139" customFormat="1" ht="26.25" customHeight="1">
      <c r="A33" s="142"/>
      <c r="B33" s="142"/>
      <c r="C33" s="317" t="s">
        <v>117</v>
      </c>
      <c r="D33" s="496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</row>
    <row r="34" spans="1:15" s="139" customFormat="1" ht="14.25" customHeight="1">
      <c r="A34" s="142"/>
      <c r="B34" s="142"/>
      <c r="C34" s="224" t="s">
        <v>578</v>
      </c>
      <c r="D34" s="172">
        <v>171967</v>
      </c>
      <c r="E34" s="140">
        <f>0+'táj.1'!E34</f>
        <v>0</v>
      </c>
      <c r="F34" s="140">
        <f>0+'táj.1'!F34</f>
        <v>0</v>
      </c>
      <c r="G34" s="140">
        <f>0+'táj.1'!G34</f>
        <v>0</v>
      </c>
      <c r="H34" s="140">
        <f>5445+'táj.1'!H34</f>
        <v>5445</v>
      </c>
      <c r="I34" s="140">
        <f>0+'táj.1'!I34</f>
        <v>0</v>
      </c>
      <c r="J34" s="140">
        <f>0+'táj.1'!J34</f>
        <v>0</v>
      </c>
      <c r="K34" s="140">
        <f>0+'táj.1'!K34</f>
        <v>0</v>
      </c>
      <c r="L34" s="140">
        <f>0+'táj.1'!L34</f>
        <v>0</v>
      </c>
      <c r="M34" s="140">
        <f>0+'táj.1'!M34</f>
        <v>0</v>
      </c>
      <c r="N34" s="140">
        <f>0+'táj.1'!N34</f>
        <v>0</v>
      </c>
      <c r="O34" s="140">
        <f>SUM(E34:N34)</f>
        <v>5445</v>
      </c>
    </row>
    <row r="35" spans="1:15" s="139" customFormat="1" ht="23.25" customHeight="1">
      <c r="A35" s="142"/>
      <c r="B35" s="142"/>
      <c r="C35" s="207" t="s">
        <v>66</v>
      </c>
      <c r="D35" s="172"/>
      <c r="E35" s="140"/>
      <c r="F35" s="143"/>
      <c r="G35" s="143"/>
      <c r="H35" s="140"/>
      <c r="I35" s="143"/>
      <c r="J35" s="143"/>
      <c r="K35" s="143"/>
      <c r="L35" s="143"/>
      <c r="M35" s="143"/>
      <c r="N35" s="143"/>
      <c r="O35" s="140"/>
    </row>
    <row r="36" spans="1:15" s="139" customFormat="1" ht="30" customHeight="1">
      <c r="A36" s="142"/>
      <c r="B36" s="142"/>
      <c r="C36" s="556" t="s">
        <v>888</v>
      </c>
      <c r="D36" s="172">
        <v>162674</v>
      </c>
      <c r="E36" s="140">
        <f>7620+'táj.1'!E36</f>
        <v>7620</v>
      </c>
      <c r="F36" s="140">
        <f>739581+'táj.1'!F36</f>
        <v>739581</v>
      </c>
      <c r="G36" s="140">
        <f>0+'táj.1'!G36</f>
        <v>0</v>
      </c>
      <c r="H36" s="140">
        <f>326952+'táj.1'!H36</f>
        <v>326952</v>
      </c>
      <c r="I36" s="140">
        <f>0+'táj.1'!I36</f>
        <v>0</v>
      </c>
      <c r="J36" s="140">
        <f>0+'táj.1'!J36</f>
        <v>0</v>
      </c>
      <c r="K36" s="140">
        <f>0+'táj.1'!K36</f>
        <v>0</v>
      </c>
      <c r="L36" s="140">
        <f>0+'táj.1'!L36</f>
        <v>0</v>
      </c>
      <c r="M36" s="140">
        <f>0+'táj.1'!M36</f>
        <v>0</v>
      </c>
      <c r="N36" s="140">
        <f>0+'táj.1'!N36</f>
        <v>0</v>
      </c>
      <c r="O36" s="140">
        <f>SUM(E36:N36)</f>
        <v>1074153</v>
      </c>
    </row>
    <row r="37" spans="1:15" s="139" customFormat="1" ht="13.5" customHeight="1">
      <c r="A37" s="137"/>
      <c r="B37" s="137"/>
      <c r="C37" s="177" t="s">
        <v>460</v>
      </c>
      <c r="D37" s="495"/>
      <c r="E37" s="138">
        <f>SUM(E36:E36)</f>
        <v>7620</v>
      </c>
      <c r="F37" s="138">
        <f>SUM(F36:F36)</f>
        <v>739581</v>
      </c>
      <c r="G37" s="138"/>
      <c r="H37" s="138">
        <f>SUM(H34:H36)</f>
        <v>332397</v>
      </c>
      <c r="I37" s="138"/>
      <c r="J37" s="138"/>
      <c r="K37" s="138"/>
      <c r="L37" s="138"/>
      <c r="M37" s="138"/>
      <c r="N37" s="138"/>
      <c r="O37" s="138">
        <f>SUM(O34:O36)</f>
        <v>1079598</v>
      </c>
    </row>
    <row r="38" spans="1:15" s="135" customFormat="1" ht="13.5" customHeight="1">
      <c r="A38" s="1">
        <v>1</v>
      </c>
      <c r="B38" s="1">
        <v>15</v>
      </c>
      <c r="C38" s="430" t="s">
        <v>155</v>
      </c>
      <c r="D38" s="490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</row>
    <row r="39" spans="1:15" s="135" customFormat="1" ht="24.75" customHeight="1">
      <c r="A39" s="1"/>
      <c r="B39" s="1"/>
      <c r="C39" s="214" t="s">
        <v>81</v>
      </c>
      <c r="D39" s="483"/>
      <c r="E39" s="180"/>
      <c r="F39" s="136"/>
      <c r="G39" s="136"/>
      <c r="H39" s="136"/>
      <c r="I39" s="136"/>
      <c r="J39" s="136"/>
      <c r="K39" s="136"/>
      <c r="L39" s="136"/>
      <c r="M39" s="136"/>
      <c r="N39" s="136"/>
      <c r="O39" s="136"/>
    </row>
    <row r="40" spans="1:15" s="135" customFormat="1" ht="24.75" customHeight="1">
      <c r="A40" s="1"/>
      <c r="B40" s="1"/>
      <c r="C40" s="162" t="s">
        <v>127</v>
      </c>
      <c r="D40" s="483">
        <v>151906</v>
      </c>
      <c r="E40" s="136">
        <f>0+'táj.1'!E40</f>
        <v>0</v>
      </c>
      <c r="F40" s="136">
        <f>0+'táj.1'!F40</f>
        <v>0</v>
      </c>
      <c r="G40" s="136">
        <f>0+'táj.1'!G40</f>
        <v>0</v>
      </c>
      <c r="H40" s="136">
        <f>32753+'táj.1'!H40</f>
        <v>32753</v>
      </c>
      <c r="I40" s="136">
        <f>0+'táj.1'!I40</f>
        <v>0</v>
      </c>
      <c r="J40" s="136">
        <f>0+'táj.1'!J40</f>
        <v>0</v>
      </c>
      <c r="K40" s="136">
        <f>0+'táj.1'!K40</f>
        <v>0</v>
      </c>
      <c r="L40" s="136">
        <f>0+'táj.1'!L40</f>
        <v>0</v>
      </c>
      <c r="M40" s="136">
        <f>0+'táj.1'!M40</f>
        <v>0</v>
      </c>
      <c r="N40" s="136">
        <f>0+'táj.1'!N40</f>
        <v>0</v>
      </c>
      <c r="O40" s="136">
        <f>SUM(E40:N40)</f>
        <v>32753</v>
      </c>
    </row>
    <row r="41" spans="1:15" s="135" customFormat="1" ht="12.75" customHeight="1">
      <c r="A41" s="1"/>
      <c r="B41" s="1"/>
      <c r="C41" s="173" t="s">
        <v>146</v>
      </c>
      <c r="D41" s="484" t="s">
        <v>1306</v>
      </c>
      <c r="E41" s="136">
        <f>0+'táj.1'!E41</f>
        <v>0</v>
      </c>
      <c r="F41" s="136">
        <f>0+'táj.1'!F41</f>
        <v>0</v>
      </c>
      <c r="G41" s="136">
        <f>0+'táj.1'!G41</f>
        <v>0</v>
      </c>
      <c r="H41" s="136">
        <f>165367+'táj.1'!H41</f>
        <v>165367</v>
      </c>
      <c r="I41" s="136">
        <f>0+'táj.1'!I41</f>
        <v>0</v>
      </c>
      <c r="J41" s="136">
        <f>0+'táj.1'!J41</f>
        <v>0</v>
      </c>
      <c r="K41" s="136">
        <f>0+'táj.1'!K41</f>
        <v>0</v>
      </c>
      <c r="L41" s="136">
        <f>0+'táj.1'!L41</f>
        <v>0</v>
      </c>
      <c r="M41" s="136">
        <f>0+'táj.1'!M41</f>
        <v>0</v>
      </c>
      <c r="N41" s="136">
        <f>0+'táj.1'!N41</f>
        <v>0</v>
      </c>
      <c r="O41" s="136">
        <f>SUM(E41:N41)</f>
        <v>165367</v>
      </c>
    </row>
    <row r="42" spans="1:15" s="135" customFormat="1" ht="12.75" customHeight="1">
      <c r="A42" s="1"/>
      <c r="B42" s="1"/>
      <c r="C42" s="173" t="s">
        <v>1099</v>
      </c>
      <c r="D42" s="484" t="s">
        <v>1307</v>
      </c>
      <c r="E42" s="136">
        <f>0+'táj.1'!E42</f>
        <v>0</v>
      </c>
      <c r="F42" s="136">
        <f>0+'táj.1'!F42</f>
        <v>0</v>
      </c>
      <c r="G42" s="136">
        <f>0+'táj.1'!G42</f>
        <v>0</v>
      </c>
      <c r="H42" s="136">
        <f>2667+'táj.1'!H42</f>
        <v>2667</v>
      </c>
      <c r="I42" s="136">
        <f>0+'táj.1'!I42</f>
        <v>0</v>
      </c>
      <c r="J42" s="136">
        <f>0+'táj.1'!J42</f>
        <v>0</v>
      </c>
      <c r="K42" s="136">
        <f>0+'táj.1'!K42</f>
        <v>0</v>
      </c>
      <c r="L42" s="136">
        <f>0+'táj.1'!L42</f>
        <v>0</v>
      </c>
      <c r="M42" s="136">
        <f>0+'táj.1'!M42</f>
        <v>0</v>
      </c>
      <c r="N42" s="136">
        <f>0+'táj.1'!N42</f>
        <v>0</v>
      </c>
      <c r="O42" s="136">
        <f>SUM(E42:N42)</f>
        <v>2667</v>
      </c>
    </row>
    <row r="43" spans="1:15" s="135" customFormat="1" ht="12.75" customHeight="1">
      <c r="A43" s="1"/>
      <c r="B43" s="1"/>
      <c r="C43" s="274" t="s">
        <v>695</v>
      </c>
      <c r="D43" s="675" t="s">
        <v>1166</v>
      </c>
      <c r="E43" s="136">
        <f>0+'táj.1'!E43</f>
        <v>0</v>
      </c>
      <c r="F43" s="136">
        <f>0+'táj.1'!F43</f>
        <v>0</v>
      </c>
      <c r="G43" s="136">
        <f>0+'táj.1'!G43</f>
        <v>0</v>
      </c>
      <c r="H43" s="136">
        <f>3721+'táj.1'!H43</f>
        <v>3721</v>
      </c>
      <c r="I43" s="136">
        <f>0+'táj.1'!I43</f>
        <v>0</v>
      </c>
      <c r="J43" s="136">
        <f>0+'táj.1'!J43</f>
        <v>0</v>
      </c>
      <c r="K43" s="136">
        <f>0+'táj.1'!K43</f>
        <v>0</v>
      </c>
      <c r="L43" s="136">
        <f>0+'táj.1'!L43</f>
        <v>0</v>
      </c>
      <c r="M43" s="136">
        <f>0+'táj.1'!M43</f>
        <v>0</v>
      </c>
      <c r="N43" s="136">
        <f>0+'táj.1'!N43</f>
        <v>0</v>
      </c>
      <c r="O43" s="136">
        <f>SUM(E43:N43)</f>
        <v>3721</v>
      </c>
    </row>
    <row r="44" spans="1:15" s="135" customFormat="1" ht="12.75" customHeight="1">
      <c r="A44" s="1"/>
      <c r="B44" s="1"/>
      <c r="C44" s="215" t="s">
        <v>1072</v>
      </c>
      <c r="D44" s="485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</row>
    <row r="45" spans="1:15" s="135" customFormat="1" ht="12.75" customHeight="1">
      <c r="A45" s="1"/>
      <c r="B45" s="1"/>
      <c r="C45" s="173" t="s">
        <v>1260</v>
      </c>
      <c r="D45" s="484" t="s">
        <v>1308</v>
      </c>
      <c r="E45" s="136">
        <f>0+'táj.1'!E45</f>
        <v>0</v>
      </c>
      <c r="F45" s="136">
        <f>0+'táj.1'!F45</f>
        <v>0</v>
      </c>
      <c r="G45" s="136">
        <f>0+'táj.1'!G45</f>
        <v>0</v>
      </c>
      <c r="H45" s="136">
        <f>10160+'táj.1'!H45</f>
        <v>10160</v>
      </c>
      <c r="I45" s="136">
        <f>0+'táj.1'!I45</f>
        <v>0</v>
      </c>
      <c r="J45" s="136">
        <f>0+'táj.1'!J45</f>
        <v>0</v>
      </c>
      <c r="K45" s="136">
        <f>0+'táj.1'!K45</f>
        <v>0</v>
      </c>
      <c r="L45" s="136">
        <f>0+'táj.1'!L45</f>
        <v>0</v>
      </c>
      <c r="M45" s="136">
        <f>0+'táj.1'!M45</f>
        <v>0</v>
      </c>
      <c r="N45" s="136">
        <f>0+'táj.1'!N45</f>
        <v>0</v>
      </c>
      <c r="O45" s="136">
        <f>SUM(E45:N45)</f>
        <v>10160</v>
      </c>
    </row>
    <row r="46" spans="1:15" s="135" customFormat="1" ht="12.75" customHeight="1">
      <c r="A46" s="1"/>
      <c r="B46" s="1"/>
      <c r="C46" s="173" t="s">
        <v>575</v>
      </c>
      <c r="D46" s="484" t="s">
        <v>12</v>
      </c>
      <c r="E46" s="136">
        <f>0+'táj.1'!E46</f>
        <v>0</v>
      </c>
      <c r="F46" s="136">
        <f>0+'táj.1'!F46</f>
        <v>0</v>
      </c>
      <c r="G46" s="136">
        <f>0+'táj.1'!G46</f>
        <v>0</v>
      </c>
      <c r="H46" s="136">
        <f>1270+'táj.1'!H46</f>
        <v>1270</v>
      </c>
      <c r="I46" s="136">
        <f>0+'táj.1'!I46</f>
        <v>0</v>
      </c>
      <c r="J46" s="136">
        <f>0+'táj.1'!J46</f>
        <v>0</v>
      </c>
      <c r="K46" s="136">
        <f>0+'táj.1'!K46</f>
        <v>0</v>
      </c>
      <c r="L46" s="136">
        <f>0+'táj.1'!L46</f>
        <v>0</v>
      </c>
      <c r="M46" s="136">
        <f>0+'táj.1'!M46</f>
        <v>0</v>
      </c>
      <c r="N46" s="136">
        <f>0+'táj.1'!N46</f>
        <v>0</v>
      </c>
      <c r="O46" s="136">
        <f>SUM(E46:N46)</f>
        <v>1270</v>
      </c>
    </row>
    <row r="47" spans="1:15" s="135" customFormat="1" ht="24.75" customHeight="1">
      <c r="A47" s="1"/>
      <c r="B47" s="1"/>
      <c r="C47" s="162" t="s">
        <v>67</v>
      </c>
      <c r="D47" s="48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</row>
    <row r="48" spans="1:16" s="135" customFormat="1" ht="33.75" customHeight="1">
      <c r="A48" s="1"/>
      <c r="B48" s="1"/>
      <c r="C48" s="275" t="s">
        <v>1336</v>
      </c>
      <c r="D48" s="487" t="s">
        <v>1309</v>
      </c>
      <c r="E48" s="136">
        <f>0+'táj.1'!E48</f>
        <v>0</v>
      </c>
      <c r="F48" s="136">
        <f>402468+'táj.1'!F48</f>
        <v>402468</v>
      </c>
      <c r="G48" s="136">
        <f>0+'táj.1'!G48</f>
        <v>0</v>
      </c>
      <c r="H48" s="136">
        <f>0+'táj.1'!H48</f>
        <v>0</v>
      </c>
      <c r="I48" s="136">
        <f>0+'táj.1'!I48</f>
        <v>0</v>
      </c>
      <c r="J48" s="136">
        <f>0+'táj.1'!J48</f>
        <v>0</v>
      </c>
      <c r="K48" s="136">
        <f>0+'táj.1'!K48</f>
        <v>0</v>
      </c>
      <c r="L48" s="136">
        <f>0+'táj.1'!L48</f>
        <v>0</v>
      </c>
      <c r="M48" s="136">
        <f>0+'táj.1'!M48</f>
        <v>0</v>
      </c>
      <c r="N48" s="136">
        <f>0+'táj.1'!N48</f>
        <v>0</v>
      </c>
      <c r="O48" s="136">
        <f>SUM(E48:N48)</f>
        <v>402468</v>
      </c>
      <c r="P48" s="151"/>
    </row>
    <row r="49" spans="1:16" s="135" customFormat="1" ht="28.5" customHeight="1">
      <c r="A49" s="1"/>
      <c r="B49" s="1"/>
      <c r="C49" s="275" t="s">
        <v>1337</v>
      </c>
      <c r="D49" s="487" t="s">
        <v>1309</v>
      </c>
      <c r="E49" s="136">
        <f>0+'táj.1'!E49</f>
        <v>0</v>
      </c>
      <c r="F49" s="136">
        <f>0+'táj.1'!F49</f>
        <v>0</v>
      </c>
      <c r="G49" s="136">
        <f>0+'táj.1'!G49</f>
        <v>0</v>
      </c>
      <c r="H49" s="136">
        <f>257767+'táj.1'!H49</f>
        <v>257767</v>
      </c>
      <c r="I49" s="136">
        <f>0+'táj.1'!I49</f>
        <v>0</v>
      </c>
      <c r="J49" s="136">
        <f>0+'táj.1'!J49</f>
        <v>0</v>
      </c>
      <c r="K49" s="136">
        <f>0+'táj.1'!K49</f>
        <v>0</v>
      </c>
      <c r="L49" s="136">
        <f>0+'táj.1'!L49</f>
        <v>0</v>
      </c>
      <c r="M49" s="136">
        <f>0+'táj.1'!M49</f>
        <v>0</v>
      </c>
      <c r="N49" s="136">
        <f>0+'táj.1'!N49</f>
        <v>0</v>
      </c>
      <c r="O49" s="136">
        <f>SUM(E49:N49)</f>
        <v>257767</v>
      </c>
      <c r="P49" s="151"/>
    </row>
    <row r="50" spans="1:16" s="135" customFormat="1" ht="15" customHeight="1">
      <c r="A50" s="1"/>
      <c r="B50" s="1"/>
      <c r="C50" s="275" t="s">
        <v>1438</v>
      </c>
      <c r="D50" s="487" t="s">
        <v>11</v>
      </c>
      <c r="E50" s="136">
        <f>0+'táj.1'!E50</f>
        <v>0</v>
      </c>
      <c r="F50" s="136">
        <f>0+'táj.1'!F50</f>
        <v>0</v>
      </c>
      <c r="G50" s="136">
        <f>0+'táj.1'!G50</f>
        <v>0</v>
      </c>
      <c r="H50" s="136">
        <f>76200+'táj.1'!H50</f>
        <v>76200</v>
      </c>
      <c r="I50" s="136">
        <f>0+'táj.1'!I50</f>
        <v>0</v>
      </c>
      <c r="J50" s="136">
        <f>0+'táj.1'!J50</f>
        <v>0</v>
      </c>
      <c r="K50" s="136">
        <f>0+'táj.1'!K50</f>
        <v>0</v>
      </c>
      <c r="L50" s="136">
        <f>0+'táj.1'!L50</f>
        <v>0</v>
      </c>
      <c r="M50" s="136">
        <f>0+'táj.1'!M50</f>
        <v>0</v>
      </c>
      <c r="N50" s="136">
        <f>0+'táj.1'!N50</f>
        <v>0</v>
      </c>
      <c r="O50" s="136">
        <f>SUM(E50:N50)</f>
        <v>76200</v>
      </c>
      <c r="P50" s="151"/>
    </row>
    <row r="51" spans="1:16" s="135" customFormat="1" ht="15" customHeight="1">
      <c r="A51" s="1"/>
      <c r="B51" s="1"/>
      <c r="C51" s="275" t="s">
        <v>1167</v>
      </c>
      <c r="D51" s="487" t="s">
        <v>20</v>
      </c>
      <c r="E51" s="136">
        <f>0+'táj.1'!E51</f>
        <v>0</v>
      </c>
      <c r="F51" s="136">
        <f>0+'táj.1'!F51</f>
        <v>0</v>
      </c>
      <c r="G51" s="136">
        <f>0+'táj.1'!G51</f>
        <v>0</v>
      </c>
      <c r="H51" s="136">
        <f>19435+'táj.1'!H51</f>
        <v>19435</v>
      </c>
      <c r="I51" s="136">
        <f>0+'táj.1'!I51</f>
        <v>0</v>
      </c>
      <c r="J51" s="136">
        <f>0+'táj.1'!J51</f>
        <v>0</v>
      </c>
      <c r="K51" s="136">
        <f>0+'táj.1'!K51</f>
        <v>0</v>
      </c>
      <c r="L51" s="136">
        <f>0+'táj.1'!L51</f>
        <v>0</v>
      </c>
      <c r="M51" s="136">
        <f>0+'táj.1'!M51</f>
        <v>0</v>
      </c>
      <c r="N51" s="136">
        <f>0+'táj.1'!N51</f>
        <v>0</v>
      </c>
      <c r="O51" s="136">
        <f>SUM(E51:N51)</f>
        <v>19435</v>
      </c>
      <c r="P51" s="151"/>
    </row>
    <row r="52" spans="1:16" s="135" customFormat="1" ht="26.25" customHeight="1">
      <c r="A52" s="1"/>
      <c r="B52" s="1"/>
      <c r="C52" s="275" t="s">
        <v>1432</v>
      </c>
      <c r="D52" s="487" t="s">
        <v>58</v>
      </c>
      <c r="E52" s="136">
        <f>0+'táj.1'!E52</f>
        <v>0</v>
      </c>
      <c r="F52" s="136">
        <f>0+'táj.1'!F52</f>
        <v>0</v>
      </c>
      <c r="G52" s="136">
        <f>0+'táj.1'!G52</f>
        <v>0</v>
      </c>
      <c r="H52" s="136">
        <f>0+'táj.1'!H52</f>
        <v>0</v>
      </c>
      <c r="I52" s="136">
        <f>0+'táj.1'!I52</f>
        <v>0</v>
      </c>
      <c r="J52" s="136">
        <f>0+'táj.1'!J52</f>
        <v>0</v>
      </c>
      <c r="K52" s="136">
        <f>100+'táj.1'!K52</f>
        <v>100</v>
      </c>
      <c r="L52" s="136">
        <f>0+'táj.1'!L52</f>
        <v>0</v>
      </c>
      <c r="M52" s="136">
        <f>0+'táj.1'!M52</f>
        <v>0</v>
      </c>
      <c r="N52" s="136">
        <f>0+'táj.1'!N52</f>
        <v>0</v>
      </c>
      <c r="O52" s="136">
        <f>SUM(E52:N52)</f>
        <v>100</v>
      </c>
      <c r="P52" s="151"/>
    </row>
    <row r="53" spans="1:16" s="135" customFormat="1" ht="24.75" customHeight="1">
      <c r="A53" s="1"/>
      <c r="B53" s="1"/>
      <c r="C53" s="193" t="s">
        <v>79</v>
      </c>
      <c r="D53" s="488"/>
      <c r="E53" s="136"/>
      <c r="F53" s="140"/>
      <c r="G53" s="136"/>
      <c r="H53" s="136"/>
      <c r="I53" s="136"/>
      <c r="J53" s="136"/>
      <c r="K53" s="136"/>
      <c r="L53" s="136"/>
      <c r="M53" s="136"/>
      <c r="N53" s="136"/>
      <c r="O53" s="136"/>
      <c r="P53" s="151"/>
    </row>
    <row r="54" spans="1:16" s="135" customFormat="1" ht="27" customHeight="1">
      <c r="A54" s="1"/>
      <c r="B54" s="1"/>
      <c r="C54" s="224" t="s">
        <v>579</v>
      </c>
      <c r="D54" s="489">
        <v>151701</v>
      </c>
      <c r="E54" s="136">
        <f>0+'táj.1'!E54</f>
        <v>0</v>
      </c>
      <c r="F54" s="136">
        <f>0+'táj.1'!F54</f>
        <v>0</v>
      </c>
      <c r="G54" s="136">
        <f>0+'táj.1'!G54</f>
        <v>0</v>
      </c>
      <c r="H54" s="136">
        <f>4418+'táj.1'!H54</f>
        <v>4418</v>
      </c>
      <c r="I54" s="136">
        <f>0+'táj.1'!I54</f>
        <v>0</v>
      </c>
      <c r="J54" s="136">
        <f>0+'táj.1'!J54</f>
        <v>0</v>
      </c>
      <c r="K54" s="136">
        <f>0+'táj.1'!K54</f>
        <v>0</v>
      </c>
      <c r="L54" s="136">
        <f>0+'táj.1'!L54</f>
        <v>0</v>
      </c>
      <c r="M54" s="136">
        <f>0+'táj.1'!M54</f>
        <v>0</v>
      </c>
      <c r="N54" s="136">
        <f>0+'táj.1'!N54</f>
        <v>0</v>
      </c>
      <c r="O54" s="136">
        <f>SUM(E54:N54)</f>
        <v>4418</v>
      </c>
      <c r="P54" s="151"/>
    </row>
    <row r="55" spans="1:16" s="135" customFormat="1" ht="14.25" customHeight="1">
      <c r="A55" s="1"/>
      <c r="B55" s="1"/>
      <c r="C55" s="564" t="s">
        <v>821</v>
      </c>
      <c r="D55" s="489" t="s">
        <v>822</v>
      </c>
      <c r="E55" s="136">
        <f>0+'táj.1'!E55</f>
        <v>0</v>
      </c>
      <c r="F55" s="136">
        <f>0+'táj.1'!F55</f>
        <v>0</v>
      </c>
      <c r="G55" s="136">
        <f>0+'táj.1'!G55</f>
        <v>0</v>
      </c>
      <c r="H55" s="136">
        <f>0+'táj.1'!H55</f>
        <v>0</v>
      </c>
      <c r="I55" s="136">
        <f>0+'táj.1'!I55</f>
        <v>0</v>
      </c>
      <c r="J55" s="136">
        <f>6524+'táj.1'!J55</f>
        <v>6524</v>
      </c>
      <c r="K55" s="136">
        <f>0+'táj.1'!K55</f>
        <v>0</v>
      </c>
      <c r="L55" s="136">
        <f>0+'táj.1'!L55</f>
        <v>0</v>
      </c>
      <c r="M55" s="136">
        <f>0+'táj.1'!M55</f>
        <v>0</v>
      </c>
      <c r="N55" s="136">
        <f>0+'táj.1'!N55</f>
        <v>0</v>
      </c>
      <c r="O55" s="136">
        <f>SUM(E55:N55)</f>
        <v>6524</v>
      </c>
      <c r="P55" s="151"/>
    </row>
    <row r="56" spans="1:15" s="135" customFormat="1" ht="24.75" customHeight="1">
      <c r="A56" s="1"/>
      <c r="B56" s="1"/>
      <c r="C56" s="162" t="s">
        <v>116</v>
      </c>
      <c r="D56" s="486"/>
      <c r="E56" s="136"/>
      <c r="F56" s="144"/>
      <c r="G56" s="136"/>
      <c r="H56" s="140"/>
      <c r="I56" s="140"/>
      <c r="J56" s="140"/>
      <c r="K56" s="140"/>
      <c r="L56" s="140"/>
      <c r="M56" s="140"/>
      <c r="N56" s="140"/>
      <c r="O56" s="136"/>
    </row>
    <row r="57" spans="1:15" s="135" customFormat="1" ht="24.75" customHeight="1">
      <c r="A57" s="1"/>
      <c r="B57" s="1"/>
      <c r="C57" s="217" t="s">
        <v>962</v>
      </c>
      <c r="D57" s="488" t="s">
        <v>1310</v>
      </c>
      <c r="E57" s="136">
        <f>0+'táj.1'!E57</f>
        <v>0</v>
      </c>
      <c r="F57" s="136">
        <f>0+'táj.1'!F57</f>
        <v>0</v>
      </c>
      <c r="G57" s="136">
        <f>0+'táj.1'!G57</f>
        <v>0</v>
      </c>
      <c r="H57" s="136">
        <f>196105+'táj.1'!H57</f>
        <v>216105</v>
      </c>
      <c r="I57" s="136">
        <f>0+'táj.1'!I57</f>
        <v>0</v>
      </c>
      <c r="J57" s="136">
        <f>0+'táj.1'!J57</f>
        <v>0</v>
      </c>
      <c r="K57" s="136">
        <f>0+'táj.1'!K57</f>
        <v>0</v>
      </c>
      <c r="L57" s="136">
        <f>0+'táj.1'!L57</f>
        <v>0</v>
      </c>
      <c r="M57" s="136">
        <f>0+'táj.1'!M57</f>
        <v>0</v>
      </c>
      <c r="N57" s="136">
        <f>0+'táj.1'!N57</f>
        <v>0</v>
      </c>
      <c r="O57" s="136">
        <f>SUM(E57:N57)</f>
        <v>216105</v>
      </c>
    </row>
    <row r="58" spans="1:15" s="135" customFormat="1" ht="16.5" customHeight="1">
      <c r="A58" s="1"/>
      <c r="B58" s="1"/>
      <c r="C58" s="217" t="s">
        <v>823</v>
      </c>
      <c r="D58" s="488" t="s">
        <v>703</v>
      </c>
      <c r="E58" s="136">
        <f>0+'táj.1'!E58</f>
        <v>0</v>
      </c>
      <c r="F58" s="136">
        <f>0+'táj.1'!F58</f>
        <v>0</v>
      </c>
      <c r="G58" s="136">
        <f>0+'táj.1'!G58</f>
        <v>0</v>
      </c>
      <c r="H58" s="136">
        <f>3175+'táj.1'!H58</f>
        <v>3175</v>
      </c>
      <c r="I58" s="136">
        <f>0+'táj.1'!I58</f>
        <v>0</v>
      </c>
      <c r="J58" s="136">
        <f>0+'táj.1'!J58</f>
        <v>0</v>
      </c>
      <c r="K58" s="136">
        <f>0+'táj.1'!K58</f>
        <v>0</v>
      </c>
      <c r="L58" s="136">
        <f>0+'táj.1'!L58</f>
        <v>0</v>
      </c>
      <c r="M58" s="136">
        <f>0+'táj.1'!M58</f>
        <v>0</v>
      </c>
      <c r="N58" s="136">
        <f>0+'táj.1'!N58</f>
        <v>0</v>
      </c>
      <c r="O58" s="136">
        <f>SUM(E58:N58)</f>
        <v>3175</v>
      </c>
    </row>
    <row r="59" spans="1:15" s="135" customFormat="1" ht="18.75" customHeight="1">
      <c r="A59" s="1"/>
      <c r="B59" s="1"/>
      <c r="C59" s="101" t="s">
        <v>83</v>
      </c>
      <c r="D59" s="488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</row>
    <row r="60" spans="1:15" s="135" customFormat="1" ht="26.25" customHeight="1">
      <c r="A60" s="1"/>
      <c r="B60" s="1"/>
      <c r="C60" s="217" t="s">
        <v>243</v>
      </c>
      <c r="D60" s="488" t="s">
        <v>1168</v>
      </c>
      <c r="E60" s="136">
        <f>0+'táj.1'!E60</f>
        <v>0</v>
      </c>
      <c r="F60" s="136">
        <f>0+'táj.1'!F60</f>
        <v>0</v>
      </c>
      <c r="G60" s="136">
        <f>0+'táj.1'!G60</f>
        <v>0</v>
      </c>
      <c r="H60" s="136">
        <f>0+'táj.1'!H60</f>
        <v>0</v>
      </c>
      <c r="I60" s="136">
        <f>0+'táj.1'!I60</f>
        <v>0</v>
      </c>
      <c r="J60" s="136">
        <f>0+'táj.1'!J60</f>
        <v>0</v>
      </c>
      <c r="K60" s="136">
        <f>2486+'táj.1'!K60</f>
        <v>2486</v>
      </c>
      <c r="L60" s="136">
        <f>0+'táj.1'!L60</f>
        <v>0</v>
      </c>
      <c r="M60" s="136">
        <f>0+'táj.1'!M60</f>
        <v>0</v>
      </c>
      <c r="N60" s="136">
        <f>0+'táj.1'!N60</f>
        <v>0</v>
      </c>
      <c r="O60" s="136">
        <f>SUM(E60:N60)</f>
        <v>2486</v>
      </c>
    </row>
    <row r="61" spans="1:15" s="135" customFormat="1" ht="24.75" customHeight="1">
      <c r="A61" s="1"/>
      <c r="B61" s="1"/>
      <c r="C61" s="224" t="s">
        <v>1094</v>
      </c>
      <c r="D61" s="181"/>
      <c r="E61" s="136">
        <f>0+'táj.1'!E61</f>
        <v>0</v>
      </c>
      <c r="F61" s="136"/>
      <c r="G61" s="136"/>
      <c r="H61" s="136"/>
      <c r="I61" s="136"/>
      <c r="J61" s="136"/>
      <c r="K61" s="136"/>
      <c r="L61" s="136"/>
      <c r="M61" s="136"/>
      <c r="N61" s="136"/>
      <c r="O61" s="136"/>
    </row>
    <row r="62" spans="1:15" s="135" customFormat="1" ht="45.75" customHeight="1">
      <c r="A62" s="1"/>
      <c r="B62" s="1"/>
      <c r="C62" s="224" t="s">
        <v>1187</v>
      </c>
      <c r="D62" s="63">
        <v>152915</v>
      </c>
      <c r="E62" s="136">
        <f>0+'táj.1'!E62</f>
        <v>0</v>
      </c>
      <c r="F62" s="136">
        <f>0+'táj.1'!F62</f>
        <v>0</v>
      </c>
      <c r="G62" s="136">
        <f>0+'táj.1'!G62</f>
        <v>0</v>
      </c>
      <c r="H62" s="136">
        <f>0+'táj.1'!H62</f>
        <v>0</v>
      </c>
      <c r="I62" s="136">
        <f>3188+'táj.1'!I62</f>
        <v>3188</v>
      </c>
      <c r="J62" s="136">
        <f>0+'táj.1'!J62</f>
        <v>0</v>
      </c>
      <c r="K62" s="136">
        <f>0+'táj.1'!K62</f>
        <v>0</v>
      </c>
      <c r="L62" s="136">
        <f>0+'táj.1'!L62</f>
        <v>0</v>
      </c>
      <c r="M62" s="136">
        <f>0+'táj.1'!M62</f>
        <v>0</v>
      </c>
      <c r="N62" s="136">
        <f>0+'táj.1'!N62</f>
        <v>0</v>
      </c>
      <c r="O62" s="136">
        <f>SUM(E62:N62)</f>
        <v>3188</v>
      </c>
    </row>
    <row r="63" spans="1:15" s="135" customFormat="1" ht="18" customHeight="1">
      <c r="A63" s="1"/>
      <c r="B63" s="1"/>
      <c r="C63" s="224" t="s">
        <v>1440</v>
      </c>
      <c r="D63" s="488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</row>
    <row r="64" spans="1:15" s="135" customFormat="1" ht="28.5" customHeight="1">
      <c r="A64" s="1"/>
      <c r="B64" s="1"/>
      <c r="C64" s="724" t="s">
        <v>1441</v>
      </c>
      <c r="D64" s="15">
        <v>154511</v>
      </c>
      <c r="E64" s="136">
        <f>0+'táj.1'!E64</f>
        <v>574</v>
      </c>
      <c r="F64" s="136">
        <f>0+'táj.1'!F64</f>
        <v>0</v>
      </c>
      <c r="G64" s="136">
        <f>0+'táj.1'!G64</f>
        <v>0</v>
      </c>
      <c r="H64" s="136">
        <f>0+'táj.1'!H64</f>
        <v>0</v>
      </c>
      <c r="I64" s="136">
        <f>0+'táj.1'!I64</f>
        <v>0</v>
      </c>
      <c r="J64" s="136">
        <f>0+'táj.1'!J64</f>
        <v>0</v>
      </c>
      <c r="K64" s="136">
        <f>0+'táj.1'!K64</f>
        <v>0</v>
      </c>
      <c r="L64" s="136">
        <f>0+'táj.1'!L64</f>
        <v>0</v>
      </c>
      <c r="M64" s="136">
        <f>0+'táj.1'!M64</f>
        <v>0</v>
      </c>
      <c r="N64" s="136">
        <f>0+'táj.1'!N64</f>
        <v>0</v>
      </c>
      <c r="O64" s="136">
        <f>SUM(E64:N64)</f>
        <v>574</v>
      </c>
    </row>
    <row r="65" spans="1:15" s="135" customFormat="1" ht="12.75" customHeight="1">
      <c r="A65" s="137"/>
      <c r="B65" s="137"/>
      <c r="C65" s="176" t="s">
        <v>1054</v>
      </c>
      <c r="D65" s="137"/>
      <c r="E65" s="138">
        <f>SUM(E39:E64)</f>
        <v>574</v>
      </c>
      <c r="F65" s="138">
        <f aca="true" t="shared" si="2" ref="F65:O65">SUM(F39:F64)</f>
        <v>402468</v>
      </c>
      <c r="G65" s="138">
        <f t="shared" si="2"/>
        <v>0</v>
      </c>
      <c r="H65" s="138">
        <f t="shared" si="2"/>
        <v>793038</v>
      </c>
      <c r="I65" s="138">
        <f t="shared" si="2"/>
        <v>3188</v>
      </c>
      <c r="J65" s="138">
        <f t="shared" si="2"/>
        <v>6524</v>
      </c>
      <c r="K65" s="138">
        <f t="shared" si="2"/>
        <v>2586</v>
      </c>
      <c r="L65" s="138">
        <f t="shared" si="2"/>
        <v>0</v>
      </c>
      <c r="M65" s="138">
        <f t="shared" si="2"/>
        <v>0</v>
      </c>
      <c r="N65" s="138">
        <f t="shared" si="2"/>
        <v>0</v>
      </c>
      <c r="O65" s="138">
        <f t="shared" si="2"/>
        <v>1208378</v>
      </c>
    </row>
    <row r="66" spans="1:15" s="135" customFormat="1" ht="12.75" customHeight="1">
      <c r="A66" s="1">
        <v>1</v>
      </c>
      <c r="B66" s="1" t="s">
        <v>1269</v>
      </c>
      <c r="C66" s="430" t="s">
        <v>13</v>
      </c>
      <c r="D66" s="490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</row>
    <row r="67" spans="1:15" s="135" customFormat="1" ht="27" customHeight="1">
      <c r="A67" s="1"/>
      <c r="B67" s="1"/>
      <c r="C67" s="162" t="s">
        <v>1074</v>
      </c>
      <c r="D67" s="483"/>
      <c r="E67" s="443"/>
      <c r="F67" s="136"/>
      <c r="G67" s="136"/>
      <c r="H67" s="136"/>
      <c r="I67" s="136"/>
      <c r="J67" s="136"/>
      <c r="K67" s="136"/>
      <c r="L67" s="136"/>
      <c r="M67" s="136"/>
      <c r="N67" s="136"/>
      <c r="O67" s="136"/>
    </row>
    <row r="68" spans="1:15" s="135" customFormat="1" ht="15" customHeight="1">
      <c r="A68" s="1"/>
      <c r="B68" s="1"/>
      <c r="C68" s="174" t="s">
        <v>1013</v>
      </c>
      <c r="D68" s="497">
        <v>162104</v>
      </c>
      <c r="E68" s="144">
        <f>0+'táj.1'!E68</f>
        <v>0</v>
      </c>
      <c r="F68" s="144">
        <f>0+'táj.1'!F68</f>
        <v>0</v>
      </c>
      <c r="G68" s="144">
        <f>0+'táj.1'!G68</f>
        <v>0</v>
      </c>
      <c r="H68" s="144">
        <f>0+'táj.1'!H68</f>
        <v>0</v>
      </c>
      <c r="I68" s="144">
        <f>0+'táj.1'!I68</f>
        <v>0</v>
      </c>
      <c r="J68" s="144">
        <f>0+'táj.1'!J68</f>
        <v>0</v>
      </c>
      <c r="K68" s="144">
        <f>40000+'táj.1'!K68</f>
        <v>40000</v>
      </c>
      <c r="L68" s="144">
        <f>0+'táj.1'!L68</f>
        <v>0</v>
      </c>
      <c r="M68" s="144">
        <f>0+'táj.1'!M68</f>
        <v>0</v>
      </c>
      <c r="N68" s="144">
        <f>0+'táj.1'!N68</f>
        <v>0</v>
      </c>
      <c r="O68" s="136">
        <f aca="true" t="shared" si="3" ref="O68:O76">SUM(E68:N68)</f>
        <v>40000</v>
      </c>
    </row>
    <row r="69" spans="1:15" s="135" customFormat="1" ht="23.25" customHeight="1">
      <c r="A69" s="1"/>
      <c r="B69" s="1"/>
      <c r="C69" s="174" t="s">
        <v>1437</v>
      </c>
      <c r="D69" s="498">
        <v>162104</v>
      </c>
      <c r="E69" s="144">
        <f>0+'táj.1'!E69</f>
        <v>0</v>
      </c>
      <c r="F69" s="144">
        <f>0+'táj.1'!F69</f>
        <v>0</v>
      </c>
      <c r="G69" s="144">
        <f>0+'táj.1'!G69</f>
        <v>0</v>
      </c>
      <c r="H69" s="144">
        <f>0+'táj.1'!H69</f>
        <v>0</v>
      </c>
      <c r="I69" s="144">
        <f>0+'táj.1'!I69</f>
        <v>0</v>
      </c>
      <c r="J69" s="144">
        <f>0+'táj.1'!J69</f>
        <v>0</v>
      </c>
      <c r="K69" s="144">
        <f>48000+'táj.1'!K69</f>
        <v>48000</v>
      </c>
      <c r="L69" s="144">
        <f>0+'táj.1'!L69</f>
        <v>0</v>
      </c>
      <c r="M69" s="144">
        <f>0+'táj.1'!M69</f>
        <v>0</v>
      </c>
      <c r="N69" s="144">
        <f>0+'táj.1'!N69</f>
        <v>0</v>
      </c>
      <c r="O69" s="136">
        <f t="shared" si="3"/>
        <v>48000</v>
      </c>
    </row>
    <row r="70" spans="1:15" s="135" customFormat="1" ht="24.75" customHeight="1">
      <c r="A70" s="1"/>
      <c r="B70" s="1"/>
      <c r="C70" s="433" t="s">
        <v>1073</v>
      </c>
      <c r="D70" s="498"/>
      <c r="E70" s="144"/>
      <c r="F70" s="136"/>
      <c r="G70" s="136"/>
      <c r="H70" s="140"/>
      <c r="I70" s="140"/>
      <c r="J70" s="140"/>
      <c r="K70" s="140"/>
      <c r="L70" s="140"/>
      <c r="M70" s="140"/>
      <c r="N70" s="140"/>
      <c r="O70" s="136"/>
    </row>
    <row r="71" spans="1:15" s="135" customFormat="1" ht="49.5" customHeight="1">
      <c r="A71" s="1"/>
      <c r="B71" s="1"/>
      <c r="C71" s="515" t="s">
        <v>889</v>
      </c>
      <c r="D71" s="499">
        <v>162671</v>
      </c>
      <c r="E71" s="144">
        <f>5460+'táj.1'!E71</f>
        <v>5460</v>
      </c>
      <c r="F71" s="144">
        <f>0+'táj.1'!F71</f>
        <v>0</v>
      </c>
      <c r="G71" s="144">
        <f>0+'táj.1'!G71</f>
        <v>0</v>
      </c>
      <c r="H71" s="144">
        <f>0+'táj.1'!H71</f>
        <v>0</v>
      </c>
      <c r="I71" s="144">
        <f>0+'táj.1'!I71</f>
        <v>0</v>
      </c>
      <c r="J71" s="144">
        <f>0+'táj.1'!J71</f>
        <v>0</v>
      </c>
      <c r="K71" s="144">
        <f>0+'táj.1'!K71</f>
        <v>0</v>
      </c>
      <c r="L71" s="144">
        <f>0+'táj.1'!L71</f>
        <v>0</v>
      </c>
      <c r="M71" s="144">
        <f>0+'táj.1'!M71</f>
        <v>0</v>
      </c>
      <c r="N71" s="144">
        <f>0+'táj.1'!N71</f>
        <v>0</v>
      </c>
      <c r="O71" s="136">
        <f t="shared" si="3"/>
        <v>5460</v>
      </c>
    </row>
    <row r="72" spans="1:15" s="135" customFormat="1" ht="26.25" customHeight="1">
      <c r="A72" s="1"/>
      <c r="B72" s="1"/>
      <c r="C72" s="514" t="s">
        <v>890</v>
      </c>
      <c r="D72" s="500" t="s">
        <v>1442</v>
      </c>
      <c r="E72" s="144">
        <f>473306+'táj.1'!E72</f>
        <v>578911</v>
      </c>
      <c r="F72" s="144">
        <f>1451778+'táj.1'!F72</f>
        <v>6752459</v>
      </c>
      <c r="G72" s="144">
        <f>0+'táj.1'!G72</f>
        <v>0</v>
      </c>
      <c r="H72" s="144">
        <f>0+'táj.1'!H72</f>
        <v>0</v>
      </c>
      <c r="I72" s="144">
        <f>0+'táj.1'!I72</f>
        <v>0</v>
      </c>
      <c r="J72" s="144">
        <f>0+'táj.1'!J72</f>
        <v>0</v>
      </c>
      <c r="K72" s="144">
        <f>0+'táj.1'!K72</f>
        <v>0</v>
      </c>
      <c r="L72" s="144">
        <f>0+'táj.1'!L72</f>
        <v>0</v>
      </c>
      <c r="M72" s="144">
        <f>0+'táj.1'!M72</f>
        <v>0</v>
      </c>
      <c r="N72" s="144">
        <f>0+'táj.1'!N72</f>
        <v>0</v>
      </c>
      <c r="O72" s="136">
        <f t="shared" si="3"/>
        <v>7331370</v>
      </c>
    </row>
    <row r="73" spans="1:15" s="135" customFormat="1" ht="15" customHeight="1">
      <c r="A73" s="1"/>
      <c r="B73" s="1"/>
      <c r="C73" s="705" t="s">
        <v>824</v>
      </c>
      <c r="D73" s="500">
        <v>162697</v>
      </c>
      <c r="E73" s="144">
        <f>0+'táj.1'!E73</f>
        <v>0</v>
      </c>
      <c r="F73" s="144">
        <f>0+'táj.1'!F73</f>
        <v>0</v>
      </c>
      <c r="G73" s="144">
        <f>0+'táj.1'!G73</f>
        <v>0</v>
      </c>
      <c r="H73" s="144">
        <f>0+'táj.1'!H73</f>
        <v>0</v>
      </c>
      <c r="I73" s="144">
        <f>0+'táj.1'!I73</f>
        <v>0</v>
      </c>
      <c r="J73" s="144">
        <f>0+'táj.1'!J73</f>
        <v>0</v>
      </c>
      <c r="K73" s="144">
        <f>21+'táj.1'!K73</f>
        <v>21</v>
      </c>
      <c r="L73" s="144">
        <f>0+'táj.1'!L73</f>
        <v>0</v>
      </c>
      <c r="M73" s="144">
        <f>0+'táj.1'!M73</f>
        <v>0</v>
      </c>
      <c r="N73" s="144">
        <f>0+'táj.1'!N73</f>
        <v>0</v>
      </c>
      <c r="O73" s="136">
        <f t="shared" si="3"/>
        <v>21</v>
      </c>
    </row>
    <row r="74" spans="1:15" s="135" customFormat="1" ht="15" customHeight="1">
      <c r="A74" s="1"/>
      <c r="B74" s="1"/>
      <c r="C74" s="714" t="s">
        <v>1417</v>
      </c>
      <c r="D74" s="500">
        <v>162698</v>
      </c>
      <c r="E74" s="144">
        <f>0+'táj.1'!E74</f>
        <v>0</v>
      </c>
      <c r="F74" s="144">
        <f>15000+'táj.1'!F74</f>
        <v>15000</v>
      </c>
      <c r="G74" s="144">
        <f>0+'táj.1'!G74</f>
        <v>0</v>
      </c>
      <c r="H74" s="144">
        <f>0+'táj.1'!H74</f>
        <v>0</v>
      </c>
      <c r="I74" s="144">
        <f>0+'táj.1'!I74</f>
        <v>0</v>
      </c>
      <c r="J74" s="144">
        <f>0+'táj.1'!J74</f>
        <v>0</v>
      </c>
      <c r="K74" s="144">
        <f>0+'táj.1'!K74</f>
        <v>0</v>
      </c>
      <c r="L74" s="144">
        <f>0+'táj.1'!L74</f>
        <v>0</v>
      </c>
      <c r="M74" s="144">
        <f>0+'táj.1'!M74</f>
        <v>0</v>
      </c>
      <c r="N74" s="144">
        <f>0+'táj.1'!N74</f>
        <v>0</v>
      </c>
      <c r="O74" s="136">
        <f t="shared" si="3"/>
        <v>15000</v>
      </c>
    </row>
    <row r="75" spans="1:15" s="135" customFormat="1" ht="25.5">
      <c r="A75" s="1"/>
      <c r="B75" s="1"/>
      <c r="C75" s="162" t="s">
        <v>67</v>
      </c>
      <c r="D75" s="501"/>
      <c r="E75" s="144"/>
      <c r="F75" s="175"/>
      <c r="G75" s="136"/>
      <c r="H75" s="140"/>
      <c r="I75" s="140"/>
      <c r="J75" s="140"/>
      <c r="K75" s="140"/>
      <c r="L75" s="140"/>
      <c r="M75" s="140"/>
      <c r="N75" s="140"/>
      <c r="O75" s="136"/>
    </row>
    <row r="76" spans="1:15" s="135" customFormat="1" ht="24.75" customHeight="1">
      <c r="A76" s="1"/>
      <c r="B76" s="1"/>
      <c r="C76" s="410" t="s">
        <v>891</v>
      </c>
      <c r="D76" s="444">
        <v>161905</v>
      </c>
      <c r="E76" s="144">
        <f>2578+'táj.1'!E76</f>
        <v>2578</v>
      </c>
      <c r="F76" s="144">
        <f>0+'táj.1'!F76</f>
        <v>0</v>
      </c>
      <c r="G76" s="144">
        <f>0+'táj.1'!G76</f>
        <v>0</v>
      </c>
      <c r="H76" s="144">
        <f>0+'táj.1'!H76</f>
        <v>0</v>
      </c>
      <c r="I76" s="144">
        <f>0+'táj.1'!I76</f>
        <v>0</v>
      </c>
      <c r="J76" s="144">
        <f>0+'táj.1'!J76</f>
        <v>0</v>
      </c>
      <c r="K76" s="144">
        <f>0+'táj.1'!K76</f>
        <v>0</v>
      </c>
      <c r="L76" s="144">
        <f>0+'táj.1'!L76</f>
        <v>0</v>
      </c>
      <c r="M76" s="144">
        <f>0+'táj.1'!M76</f>
        <v>0</v>
      </c>
      <c r="N76" s="144">
        <f>0+'táj.1'!N76</f>
        <v>0</v>
      </c>
      <c r="O76" s="136">
        <f t="shared" si="3"/>
        <v>2578</v>
      </c>
    </row>
    <row r="77" spans="1:15" s="135" customFormat="1" ht="15" customHeight="1">
      <c r="A77" s="1"/>
      <c r="B77" s="1"/>
      <c r="C77" s="513" t="s">
        <v>576</v>
      </c>
      <c r="D77" s="445">
        <v>151916</v>
      </c>
      <c r="E77" s="144">
        <f>0+'táj.1'!E77</f>
        <v>0</v>
      </c>
      <c r="F77" s="144">
        <f>0+'táj.1'!F77</f>
        <v>0</v>
      </c>
      <c r="G77" s="144">
        <f>0+'táj.1'!G77</f>
        <v>0</v>
      </c>
      <c r="H77" s="144">
        <f>3429+'táj.1'!H77</f>
        <v>3429</v>
      </c>
      <c r="I77" s="144">
        <f>0+'táj.1'!I77</f>
        <v>0</v>
      </c>
      <c r="J77" s="144">
        <f>0+'táj.1'!J77</f>
        <v>0</v>
      </c>
      <c r="K77" s="144">
        <f>0+'táj.1'!K77</f>
        <v>0</v>
      </c>
      <c r="L77" s="144">
        <f>0+'táj.1'!L77</f>
        <v>0</v>
      </c>
      <c r="M77" s="144">
        <f>0+'táj.1'!M77</f>
        <v>0</v>
      </c>
      <c r="N77" s="144">
        <f>0+'táj.1'!N77</f>
        <v>0</v>
      </c>
      <c r="O77" s="136">
        <f aca="true" t="shared" si="4" ref="O77:O82">SUM(E77:N77)</f>
        <v>3429</v>
      </c>
    </row>
    <row r="78" spans="1:15" s="135" customFormat="1" ht="13.5" customHeight="1">
      <c r="A78" s="1"/>
      <c r="B78" s="1"/>
      <c r="C78" s="513" t="s">
        <v>1436</v>
      </c>
      <c r="D78" s="445">
        <v>162199</v>
      </c>
      <c r="E78" s="144">
        <f>0+'táj.1'!E78</f>
        <v>0</v>
      </c>
      <c r="F78" s="144">
        <f>0+'táj.1'!F78</f>
        <v>0</v>
      </c>
      <c r="G78" s="144">
        <f>0+'táj.1'!G78</f>
        <v>0</v>
      </c>
      <c r="H78" s="144">
        <f>23031+'táj.1'!H78</f>
        <v>23031</v>
      </c>
      <c r="I78" s="144">
        <f>0+'táj.1'!I78</f>
        <v>0</v>
      </c>
      <c r="J78" s="144">
        <f>0+'táj.1'!J78</f>
        <v>0</v>
      </c>
      <c r="K78" s="144">
        <f>0+'táj.1'!K78</f>
        <v>0</v>
      </c>
      <c r="L78" s="144">
        <f>0+'táj.1'!L78</f>
        <v>0</v>
      </c>
      <c r="M78" s="144">
        <f>0+'táj.1'!M78</f>
        <v>0</v>
      </c>
      <c r="N78" s="144">
        <f>0+'táj.1'!N78</f>
        <v>0</v>
      </c>
      <c r="O78" s="136">
        <f t="shared" si="4"/>
        <v>23031</v>
      </c>
    </row>
    <row r="79" spans="1:15" s="135" customFormat="1" ht="30" customHeight="1">
      <c r="A79" s="1"/>
      <c r="B79" s="1"/>
      <c r="C79" s="513" t="s">
        <v>1169</v>
      </c>
      <c r="D79" s="445">
        <v>164910</v>
      </c>
      <c r="E79" s="144">
        <f>0+'táj.1'!E79</f>
        <v>0</v>
      </c>
      <c r="F79" s="144">
        <f>5000+'táj.1'!F79</f>
        <v>5000</v>
      </c>
      <c r="G79" s="144">
        <f>0+'táj.1'!G79</f>
        <v>0</v>
      </c>
      <c r="H79" s="144">
        <f>0+'táj.1'!H79</f>
        <v>0</v>
      </c>
      <c r="I79" s="144">
        <f>0+'táj.1'!I79</f>
        <v>0</v>
      </c>
      <c r="J79" s="144">
        <f>0+'táj.1'!J79</f>
        <v>0</v>
      </c>
      <c r="K79" s="144">
        <f>0+'táj.1'!K79</f>
        <v>0</v>
      </c>
      <c r="L79" s="144">
        <f>0+'táj.1'!L79</f>
        <v>0</v>
      </c>
      <c r="M79" s="144">
        <f>0+'táj.1'!M79</f>
        <v>0</v>
      </c>
      <c r="N79" s="144">
        <f>0+'táj.1'!N79</f>
        <v>0</v>
      </c>
      <c r="O79" s="136">
        <f t="shared" si="4"/>
        <v>5000</v>
      </c>
    </row>
    <row r="80" spans="1:15" s="135" customFormat="1" ht="27" customHeight="1">
      <c r="A80" s="1"/>
      <c r="B80" s="1"/>
      <c r="C80" s="717" t="s">
        <v>1420</v>
      </c>
      <c r="D80" s="445">
        <v>162217</v>
      </c>
      <c r="E80" s="144">
        <f>0+'táj.1'!E80</f>
        <v>0</v>
      </c>
      <c r="F80" s="144">
        <f>6404+'táj.1'!F80</f>
        <v>6404</v>
      </c>
      <c r="G80" s="144">
        <f>0+'táj.1'!G80</f>
        <v>0</v>
      </c>
      <c r="H80" s="144">
        <f>0+'táj.1'!H80</f>
        <v>0</v>
      </c>
      <c r="I80" s="144">
        <f>0+'táj.1'!I80</f>
        <v>0</v>
      </c>
      <c r="J80" s="144">
        <f>0+'táj.1'!J80</f>
        <v>0</v>
      </c>
      <c r="K80" s="144">
        <f>0+'táj.1'!K80</f>
        <v>0</v>
      </c>
      <c r="L80" s="144">
        <f>0+'táj.1'!L80</f>
        <v>0</v>
      </c>
      <c r="M80" s="144">
        <f>0+'táj.1'!M80</f>
        <v>0</v>
      </c>
      <c r="N80" s="144">
        <f>0+'táj.1'!N80</f>
        <v>0</v>
      </c>
      <c r="O80" s="136">
        <f t="shared" si="4"/>
        <v>6404</v>
      </c>
    </row>
    <row r="81" spans="1:15" s="135" customFormat="1" ht="27" customHeight="1">
      <c r="A81" s="1"/>
      <c r="B81" s="1"/>
      <c r="C81" s="706" t="s">
        <v>825</v>
      </c>
      <c r="D81" s="445">
        <v>162696</v>
      </c>
      <c r="E81" s="144">
        <f>0+'táj.1'!E81</f>
        <v>0</v>
      </c>
      <c r="F81" s="144">
        <f>0+'táj.1'!F81</f>
        <v>0</v>
      </c>
      <c r="G81" s="144">
        <f>0+'táj.1'!G81</f>
        <v>0</v>
      </c>
      <c r="H81" s="144">
        <f>0+'táj.1'!H81</f>
        <v>0</v>
      </c>
      <c r="I81" s="144">
        <f>0+'táj.1'!I81</f>
        <v>0</v>
      </c>
      <c r="J81" s="144">
        <f>8763+'táj.1'!J81</f>
        <v>8763</v>
      </c>
      <c r="K81" s="144">
        <f>24964+'táj.1'!K81</f>
        <v>24964</v>
      </c>
      <c r="L81" s="144">
        <f>0+'táj.1'!L81</f>
        <v>0</v>
      </c>
      <c r="M81" s="144">
        <f>0+'táj.1'!M81</f>
        <v>0</v>
      </c>
      <c r="N81" s="144">
        <f>0+'táj.1'!N81</f>
        <v>0</v>
      </c>
      <c r="O81" s="136">
        <f t="shared" si="4"/>
        <v>33727</v>
      </c>
    </row>
    <row r="82" spans="1:15" s="135" customFormat="1" ht="27" customHeight="1">
      <c r="A82" s="1"/>
      <c r="B82" s="1"/>
      <c r="C82" s="197" t="s">
        <v>1443</v>
      </c>
      <c r="D82" s="445">
        <v>162602</v>
      </c>
      <c r="E82" s="144">
        <f>0+'táj.1'!E82</f>
        <v>0</v>
      </c>
      <c r="F82" s="144">
        <f>0+'táj.1'!F82</f>
        <v>0</v>
      </c>
      <c r="G82" s="144">
        <f>0+'táj.1'!G82</f>
        <v>0</v>
      </c>
      <c r="H82" s="144">
        <f>0+'táj.1'!H82</f>
        <v>225</v>
      </c>
      <c r="I82" s="144">
        <f>0+'táj.1'!I82</f>
        <v>0</v>
      </c>
      <c r="J82" s="144">
        <f>0+'táj.1'!J82</f>
        <v>0</v>
      </c>
      <c r="K82" s="144">
        <f>0+'táj.1'!K82</f>
        <v>0</v>
      </c>
      <c r="L82" s="144">
        <f>0+'táj.1'!L82</f>
        <v>0</v>
      </c>
      <c r="M82" s="144">
        <f>0+'táj.1'!M82</f>
        <v>0</v>
      </c>
      <c r="N82" s="144">
        <f>0+'táj.1'!N82</f>
        <v>0</v>
      </c>
      <c r="O82" s="136">
        <f t="shared" si="4"/>
        <v>225</v>
      </c>
    </row>
    <row r="83" spans="1:15" s="135" customFormat="1" ht="27" customHeight="1">
      <c r="A83" s="1"/>
      <c r="B83" s="1"/>
      <c r="C83" s="294" t="s">
        <v>66</v>
      </c>
      <c r="D83" s="445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36"/>
    </row>
    <row r="84" spans="1:15" s="135" customFormat="1" ht="16.5" customHeight="1">
      <c r="A84" s="1"/>
      <c r="B84" s="1"/>
      <c r="C84" s="294" t="s">
        <v>1444</v>
      </c>
      <c r="D84" s="445">
        <v>162687</v>
      </c>
      <c r="E84" s="144">
        <f>0+'táj.1'!E84</f>
        <v>0</v>
      </c>
      <c r="F84" s="144">
        <f>0+'táj.1'!F84</f>
        <v>83000</v>
      </c>
      <c r="G84" s="144">
        <f>0+'táj.1'!G84</f>
        <v>0</v>
      </c>
      <c r="H84" s="144">
        <f>0+'táj.1'!H84</f>
        <v>0</v>
      </c>
      <c r="I84" s="144">
        <f>0+'táj.1'!I84</f>
        <v>0</v>
      </c>
      <c r="J84" s="144">
        <f>0+'táj.1'!J84</f>
        <v>0</v>
      </c>
      <c r="K84" s="144">
        <f>0+'táj.1'!K84</f>
        <v>0</v>
      </c>
      <c r="L84" s="144">
        <f>0+'táj.1'!L84</f>
        <v>0</v>
      </c>
      <c r="M84" s="144">
        <f>0+'táj.1'!M84</f>
        <v>0</v>
      </c>
      <c r="N84" s="144">
        <f>0+'táj.1'!N84</f>
        <v>0</v>
      </c>
      <c r="O84" s="136">
        <f>SUM(E84:N84)</f>
        <v>83000</v>
      </c>
    </row>
    <row r="85" spans="1:15" s="135" customFormat="1" ht="12.75" customHeight="1">
      <c r="A85" s="137"/>
      <c r="B85" s="137"/>
      <c r="C85" s="176" t="s">
        <v>290</v>
      </c>
      <c r="D85" s="137"/>
      <c r="E85" s="138">
        <f>SUM(E67:E84)</f>
        <v>586949</v>
      </c>
      <c r="F85" s="138">
        <f aca="true" t="shared" si="5" ref="F85:O85">SUM(F67:F84)</f>
        <v>6861863</v>
      </c>
      <c r="G85" s="138">
        <f t="shared" si="5"/>
        <v>0</v>
      </c>
      <c r="H85" s="138">
        <f t="shared" si="5"/>
        <v>26685</v>
      </c>
      <c r="I85" s="138">
        <f t="shared" si="5"/>
        <v>0</v>
      </c>
      <c r="J85" s="138">
        <f t="shared" si="5"/>
        <v>8763</v>
      </c>
      <c r="K85" s="138">
        <f t="shared" si="5"/>
        <v>112985</v>
      </c>
      <c r="L85" s="138">
        <f t="shared" si="5"/>
        <v>0</v>
      </c>
      <c r="M85" s="138">
        <f t="shared" si="5"/>
        <v>0</v>
      </c>
      <c r="N85" s="138">
        <f t="shared" si="5"/>
        <v>0</v>
      </c>
      <c r="O85" s="138">
        <f t="shared" si="5"/>
        <v>7597245</v>
      </c>
    </row>
    <row r="86" spans="1:15" s="135" customFormat="1" ht="12.75" customHeight="1">
      <c r="A86" s="1">
        <v>1</v>
      </c>
      <c r="B86" s="1">
        <v>17</v>
      </c>
      <c r="C86" s="430" t="s">
        <v>156</v>
      </c>
      <c r="D86" s="490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</row>
    <row r="87" spans="1:15" s="135" customFormat="1" ht="24" customHeight="1">
      <c r="A87" s="1"/>
      <c r="B87" s="1"/>
      <c r="C87" s="162" t="s">
        <v>67</v>
      </c>
      <c r="D87" s="483"/>
      <c r="E87" s="180"/>
      <c r="F87" s="136"/>
      <c r="G87" s="136"/>
      <c r="H87" s="136"/>
      <c r="I87" s="136"/>
      <c r="J87" s="136"/>
      <c r="K87" s="136"/>
      <c r="L87" s="136"/>
      <c r="M87" s="136"/>
      <c r="N87" s="136"/>
      <c r="O87" s="136"/>
    </row>
    <row r="88" spans="1:16" s="135" customFormat="1" ht="13.5" customHeight="1">
      <c r="A88" s="1"/>
      <c r="B88" s="1"/>
      <c r="C88" s="173" t="s">
        <v>1270</v>
      </c>
      <c r="D88" s="502">
        <v>171907</v>
      </c>
      <c r="E88" s="136">
        <f>0+'táj.1'!E88</f>
        <v>0</v>
      </c>
      <c r="F88" s="136">
        <f>0+'táj.1'!F88</f>
        <v>0</v>
      </c>
      <c r="G88" s="136">
        <f>0+'táj.1'!G88</f>
        <v>0</v>
      </c>
      <c r="H88" s="136">
        <f>0+'táj.1'!H88</f>
        <v>0</v>
      </c>
      <c r="I88" s="136">
        <f>80000+'táj.1'!I88</f>
        <v>80000</v>
      </c>
      <c r="J88" s="136">
        <f>0+'táj.1'!J88</f>
        <v>0</v>
      </c>
      <c r="K88" s="136">
        <f>0+'táj.1'!K88</f>
        <v>0</v>
      </c>
      <c r="L88" s="136">
        <f>0+'táj.1'!L88</f>
        <v>0</v>
      </c>
      <c r="M88" s="136">
        <f>0+'táj.1'!M88</f>
        <v>0</v>
      </c>
      <c r="N88" s="136">
        <f>0+'táj.1'!N88</f>
        <v>0</v>
      </c>
      <c r="O88" s="136">
        <f>SUM(E88:N88)</f>
        <v>80000</v>
      </c>
      <c r="P88" s="151"/>
    </row>
    <row r="89" spans="1:15" s="135" customFormat="1" ht="25.5" customHeight="1">
      <c r="A89" s="1"/>
      <c r="B89" s="1"/>
      <c r="C89" s="174" t="s">
        <v>190</v>
      </c>
      <c r="D89" s="498"/>
      <c r="E89" s="136"/>
      <c r="F89" s="136"/>
      <c r="G89" s="136"/>
      <c r="H89" s="140"/>
      <c r="I89" s="140"/>
      <c r="J89" s="136"/>
      <c r="K89" s="136"/>
      <c r="L89" s="136"/>
      <c r="M89" s="136"/>
      <c r="N89" s="136"/>
      <c r="O89" s="136"/>
    </row>
    <row r="90" spans="1:15" s="135" customFormat="1" ht="13.5" customHeight="1">
      <c r="A90" s="1"/>
      <c r="B90" s="1"/>
      <c r="C90" s="434" t="s">
        <v>1272</v>
      </c>
      <c r="D90" s="503">
        <v>171980</v>
      </c>
      <c r="E90" s="136">
        <f>0+'táj.1'!E90</f>
        <v>0</v>
      </c>
      <c r="F90" s="136">
        <f>0+'táj.1'!F90</f>
        <v>0</v>
      </c>
      <c r="G90" s="136">
        <f>0+'táj.1'!G90</f>
        <v>0</v>
      </c>
      <c r="H90" s="136">
        <f>41910+'táj.1'!H90</f>
        <v>41910</v>
      </c>
      <c r="I90" s="136">
        <f>0+'táj.1'!I90</f>
        <v>0</v>
      </c>
      <c r="J90" s="136">
        <f>0+'táj.1'!J90</f>
        <v>0</v>
      </c>
      <c r="K90" s="136">
        <f>0+'táj.1'!K90</f>
        <v>0</v>
      </c>
      <c r="L90" s="136">
        <f>0+'táj.1'!L90</f>
        <v>0</v>
      </c>
      <c r="M90" s="136">
        <f>0+'táj.1'!M90</f>
        <v>0</v>
      </c>
      <c r="N90" s="136">
        <f>0+'táj.1'!N90</f>
        <v>0</v>
      </c>
      <c r="O90" s="136">
        <f>SUM(E90:N90)</f>
        <v>41910</v>
      </c>
    </row>
    <row r="91" spans="1:15" s="135" customFormat="1" ht="26.25" customHeight="1">
      <c r="A91" s="145"/>
      <c r="B91" s="145"/>
      <c r="C91" s="162" t="s">
        <v>67</v>
      </c>
      <c r="D91" s="483"/>
      <c r="E91" s="136"/>
      <c r="F91" s="136"/>
      <c r="G91" s="136"/>
      <c r="H91" s="140"/>
      <c r="I91" s="140"/>
      <c r="J91" s="136"/>
      <c r="K91" s="136"/>
      <c r="L91" s="136"/>
      <c r="M91" s="136"/>
      <c r="N91" s="136"/>
      <c r="O91" s="136"/>
    </row>
    <row r="92" spans="1:15" s="135" customFormat="1" ht="29.25" customHeight="1">
      <c r="A92" s="1"/>
      <c r="B92" s="1"/>
      <c r="C92" s="516" t="s">
        <v>892</v>
      </c>
      <c r="D92" s="502">
        <v>171905</v>
      </c>
      <c r="E92" s="136">
        <f>0+'táj.1'!E92</f>
        <v>0</v>
      </c>
      <c r="F92" s="136">
        <f>0+'táj.1'!F92</f>
        <v>0</v>
      </c>
      <c r="G92" s="136">
        <f>0+'táj.1'!G92</f>
        <v>0</v>
      </c>
      <c r="H92" s="136">
        <f>52148+'táj.1'!H92</f>
        <v>52148</v>
      </c>
      <c r="I92" s="136">
        <f>0+'táj.1'!I92</f>
        <v>0</v>
      </c>
      <c r="J92" s="136">
        <f>0+'táj.1'!J92</f>
        <v>0</v>
      </c>
      <c r="K92" s="136">
        <f>0+'táj.1'!K92</f>
        <v>0</v>
      </c>
      <c r="L92" s="136">
        <f>0+'táj.1'!L92</f>
        <v>0</v>
      </c>
      <c r="M92" s="136">
        <f>0+'táj.1'!M92</f>
        <v>0</v>
      </c>
      <c r="N92" s="136">
        <f>0+'táj.1'!N92</f>
        <v>0</v>
      </c>
      <c r="O92" s="136">
        <f>SUM(E92:N92)</f>
        <v>52148</v>
      </c>
    </row>
    <row r="93" spans="1:15" s="135" customFormat="1" ht="13.5" customHeight="1">
      <c r="A93" s="146"/>
      <c r="B93" s="146"/>
      <c r="C93" s="435" t="s">
        <v>1295</v>
      </c>
      <c r="D93" s="502">
        <v>171909</v>
      </c>
      <c r="E93" s="136">
        <f>0+'táj.1'!E93</f>
        <v>0</v>
      </c>
      <c r="F93" s="136">
        <f>0+'táj.1'!F93</f>
        <v>0</v>
      </c>
      <c r="G93" s="136">
        <f>0+'táj.1'!G93</f>
        <v>0</v>
      </c>
      <c r="H93" s="136">
        <f>3429+'táj.1'!H93</f>
        <v>3429</v>
      </c>
      <c r="I93" s="136">
        <f>0+'táj.1'!I93</f>
        <v>0</v>
      </c>
      <c r="J93" s="136">
        <f>0+'táj.1'!J93</f>
        <v>0</v>
      </c>
      <c r="K93" s="136">
        <f>0+'táj.1'!K93</f>
        <v>0</v>
      </c>
      <c r="L93" s="136">
        <f>0+'táj.1'!L93</f>
        <v>0</v>
      </c>
      <c r="M93" s="136">
        <f>0+'táj.1'!M93</f>
        <v>0</v>
      </c>
      <c r="N93" s="136">
        <f>0+'táj.1'!N93</f>
        <v>0</v>
      </c>
      <c r="O93" s="136">
        <f>SUM(E93:N93)</f>
        <v>3429</v>
      </c>
    </row>
    <row r="94" spans="1:15" s="135" customFormat="1" ht="13.5" customHeight="1">
      <c r="A94" s="146"/>
      <c r="B94" s="146"/>
      <c r="C94" s="435" t="s">
        <v>1014</v>
      </c>
      <c r="D94" s="502">
        <v>171904</v>
      </c>
      <c r="E94" s="136">
        <f>0+'táj.1'!E94</f>
        <v>0</v>
      </c>
      <c r="F94" s="136">
        <f>0+'táj.1'!F94</f>
        <v>0</v>
      </c>
      <c r="G94" s="136">
        <f>0+'táj.1'!G94</f>
        <v>0</v>
      </c>
      <c r="H94" s="136">
        <f>2000+'táj.1'!H94</f>
        <v>4000</v>
      </c>
      <c r="I94" s="136">
        <f>0+'táj.1'!I94</f>
        <v>0</v>
      </c>
      <c r="J94" s="136">
        <f>0+'táj.1'!J94</f>
        <v>0</v>
      </c>
      <c r="K94" s="136">
        <f>0+'táj.1'!K94</f>
        <v>0</v>
      </c>
      <c r="L94" s="136">
        <f>0+'táj.1'!L94</f>
        <v>0</v>
      </c>
      <c r="M94" s="136">
        <f>0+'táj.1'!M94</f>
        <v>0</v>
      </c>
      <c r="N94" s="136">
        <f>0+'táj.1'!N94</f>
        <v>0</v>
      </c>
      <c r="O94" s="136">
        <f>SUM(E94:N94)</f>
        <v>4000</v>
      </c>
    </row>
    <row r="95" spans="1:15" s="135" customFormat="1" ht="13.5" customHeight="1">
      <c r="A95" s="146"/>
      <c r="B95" s="146"/>
      <c r="C95" s="676" t="s">
        <v>1170</v>
      </c>
      <c r="D95" s="506">
        <v>172901</v>
      </c>
      <c r="E95" s="136">
        <f>0+'táj.1'!E95</f>
        <v>0</v>
      </c>
      <c r="F95" s="136">
        <f>0+'táj.1'!F95</f>
        <v>0</v>
      </c>
      <c r="G95" s="136">
        <f>0+'táj.1'!G95</f>
        <v>0</v>
      </c>
      <c r="H95" s="136">
        <f>0+'táj.1'!H95</f>
        <v>0</v>
      </c>
      <c r="I95" s="136">
        <f>971+'táj.1'!I95</f>
        <v>971</v>
      </c>
      <c r="J95" s="136">
        <f>0+'táj.1'!J95</f>
        <v>0</v>
      </c>
      <c r="K95" s="136">
        <f>0+'táj.1'!K95</f>
        <v>0</v>
      </c>
      <c r="L95" s="136">
        <f>0+'táj.1'!L95</f>
        <v>0</v>
      </c>
      <c r="M95" s="136">
        <f>0+'táj.1'!M95</f>
        <v>0</v>
      </c>
      <c r="N95" s="136">
        <f>0+'táj.1'!N95</f>
        <v>0</v>
      </c>
      <c r="O95" s="136">
        <f>SUM(E95:N95)</f>
        <v>971</v>
      </c>
    </row>
    <row r="96" spans="1:15" s="135" customFormat="1" ht="24.75" customHeight="1">
      <c r="A96" s="146"/>
      <c r="B96" s="146"/>
      <c r="C96" s="684" t="s">
        <v>316</v>
      </c>
      <c r="D96" s="506">
        <v>172908</v>
      </c>
      <c r="E96" s="136">
        <f>0+'táj.1'!E96</f>
        <v>0</v>
      </c>
      <c r="F96" s="136">
        <f>0+'táj.1'!F96</f>
        <v>0</v>
      </c>
      <c r="G96" s="136">
        <f>0+'táj.1'!G96</f>
        <v>0</v>
      </c>
      <c r="H96" s="136">
        <f>0+'táj.1'!H96</f>
        <v>0</v>
      </c>
      <c r="I96" s="136">
        <f>21500+'táj.1'!I96</f>
        <v>21500</v>
      </c>
      <c r="J96" s="136">
        <f>0+'táj.1'!J96</f>
        <v>0</v>
      </c>
      <c r="K96" s="136">
        <f>0+'táj.1'!K96</f>
        <v>0</v>
      </c>
      <c r="L96" s="136">
        <f>0+'táj.1'!L96</f>
        <v>0</v>
      </c>
      <c r="M96" s="136">
        <f>0+'táj.1'!M96</f>
        <v>0</v>
      </c>
      <c r="N96" s="136">
        <f>0+'táj.1'!N96</f>
        <v>0</v>
      </c>
      <c r="O96" s="136">
        <f>SUM(E96:N96)</f>
        <v>21500</v>
      </c>
    </row>
    <row r="97" spans="1:15" s="135" customFormat="1" ht="24.75" customHeight="1">
      <c r="A97" s="146"/>
      <c r="B97" s="146"/>
      <c r="C97" s="433" t="s">
        <v>1073</v>
      </c>
      <c r="D97" s="498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</row>
    <row r="98" spans="1:15" s="135" customFormat="1" ht="15" customHeight="1">
      <c r="A98" s="146"/>
      <c r="B98" s="146"/>
      <c r="C98" s="173" t="s">
        <v>1271</v>
      </c>
      <c r="D98" s="502">
        <v>171901</v>
      </c>
      <c r="E98" s="136">
        <f>0+'táj.1'!E98</f>
        <v>0</v>
      </c>
      <c r="F98" s="136">
        <f>0+'táj.1'!F98</f>
        <v>0</v>
      </c>
      <c r="G98" s="136">
        <f>0+'táj.1'!G98</f>
        <v>0</v>
      </c>
      <c r="H98" s="136">
        <f>34290+'táj.1'!H98</f>
        <v>34290</v>
      </c>
      <c r="I98" s="136">
        <f>0+'táj.1'!I98</f>
        <v>0</v>
      </c>
      <c r="J98" s="136">
        <f>0+'táj.1'!J98</f>
        <v>0</v>
      </c>
      <c r="K98" s="136">
        <f>0+'táj.1'!K98</f>
        <v>0</v>
      </c>
      <c r="L98" s="136">
        <f>0+'táj.1'!L98</f>
        <v>0</v>
      </c>
      <c r="M98" s="136">
        <f>0+'táj.1'!M98</f>
        <v>0</v>
      </c>
      <c r="N98" s="136">
        <f>0+'táj.1'!N98</f>
        <v>0</v>
      </c>
      <c r="O98" s="136">
        <f>SUM(E98:N98)</f>
        <v>34290</v>
      </c>
    </row>
    <row r="99" spans="1:15" s="135" customFormat="1" ht="15" customHeight="1">
      <c r="A99" s="146"/>
      <c r="B99" s="146"/>
      <c r="C99" s="725" t="s">
        <v>1445</v>
      </c>
      <c r="D99" s="505">
        <v>174906</v>
      </c>
      <c r="E99" s="136">
        <f>0+'táj.1'!E99</f>
        <v>0</v>
      </c>
      <c r="F99" s="136">
        <f>0+'táj.1'!F99</f>
        <v>0</v>
      </c>
      <c r="G99" s="136">
        <f>0+'táj.1'!G99</f>
        <v>0</v>
      </c>
      <c r="H99" s="136">
        <f>0+'táj.1'!H99</f>
        <v>5171</v>
      </c>
      <c r="I99" s="136">
        <f>0+'táj.1'!I99</f>
        <v>0</v>
      </c>
      <c r="J99" s="136">
        <f>0+'táj.1'!J99</f>
        <v>0</v>
      </c>
      <c r="K99" s="136">
        <f>0+'táj.1'!K99</f>
        <v>0</v>
      </c>
      <c r="L99" s="136">
        <f>0+'táj.1'!L99</f>
        <v>0</v>
      </c>
      <c r="M99" s="136">
        <f>0+'táj.1'!M99</f>
        <v>0</v>
      </c>
      <c r="N99" s="136">
        <f>0+'táj.1'!N99</f>
        <v>0</v>
      </c>
      <c r="O99" s="136">
        <f>SUM(E99:N99)</f>
        <v>5171</v>
      </c>
    </row>
    <row r="100" spans="1:15" s="135" customFormat="1" ht="24.75" customHeight="1">
      <c r="A100" s="1"/>
      <c r="B100" s="1"/>
      <c r="C100" s="436" t="s">
        <v>1094</v>
      </c>
      <c r="D100" s="504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</row>
    <row r="101" spans="1:15" s="135" customFormat="1" ht="15.75" customHeight="1">
      <c r="A101" s="1"/>
      <c r="B101" s="1"/>
      <c r="C101" s="437" t="s">
        <v>185</v>
      </c>
      <c r="D101" s="505">
        <v>171908</v>
      </c>
      <c r="E101" s="136">
        <f>0+'táj.1'!E101</f>
        <v>0</v>
      </c>
      <c r="F101" s="136">
        <f>0+'táj.1'!F101</f>
        <v>0</v>
      </c>
      <c r="G101" s="136">
        <f>0+'táj.1'!G101</f>
        <v>0</v>
      </c>
      <c r="H101" s="136">
        <f>101600+'táj.1'!H101</f>
        <v>101600</v>
      </c>
      <c r="I101" s="136">
        <f>0+'táj.1'!I101</f>
        <v>0</v>
      </c>
      <c r="J101" s="136">
        <f>0+'táj.1'!J101</f>
        <v>0</v>
      </c>
      <c r="K101" s="136">
        <f>0+'táj.1'!K101</f>
        <v>0</v>
      </c>
      <c r="L101" s="136">
        <f>0+'táj.1'!L101</f>
        <v>0</v>
      </c>
      <c r="M101" s="136">
        <f>0+'táj.1'!M101</f>
        <v>0</v>
      </c>
      <c r="N101" s="136">
        <f>0+'táj.1'!N101</f>
        <v>0</v>
      </c>
      <c r="O101" s="136">
        <f>SUM(E101:N101)</f>
        <v>101600</v>
      </c>
    </row>
    <row r="102" spans="1:15" s="135" customFormat="1" ht="13.5" customHeight="1">
      <c r="A102" s="1"/>
      <c r="B102" s="1"/>
      <c r="C102" s="438" t="s">
        <v>1273</v>
      </c>
      <c r="D102" s="503">
        <v>171954</v>
      </c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</row>
    <row r="103" spans="1:15" s="135" customFormat="1" ht="15" customHeight="1">
      <c r="A103" s="1"/>
      <c r="B103" s="1"/>
      <c r="C103" s="206" t="s">
        <v>55</v>
      </c>
      <c r="D103" s="63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</row>
    <row r="104" spans="1:15" s="135" customFormat="1" ht="24.75" customHeight="1">
      <c r="A104" s="1"/>
      <c r="B104" s="1"/>
      <c r="C104" s="174" t="s">
        <v>438</v>
      </c>
      <c r="D104" s="497">
        <v>121401</v>
      </c>
      <c r="E104" s="136">
        <f>0+'táj.1'!E104</f>
        <v>0</v>
      </c>
      <c r="F104" s="136">
        <f>0+'táj.1'!F104</f>
        <v>0</v>
      </c>
      <c r="G104" s="136">
        <f>0+'táj.1'!G104</f>
        <v>0</v>
      </c>
      <c r="H104" s="136">
        <f>0+'táj.1'!H104</f>
        <v>0</v>
      </c>
      <c r="I104" s="136">
        <f>0+'táj.1'!I104</f>
        <v>0</v>
      </c>
      <c r="J104" s="136">
        <f>0+'táj.1'!J104</f>
        <v>0</v>
      </c>
      <c r="K104" s="136">
        <f>20000+'táj.1'!K104</f>
        <v>20000</v>
      </c>
      <c r="L104" s="136">
        <f>0+'táj.1'!L104</f>
        <v>0</v>
      </c>
      <c r="M104" s="136">
        <f>0+'táj.1'!M104</f>
        <v>0</v>
      </c>
      <c r="N104" s="136">
        <f>0+'táj.1'!N104</f>
        <v>0</v>
      </c>
      <c r="O104" s="136">
        <f>SUM(E104:N104)</f>
        <v>20000</v>
      </c>
    </row>
    <row r="105" spans="1:15" s="135" customFormat="1" ht="15" customHeight="1">
      <c r="A105" s="1"/>
      <c r="B105" s="1"/>
      <c r="C105" s="216" t="s">
        <v>191</v>
      </c>
      <c r="D105" s="491"/>
      <c r="E105" s="136"/>
      <c r="F105" s="175"/>
      <c r="G105" s="144"/>
      <c r="H105" s="136"/>
      <c r="I105" s="136"/>
      <c r="J105" s="136"/>
      <c r="K105" s="140"/>
      <c r="L105" s="140"/>
      <c r="M105" s="140"/>
      <c r="N105" s="140"/>
      <c r="O105" s="136"/>
    </row>
    <row r="106" spans="1:16" s="135" customFormat="1" ht="14.25" customHeight="1">
      <c r="A106" s="1"/>
      <c r="B106" s="1"/>
      <c r="C106" s="433" t="s">
        <v>759</v>
      </c>
      <c r="D106" s="497">
        <v>176902</v>
      </c>
      <c r="E106" s="136">
        <f>0+'táj.1'!E106</f>
        <v>0</v>
      </c>
      <c r="F106" s="136">
        <f>0+'táj.1'!F106</f>
        <v>0</v>
      </c>
      <c r="G106" s="136">
        <f>0+'táj.1'!G106</f>
        <v>0</v>
      </c>
      <c r="H106" s="136">
        <f>0+'táj.1'!H106</f>
        <v>0</v>
      </c>
      <c r="I106" s="136">
        <f>0+'táj.1'!I106</f>
        <v>0</v>
      </c>
      <c r="J106" s="136">
        <f>0+'táj.1'!J106</f>
        <v>0</v>
      </c>
      <c r="K106" s="136">
        <f>0+'táj.1'!K106</f>
        <v>0</v>
      </c>
      <c r="L106" s="136">
        <f>0+'táj.1'!L106</f>
        <v>0</v>
      </c>
      <c r="M106" s="136">
        <f>61934+'táj.1'!M106</f>
        <v>61934</v>
      </c>
      <c r="N106" s="136">
        <f>284541+'táj.1'!N106</f>
        <v>284541</v>
      </c>
      <c r="O106" s="136">
        <f>SUM(E106:N106)</f>
        <v>346475</v>
      </c>
      <c r="P106" s="151"/>
    </row>
    <row r="107" spans="1:16" s="135" customFormat="1" ht="14.25" customHeight="1">
      <c r="A107" s="1"/>
      <c r="B107" s="1"/>
      <c r="C107" s="437" t="s">
        <v>826</v>
      </c>
      <c r="D107" s="505">
        <v>171954</v>
      </c>
      <c r="E107" s="136">
        <f>0+'táj.1'!E107</f>
        <v>0</v>
      </c>
      <c r="F107" s="136">
        <f>0+'táj.1'!F107</f>
        <v>0</v>
      </c>
      <c r="G107" s="136">
        <f>0+'táj.1'!G107</f>
        <v>0</v>
      </c>
      <c r="H107" s="136">
        <f>8722+'táj.1'!H107</f>
        <v>8722</v>
      </c>
      <c r="I107" s="136">
        <f>0+'táj.1'!I107</f>
        <v>0</v>
      </c>
      <c r="J107" s="136">
        <f>0+'táj.1'!J107</f>
        <v>0</v>
      </c>
      <c r="K107" s="136">
        <f>0+'táj.1'!K107</f>
        <v>0</v>
      </c>
      <c r="L107" s="136">
        <f>0+'táj.1'!L107</f>
        <v>0</v>
      </c>
      <c r="M107" s="136">
        <f>0+'táj.1'!M107</f>
        <v>0</v>
      </c>
      <c r="N107" s="136">
        <f>0+'táj.1'!N107</f>
        <v>0</v>
      </c>
      <c r="O107" s="136">
        <f>SUM(E107:N107)</f>
        <v>8722</v>
      </c>
      <c r="P107" s="151"/>
    </row>
    <row r="108" spans="1:15" s="135" customFormat="1" ht="12" customHeight="1">
      <c r="A108" s="137"/>
      <c r="B108" s="137"/>
      <c r="C108" s="176" t="s">
        <v>1274</v>
      </c>
      <c r="D108" s="137"/>
      <c r="E108" s="138">
        <f>SUM(E86:E107)</f>
        <v>0</v>
      </c>
      <c r="F108" s="138">
        <f aca="true" t="shared" si="6" ref="F108:O108">SUM(F86:F107)</f>
        <v>0</v>
      </c>
      <c r="G108" s="138">
        <f t="shared" si="6"/>
        <v>0</v>
      </c>
      <c r="H108" s="138">
        <f t="shared" si="6"/>
        <v>251270</v>
      </c>
      <c r="I108" s="138">
        <f t="shared" si="6"/>
        <v>102471</v>
      </c>
      <c r="J108" s="138">
        <f t="shared" si="6"/>
        <v>0</v>
      </c>
      <c r="K108" s="138">
        <f t="shared" si="6"/>
        <v>20000</v>
      </c>
      <c r="L108" s="138">
        <f t="shared" si="6"/>
        <v>0</v>
      </c>
      <c r="M108" s="138">
        <f t="shared" si="6"/>
        <v>61934</v>
      </c>
      <c r="N108" s="138">
        <f t="shared" si="6"/>
        <v>284541</v>
      </c>
      <c r="O108" s="138">
        <f t="shared" si="6"/>
        <v>720216</v>
      </c>
    </row>
    <row r="109" spans="1:15" s="135" customFormat="1" ht="12" customHeight="1">
      <c r="A109" s="142">
        <v>1</v>
      </c>
      <c r="B109" s="142">
        <v>18</v>
      </c>
      <c r="C109" s="174" t="s">
        <v>1275</v>
      </c>
      <c r="D109" s="498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</row>
    <row r="110" spans="1:15" s="135" customFormat="1" ht="24.75" customHeight="1">
      <c r="A110" s="1"/>
      <c r="B110" s="1"/>
      <c r="C110" s="162" t="s">
        <v>67</v>
      </c>
      <c r="D110" s="483"/>
      <c r="E110" s="144"/>
      <c r="F110" s="144"/>
      <c r="G110" s="144"/>
      <c r="H110" s="136"/>
      <c r="I110" s="136"/>
      <c r="J110" s="136"/>
      <c r="K110" s="136"/>
      <c r="L110" s="136"/>
      <c r="M110" s="136"/>
      <c r="N110" s="136"/>
      <c r="O110" s="136"/>
    </row>
    <row r="111" spans="1:15" s="135" customFormat="1" ht="24.75" customHeight="1">
      <c r="A111" s="1"/>
      <c r="B111" s="1"/>
      <c r="C111" s="206" t="s">
        <v>485</v>
      </c>
      <c r="D111" s="63" t="s">
        <v>366</v>
      </c>
      <c r="E111" s="144">
        <f>0+'táj.1'!E111</f>
        <v>0</v>
      </c>
      <c r="F111" s="144">
        <f>0+'táj.1'!F111</f>
        <v>0</v>
      </c>
      <c r="G111" s="144">
        <f>0+'táj.1'!G111</f>
        <v>0</v>
      </c>
      <c r="H111" s="144">
        <f>31415+'táj.1'!H111</f>
        <v>31415</v>
      </c>
      <c r="I111" s="144">
        <f>0+'táj.1'!I111</f>
        <v>0</v>
      </c>
      <c r="J111" s="144">
        <f>0+'táj.1'!J111</f>
        <v>0</v>
      </c>
      <c r="K111" s="144">
        <f>0+'táj.1'!K111</f>
        <v>0</v>
      </c>
      <c r="L111" s="144">
        <f>0+'táj.1'!L111</f>
        <v>0</v>
      </c>
      <c r="M111" s="144">
        <f>0+'táj.1'!M111</f>
        <v>0</v>
      </c>
      <c r="N111" s="144">
        <f>0+'táj.1'!N111</f>
        <v>0</v>
      </c>
      <c r="O111" s="136">
        <f>SUM(E111:N111)</f>
        <v>31415</v>
      </c>
    </row>
    <row r="112" spans="1:15" s="135" customFormat="1" ht="12" customHeight="1">
      <c r="A112" s="1"/>
      <c r="B112" s="1"/>
      <c r="C112" s="174" t="s">
        <v>349</v>
      </c>
      <c r="D112" s="497">
        <v>181905</v>
      </c>
      <c r="E112" s="144">
        <f>0+'táj.1'!E112</f>
        <v>0</v>
      </c>
      <c r="F112" s="144">
        <f>0+'táj.1'!F112</f>
        <v>0</v>
      </c>
      <c r="G112" s="144">
        <f>0+'táj.1'!G112</f>
        <v>0</v>
      </c>
      <c r="H112" s="144">
        <f>17842+'táj.1'!H112</f>
        <v>17842</v>
      </c>
      <c r="I112" s="144">
        <f>0+'táj.1'!I112</f>
        <v>0</v>
      </c>
      <c r="J112" s="144">
        <f>0+'táj.1'!J112</f>
        <v>0</v>
      </c>
      <c r="K112" s="144">
        <f>0+'táj.1'!K112</f>
        <v>0</v>
      </c>
      <c r="L112" s="144">
        <f>0+'táj.1'!L112</f>
        <v>0</v>
      </c>
      <c r="M112" s="144">
        <f>0+'táj.1'!M112</f>
        <v>0</v>
      </c>
      <c r="N112" s="144">
        <f>0+'táj.1'!N112</f>
        <v>0</v>
      </c>
      <c r="O112" s="136">
        <f>SUM(E112:N112)</f>
        <v>17842</v>
      </c>
    </row>
    <row r="113" spans="1:15" s="135" customFormat="1" ht="15" customHeight="1">
      <c r="A113" s="1"/>
      <c r="B113" s="1"/>
      <c r="C113" s="162" t="s">
        <v>1100</v>
      </c>
      <c r="D113" s="483">
        <v>181903</v>
      </c>
      <c r="E113" s="144">
        <f>0+'táj.1'!E113</f>
        <v>0</v>
      </c>
      <c r="F113" s="144">
        <f>0+'táj.1'!F113</f>
        <v>0</v>
      </c>
      <c r="G113" s="144">
        <f>6500+'táj.1'!G113</f>
        <v>6500</v>
      </c>
      <c r="H113" s="144">
        <f>0+'táj.1'!H113</f>
        <v>0</v>
      </c>
      <c r="I113" s="144">
        <f>0+'táj.1'!I113</f>
        <v>0</v>
      </c>
      <c r="J113" s="144">
        <f>0+'táj.1'!J113</f>
        <v>0</v>
      </c>
      <c r="K113" s="144">
        <f>0+'táj.1'!K113</f>
        <v>0</v>
      </c>
      <c r="L113" s="144">
        <f>0+'táj.1'!L113</f>
        <v>0</v>
      </c>
      <c r="M113" s="144">
        <f>0+'táj.1'!M113</f>
        <v>0</v>
      </c>
      <c r="N113" s="144">
        <f>0+'táj.1'!N113</f>
        <v>0</v>
      </c>
      <c r="O113" s="136">
        <f>SUM(E113:N113)</f>
        <v>6500</v>
      </c>
    </row>
    <row r="114" spans="1:15" s="135" customFormat="1" ht="22.5" customHeight="1">
      <c r="A114" s="1"/>
      <c r="B114" s="1"/>
      <c r="C114" s="162" t="s">
        <v>428</v>
      </c>
      <c r="D114" s="483">
        <v>181904</v>
      </c>
      <c r="E114" s="144">
        <f>0+'táj.1'!E114</f>
        <v>0</v>
      </c>
      <c r="F114" s="144">
        <f>0+'táj.1'!F114</f>
        <v>0</v>
      </c>
      <c r="G114" s="144">
        <f>0+'táj.1'!G114</f>
        <v>0</v>
      </c>
      <c r="H114" s="144">
        <f>100+'táj.1'!H114</f>
        <v>100</v>
      </c>
      <c r="I114" s="144">
        <f>0+'táj.1'!I114</f>
        <v>0</v>
      </c>
      <c r="J114" s="144">
        <f>0+'táj.1'!J114</f>
        <v>0</v>
      </c>
      <c r="K114" s="144">
        <f>0+'táj.1'!K114</f>
        <v>0</v>
      </c>
      <c r="L114" s="144">
        <f>0+'táj.1'!L114</f>
        <v>0</v>
      </c>
      <c r="M114" s="144">
        <f>0+'táj.1'!M114</f>
        <v>0</v>
      </c>
      <c r="N114" s="144">
        <f>0+'táj.1'!N114</f>
        <v>0</v>
      </c>
      <c r="O114" s="136">
        <f>SUM(E114:N114)</f>
        <v>100</v>
      </c>
    </row>
    <row r="115" spans="1:15" s="135" customFormat="1" ht="15" customHeight="1">
      <c r="A115" s="1" t="s">
        <v>1283</v>
      </c>
      <c r="B115" s="1"/>
      <c r="C115" s="174" t="s">
        <v>147</v>
      </c>
      <c r="D115" s="497">
        <v>181902</v>
      </c>
      <c r="E115" s="144">
        <f>0+'táj.1'!E115</f>
        <v>0</v>
      </c>
      <c r="F115" s="144">
        <f>0+'táj.1'!F115</f>
        <v>0</v>
      </c>
      <c r="G115" s="144">
        <f>0+'táj.1'!G115</f>
        <v>0</v>
      </c>
      <c r="H115" s="144">
        <f>18500+'táj.1'!H115</f>
        <v>18500</v>
      </c>
      <c r="I115" s="144">
        <f>0+'táj.1'!I115</f>
        <v>0</v>
      </c>
      <c r="J115" s="144">
        <f>0+'táj.1'!J115</f>
        <v>0</v>
      </c>
      <c r="K115" s="144">
        <f>0+'táj.1'!K115</f>
        <v>0</v>
      </c>
      <c r="L115" s="144">
        <f>0+'táj.1'!L115</f>
        <v>0</v>
      </c>
      <c r="M115" s="144">
        <f>0+'táj.1'!M115</f>
        <v>0</v>
      </c>
      <c r="N115" s="144">
        <f>0+'táj.1'!N115</f>
        <v>0</v>
      </c>
      <c r="O115" s="136">
        <f>SUM(E115:N115)</f>
        <v>18500</v>
      </c>
    </row>
    <row r="116" spans="1:15" s="135" customFormat="1" ht="15" customHeight="1">
      <c r="A116" s="1"/>
      <c r="B116" s="1"/>
      <c r="C116" s="707" t="s">
        <v>57</v>
      </c>
      <c r="D116" s="505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36"/>
    </row>
    <row r="117" spans="1:15" s="135" customFormat="1" ht="21.75" customHeight="1">
      <c r="A117" s="1"/>
      <c r="B117" s="1"/>
      <c r="C117" s="49" t="s">
        <v>437</v>
      </c>
      <c r="D117" s="100">
        <v>181907</v>
      </c>
      <c r="E117" s="144">
        <f>0+'táj.1'!E117</f>
        <v>0</v>
      </c>
      <c r="F117" s="144">
        <f>0+'táj.1'!F117</f>
        <v>0</v>
      </c>
      <c r="G117" s="144">
        <f>0+'táj.1'!G117</f>
        <v>0</v>
      </c>
      <c r="H117" s="144">
        <f>593+'táj.1'!H117</f>
        <v>593</v>
      </c>
      <c r="I117" s="144">
        <f>0+'táj.1'!I117</f>
        <v>0</v>
      </c>
      <c r="J117" s="144">
        <f>0+'táj.1'!J117</f>
        <v>0</v>
      </c>
      <c r="K117" s="144">
        <f>0+'táj.1'!K117</f>
        <v>0</v>
      </c>
      <c r="L117" s="144">
        <f>0+'táj.1'!L117</f>
        <v>0</v>
      </c>
      <c r="M117" s="144">
        <f>0+'táj.1'!M117</f>
        <v>0</v>
      </c>
      <c r="N117" s="144">
        <f>0+'táj.1'!N117</f>
        <v>0</v>
      </c>
      <c r="O117" s="136">
        <f>SUM(E117:N117)</f>
        <v>593</v>
      </c>
    </row>
    <row r="118" spans="1:15" s="135" customFormat="1" ht="14.25" customHeight="1">
      <c r="A118" s="137"/>
      <c r="B118" s="137"/>
      <c r="C118" s="176" t="s">
        <v>148</v>
      </c>
      <c r="D118" s="137"/>
      <c r="E118" s="149">
        <f>SUM(E111:E117)</f>
        <v>0</v>
      </c>
      <c r="F118" s="149">
        <f aca="true" t="shared" si="7" ref="F118:O118">SUM(F111:F117)</f>
        <v>0</v>
      </c>
      <c r="G118" s="149">
        <f t="shared" si="7"/>
        <v>6500</v>
      </c>
      <c r="H118" s="149">
        <f t="shared" si="7"/>
        <v>68450</v>
      </c>
      <c r="I118" s="149">
        <f t="shared" si="7"/>
        <v>0</v>
      </c>
      <c r="J118" s="149">
        <f t="shared" si="7"/>
        <v>0</v>
      </c>
      <c r="K118" s="149">
        <f t="shared" si="7"/>
        <v>0</v>
      </c>
      <c r="L118" s="149">
        <f t="shared" si="7"/>
        <v>0</v>
      </c>
      <c r="M118" s="149">
        <f t="shared" si="7"/>
        <v>0</v>
      </c>
      <c r="N118" s="149">
        <f t="shared" si="7"/>
        <v>0</v>
      </c>
      <c r="O118" s="149">
        <f t="shared" si="7"/>
        <v>74950</v>
      </c>
    </row>
    <row r="119" spans="1:15" s="135" customFormat="1" ht="12" customHeight="1">
      <c r="A119" s="1">
        <v>1</v>
      </c>
      <c r="B119" s="1">
        <v>19</v>
      </c>
      <c r="C119" s="430" t="s">
        <v>1282</v>
      </c>
      <c r="D119" s="490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</row>
    <row r="120" spans="1:15" s="135" customFormat="1" ht="26.25" customHeight="1">
      <c r="A120" s="1"/>
      <c r="B120" s="1"/>
      <c r="C120" s="439" t="s">
        <v>98</v>
      </c>
      <c r="D120" s="504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</row>
    <row r="121" spans="1:16" s="135" customFormat="1" ht="24.75" customHeight="1">
      <c r="A121" s="1"/>
      <c r="B121" s="1"/>
      <c r="C121" s="217" t="s">
        <v>1113</v>
      </c>
      <c r="D121" s="505">
        <v>196911</v>
      </c>
      <c r="E121" s="144">
        <f>0+'táj.1'!E121</f>
        <v>0</v>
      </c>
      <c r="F121" s="144">
        <f>0+'táj.1'!F121</f>
        <v>0</v>
      </c>
      <c r="G121" s="144">
        <f>0+'táj.1'!G121</f>
        <v>0</v>
      </c>
      <c r="H121" s="144">
        <f>0+'táj.1'!H121</f>
        <v>0</v>
      </c>
      <c r="I121" s="144">
        <f>0+'táj.1'!I121</f>
        <v>0</v>
      </c>
      <c r="J121" s="144">
        <f>0+'táj.1'!J121</f>
        <v>0</v>
      </c>
      <c r="K121" s="144">
        <f>0+'táj.1'!K121</f>
        <v>0</v>
      </c>
      <c r="L121" s="144">
        <f>82780+'táj.1'!L121</f>
        <v>82780</v>
      </c>
      <c r="M121" s="144">
        <f>0+'táj.1'!M121</f>
        <v>0</v>
      </c>
      <c r="N121" s="144">
        <f>0+'táj.1'!N121</f>
        <v>0</v>
      </c>
      <c r="O121" s="136">
        <f>SUM(E121:N121)</f>
        <v>82780</v>
      </c>
      <c r="P121" s="151"/>
    </row>
    <row r="122" spans="1:16" s="135" customFormat="1" ht="36.75" customHeight="1">
      <c r="A122" s="1"/>
      <c r="B122" s="1"/>
      <c r="C122" s="217" t="s">
        <v>619</v>
      </c>
      <c r="D122" s="505">
        <v>196912</v>
      </c>
      <c r="E122" s="144">
        <f>0+'táj.1'!E122</f>
        <v>0</v>
      </c>
      <c r="F122" s="144">
        <f>0+'táj.1'!F122</f>
        <v>0</v>
      </c>
      <c r="G122" s="144">
        <f>0+'táj.1'!G122</f>
        <v>0</v>
      </c>
      <c r="H122" s="144">
        <f>0+'táj.1'!H122</f>
        <v>0</v>
      </c>
      <c r="I122" s="144">
        <f>0+'táj.1'!I122</f>
        <v>0</v>
      </c>
      <c r="J122" s="144">
        <f>0+'táj.1'!J122</f>
        <v>0</v>
      </c>
      <c r="K122" s="144">
        <f>0+'táj.1'!K122</f>
        <v>0</v>
      </c>
      <c r="L122" s="144">
        <f>950000+'táj.1'!L122</f>
        <v>950000</v>
      </c>
      <c r="M122" s="144">
        <f>0+'táj.1'!M122</f>
        <v>0</v>
      </c>
      <c r="N122" s="144">
        <f>0+'táj.1'!N122</f>
        <v>0</v>
      </c>
      <c r="O122" s="136">
        <f>SUM(E122:N122)</f>
        <v>950000</v>
      </c>
      <c r="P122" s="151"/>
    </row>
    <row r="123" spans="1:15" s="135" customFormat="1" ht="24.75" customHeight="1">
      <c r="A123" s="1"/>
      <c r="B123" s="1"/>
      <c r="C123" s="216" t="s">
        <v>57</v>
      </c>
      <c r="D123" s="491"/>
      <c r="E123" s="144"/>
      <c r="F123" s="144"/>
      <c r="G123" s="144"/>
      <c r="H123" s="136"/>
      <c r="I123" s="136"/>
      <c r="J123" s="136"/>
      <c r="K123" s="136"/>
      <c r="L123" s="140"/>
      <c r="M123" s="140"/>
      <c r="N123" s="136"/>
      <c r="O123" s="136"/>
    </row>
    <row r="124" spans="1:15" s="135" customFormat="1" ht="12.75">
      <c r="A124" s="1" t="s">
        <v>1283</v>
      </c>
      <c r="B124" s="1"/>
      <c r="C124" s="173" t="s">
        <v>149</v>
      </c>
      <c r="D124" s="502">
        <v>191102</v>
      </c>
      <c r="E124" s="144">
        <f>0+'táj.1'!E124</f>
        <v>0</v>
      </c>
      <c r="F124" s="144">
        <f>0+'táj.1'!F124</f>
        <v>0</v>
      </c>
      <c r="G124" s="144">
        <f>0+'táj.1'!G124</f>
        <v>0</v>
      </c>
      <c r="H124" s="144">
        <f>5000+'táj.1'!H124</f>
        <v>5000</v>
      </c>
      <c r="I124" s="144">
        <f>0+'táj.1'!I124</f>
        <v>0</v>
      </c>
      <c r="J124" s="144">
        <f>0+'táj.1'!J124</f>
        <v>0</v>
      </c>
      <c r="K124" s="144">
        <f>0+'táj.1'!K124</f>
        <v>0</v>
      </c>
      <c r="L124" s="144">
        <f>0+'táj.1'!L124</f>
        <v>0</v>
      </c>
      <c r="M124" s="144">
        <f>0+'táj.1'!M124</f>
        <v>0</v>
      </c>
      <c r="N124" s="144">
        <f>0+'táj.1'!N124</f>
        <v>0</v>
      </c>
      <c r="O124" s="136">
        <f aca="true" t="shared" si="8" ref="O124:O130">SUM(E124:N124)</f>
        <v>5000</v>
      </c>
    </row>
    <row r="125" spans="1:16" s="135" customFormat="1" ht="12.75">
      <c r="A125" s="1"/>
      <c r="B125" s="1"/>
      <c r="C125" s="274" t="s">
        <v>124</v>
      </c>
      <c r="D125" s="506">
        <v>191103</v>
      </c>
      <c r="E125" s="144">
        <f>0+'táj.1'!E125</f>
        <v>0</v>
      </c>
      <c r="F125" s="144">
        <f>0+'táj.1'!F125</f>
        <v>0</v>
      </c>
      <c r="G125" s="144">
        <f>0+'táj.1'!G125</f>
        <v>0</v>
      </c>
      <c r="H125" s="144">
        <f>279888+'táj.1'!H125</f>
        <v>302328</v>
      </c>
      <c r="I125" s="144">
        <f>0+'táj.1'!I125</f>
        <v>0</v>
      </c>
      <c r="J125" s="144">
        <f>0+'táj.1'!J125</f>
        <v>0</v>
      </c>
      <c r="K125" s="144">
        <f>0+'táj.1'!K125</f>
        <v>0</v>
      </c>
      <c r="L125" s="144">
        <f>0+'táj.1'!L125</f>
        <v>0</v>
      </c>
      <c r="M125" s="144">
        <f>0+'táj.1'!M125</f>
        <v>0</v>
      </c>
      <c r="N125" s="144">
        <f>0+'táj.1'!N125</f>
        <v>0</v>
      </c>
      <c r="O125" s="136">
        <f t="shared" si="8"/>
        <v>302328</v>
      </c>
      <c r="P125" s="151"/>
    </row>
    <row r="126" spans="1:16" s="135" customFormat="1" ht="25.5">
      <c r="A126" s="1"/>
      <c r="B126" s="1"/>
      <c r="C126" s="174" t="s">
        <v>586</v>
      </c>
      <c r="D126" s="498">
        <v>191196</v>
      </c>
      <c r="E126" s="144">
        <f>0+'táj.1'!E126</f>
        <v>0</v>
      </c>
      <c r="F126" s="144">
        <f>0+'táj.1'!F126</f>
        <v>0</v>
      </c>
      <c r="G126" s="144">
        <f>0+'táj.1'!G126</f>
        <v>0</v>
      </c>
      <c r="H126" s="144">
        <f>0+'táj.1'!H126</f>
        <v>0</v>
      </c>
      <c r="I126" s="144">
        <f>0+'táj.1'!I126</f>
        <v>0</v>
      </c>
      <c r="J126" s="144">
        <f>0+'táj.1'!J126</f>
        <v>0</v>
      </c>
      <c r="K126" s="144">
        <f>0+'táj.1'!K126</f>
        <v>0</v>
      </c>
      <c r="L126" s="144">
        <f>0+'táj.1'!L126</f>
        <v>0</v>
      </c>
      <c r="M126" s="144">
        <f>1360951+'táj.1'!M126</f>
        <v>1360951</v>
      </c>
      <c r="N126" s="144">
        <f>0+'táj.1'!N126</f>
        <v>0</v>
      </c>
      <c r="O126" s="136">
        <f t="shared" si="8"/>
        <v>1360951</v>
      </c>
      <c r="P126" s="151"/>
    </row>
    <row r="127" spans="1:16" s="135" customFormat="1" ht="25.5">
      <c r="A127" s="1"/>
      <c r="B127" s="1"/>
      <c r="C127" s="174" t="s">
        <v>853</v>
      </c>
      <c r="D127" s="497">
        <v>191196</v>
      </c>
      <c r="E127" s="144">
        <f>0+'táj.1'!E127</f>
        <v>0</v>
      </c>
      <c r="F127" s="144">
        <f>0+'táj.1'!F127</f>
        <v>0</v>
      </c>
      <c r="G127" s="144">
        <f>0+'táj.1'!G127</f>
        <v>0</v>
      </c>
      <c r="H127" s="144">
        <f>0+'táj.1'!H127</f>
        <v>0</v>
      </c>
      <c r="I127" s="144">
        <f>0+'táj.1'!I127</f>
        <v>0</v>
      </c>
      <c r="J127" s="144">
        <f>0+'táj.1'!J127</f>
        <v>0</v>
      </c>
      <c r="K127" s="144">
        <f>0+'táj.1'!K127</f>
        <v>0</v>
      </c>
      <c r="L127" s="144">
        <f>0+'táj.1'!L127</f>
        <v>0</v>
      </c>
      <c r="M127" s="144">
        <f>340736+'táj.1'!M127</f>
        <v>340736</v>
      </c>
      <c r="N127" s="144">
        <f>0+'táj.1'!N127</f>
        <v>0</v>
      </c>
      <c r="O127" s="136">
        <f t="shared" si="8"/>
        <v>340736</v>
      </c>
      <c r="P127" s="151"/>
    </row>
    <row r="128" spans="1:16" s="135" customFormat="1" ht="25.5">
      <c r="A128" s="1"/>
      <c r="B128" s="1"/>
      <c r="C128" s="174" t="s">
        <v>588</v>
      </c>
      <c r="D128" s="497">
        <v>191198</v>
      </c>
      <c r="E128" s="144">
        <f>0+'táj.1'!E128</f>
        <v>0</v>
      </c>
      <c r="F128" s="144">
        <f>0+'táj.1'!F128</f>
        <v>0</v>
      </c>
      <c r="G128" s="144">
        <f>0+'táj.1'!G128</f>
        <v>0</v>
      </c>
      <c r="H128" s="144">
        <f>0+'táj.1'!H128</f>
        <v>0</v>
      </c>
      <c r="I128" s="144">
        <f>0+'táj.1'!I128</f>
        <v>0</v>
      </c>
      <c r="J128" s="144">
        <f>0+'táj.1'!J128</f>
        <v>0</v>
      </c>
      <c r="K128" s="144">
        <f>0+'táj.1'!K128</f>
        <v>0</v>
      </c>
      <c r="L128" s="144">
        <f>0+'táj.1'!L128</f>
        <v>0</v>
      </c>
      <c r="M128" s="144">
        <f>981960+'táj.1'!M128</f>
        <v>981960</v>
      </c>
      <c r="N128" s="144">
        <f>0+'táj.1'!N128</f>
        <v>0</v>
      </c>
      <c r="O128" s="136">
        <f t="shared" si="8"/>
        <v>981960</v>
      </c>
      <c r="P128" s="151"/>
    </row>
    <row r="129" spans="1:16" s="135" customFormat="1" ht="12.75">
      <c r="A129" s="1"/>
      <c r="B129" s="1"/>
      <c r="C129" s="217" t="s">
        <v>1171</v>
      </c>
      <c r="D129" s="505">
        <v>191193</v>
      </c>
      <c r="E129" s="144">
        <f>0+'táj.1'!E129</f>
        <v>0</v>
      </c>
      <c r="F129" s="144">
        <f>0+'táj.1'!F129</f>
        <v>0</v>
      </c>
      <c r="G129" s="144">
        <f>0+'táj.1'!G129</f>
        <v>0</v>
      </c>
      <c r="H129" s="144">
        <f>0+'táj.1'!H129</f>
        <v>0</v>
      </c>
      <c r="I129" s="144">
        <f>0+'táj.1'!I129</f>
        <v>0</v>
      </c>
      <c r="J129" s="144">
        <f>14500+'táj.1'!J129</f>
        <v>14500</v>
      </c>
      <c r="K129" s="144">
        <f>0+'táj.1'!K129</f>
        <v>0</v>
      </c>
      <c r="L129" s="144">
        <f>0+'táj.1'!L129</f>
        <v>0</v>
      </c>
      <c r="M129" s="144">
        <f>0+'táj.1'!M129</f>
        <v>0</v>
      </c>
      <c r="N129" s="144">
        <f>0+'táj.1'!N129</f>
        <v>0</v>
      </c>
      <c r="O129" s="136">
        <f t="shared" si="8"/>
        <v>14500</v>
      </c>
      <c r="P129" s="151"/>
    </row>
    <row r="130" spans="1:16" s="135" customFormat="1" ht="12.75">
      <c r="A130" s="1"/>
      <c r="B130" s="1"/>
      <c r="C130" s="217" t="s">
        <v>1172</v>
      </c>
      <c r="D130" s="505">
        <v>191116</v>
      </c>
      <c r="E130" s="144">
        <f>1545+'táj.1'!E130</f>
        <v>1545</v>
      </c>
      <c r="F130" s="144">
        <f>0+'táj.1'!F130</f>
        <v>0</v>
      </c>
      <c r="G130" s="144">
        <f>0+'táj.1'!G130</f>
        <v>0</v>
      </c>
      <c r="H130" s="144">
        <f>0+'táj.1'!H130</f>
        <v>0</v>
      </c>
      <c r="I130" s="144">
        <f>0+'táj.1'!I130</f>
        <v>0</v>
      </c>
      <c r="J130" s="144">
        <f>0+'táj.1'!J130</f>
        <v>0</v>
      </c>
      <c r="K130" s="144">
        <f>0+'táj.1'!K130</f>
        <v>0</v>
      </c>
      <c r="L130" s="144">
        <f>0+'táj.1'!L130</f>
        <v>0</v>
      </c>
      <c r="M130" s="144">
        <f>0+'táj.1'!M130</f>
        <v>0</v>
      </c>
      <c r="N130" s="144">
        <f>0+'táj.1'!N130</f>
        <v>0</v>
      </c>
      <c r="O130" s="136">
        <f t="shared" si="8"/>
        <v>1545</v>
      </c>
      <c r="P130" s="151"/>
    </row>
    <row r="131" spans="1:15" s="135" customFormat="1" ht="24.75" customHeight="1">
      <c r="A131" s="1"/>
      <c r="B131" s="1"/>
      <c r="C131" s="174" t="s">
        <v>1095</v>
      </c>
      <c r="D131" s="498"/>
      <c r="E131" s="144"/>
      <c r="F131" s="136"/>
      <c r="G131" s="136"/>
      <c r="H131" s="136"/>
      <c r="I131" s="136"/>
      <c r="J131" s="147"/>
      <c r="K131" s="136"/>
      <c r="L131" s="136"/>
      <c r="M131" s="136"/>
      <c r="N131" s="136"/>
      <c r="O131" s="136"/>
    </row>
    <row r="132" spans="1:15" s="135" customFormat="1" ht="25.5">
      <c r="A132" s="1"/>
      <c r="B132" s="1"/>
      <c r="C132" s="206" t="s">
        <v>462</v>
      </c>
      <c r="D132" s="63">
        <v>191901</v>
      </c>
      <c r="E132" s="144">
        <f>5924+'táj.1'!E132</f>
        <v>5925</v>
      </c>
      <c r="F132" s="144">
        <f>0+'táj.1'!F132</f>
        <v>0</v>
      </c>
      <c r="G132" s="144">
        <f>0+'táj.1'!G132</f>
        <v>0</v>
      </c>
      <c r="H132" s="144">
        <f>0+'táj.1'!H132</f>
        <v>0</v>
      </c>
      <c r="I132" s="144">
        <f>0+'táj.1'!I132</f>
        <v>0</v>
      </c>
      <c r="J132" s="144">
        <f>0+'táj.1'!J132</f>
        <v>0</v>
      </c>
      <c r="K132" s="144">
        <f>0+'táj.1'!K132</f>
        <v>0</v>
      </c>
      <c r="L132" s="144">
        <f>0+'táj.1'!L132</f>
        <v>0</v>
      </c>
      <c r="M132" s="144">
        <f>0+'táj.1'!M132</f>
        <v>0</v>
      </c>
      <c r="N132" s="144">
        <f>0+'táj.1'!N132</f>
        <v>0</v>
      </c>
      <c r="O132" s="136">
        <f aca="true" t="shared" si="9" ref="O132:O154">SUM(E132:N132)</f>
        <v>5925</v>
      </c>
    </row>
    <row r="133" spans="1:15" s="135" customFormat="1" ht="25.5">
      <c r="A133" s="1"/>
      <c r="B133" s="1"/>
      <c r="C133" s="206" t="s">
        <v>463</v>
      </c>
      <c r="D133" s="63">
        <v>191901</v>
      </c>
      <c r="E133" s="144">
        <f>908092+'táj.1'!E133</f>
        <v>908092</v>
      </c>
      <c r="F133" s="144">
        <f>0+'táj.1'!F133</f>
        <v>0</v>
      </c>
      <c r="G133" s="144">
        <f>0+'táj.1'!G133</f>
        <v>0</v>
      </c>
      <c r="H133" s="144">
        <f>0+'táj.1'!H133</f>
        <v>0</v>
      </c>
      <c r="I133" s="144">
        <f>0+'táj.1'!I133</f>
        <v>0</v>
      </c>
      <c r="J133" s="144">
        <f>0+'táj.1'!J133</f>
        <v>0</v>
      </c>
      <c r="K133" s="144">
        <f>0+'táj.1'!K133</f>
        <v>0</v>
      </c>
      <c r="L133" s="144">
        <f>0+'táj.1'!L133</f>
        <v>0</v>
      </c>
      <c r="M133" s="144">
        <f>0+'táj.1'!M133</f>
        <v>0</v>
      </c>
      <c r="N133" s="144">
        <f>0+'táj.1'!N133</f>
        <v>0</v>
      </c>
      <c r="O133" s="136">
        <f t="shared" si="9"/>
        <v>908092</v>
      </c>
    </row>
    <row r="134" spans="1:17" s="135" customFormat="1" ht="24" customHeight="1">
      <c r="A134" s="1"/>
      <c r="B134" s="1"/>
      <c r="C134" s="206" t="s">
        <v>464</v>
      </c>
      <c r="D134" s="63">
        <v>191901</v>
      </c>
      <c r="E134" s="144">
        <f>840415+'táj.1'!E134</f>
        <v>842025</v>
      </c>
      <c r="F134" s="144">
        <f>0+'táj.1'!F134</f>
        <v>0</v>
      </c>
      <c r="G134" s="144">
        <f>0+'táj.1'!G134</f>
        <v>0</v>
      </c>
      <c r="H134" s="144">
        <f>0+'táj.1'!H134</f>
        <v>0</v>
      </c>
      <c r="I134" s="144">
        <f>0+'táj.1'!I134</f>
        <v>0</v>
      </c>
      <c r="J134" s="144">
        <f>0+'táj.1'!J134</f>
        <v>0</v>
      </c>
      <c r="K134" s="144">
        <f>0+'táj.1'!K134</f>
        <v>0</v>
      </c>
      <c r="L134" s="144">
        <f>0+'táj.1'!L134</f>
        <v>0</v>
      </c>
      <c r="M134" s="144">
        <f>0+'táj.1'!M134</f>
        <v>0</v>
      </c>
      <c r="N134" s="144">
        <f>0+'táj.1'!N134</f>
        <v>0</v>
      </c>
      <c r="O134" s="136">
        <f t="shared" si="9"/>
        <v>842025</v>
      </c>
      <c r="Q134" s="151"/>
    </row>
    <row r="135" spans="1:16" s="135" customFormat="1" ht="24" customHeight="1">
      <c r="A135" s="1"/>
      <c r="B135" s="1"/>
      <c r="C135" s="206" t="s">
        <v>465</v>
      </c>
      <c r="D135" s="63">
        <v>191901</v>
      </c>
      <c r="E135" s="144">
        <f>664199+'táj.1'!E135</f>
        <v>664199</v>
      </c>
      <c r="F135" s="144">
        <f>0+'táj.1'!F135</f>
        <v>0</v>
      </c>
      <c r="G135" s="144">
        <f>0+'táj.1'!G135</f>
        <v>0</v>
      </c>
      <c r="H135" s="144">
        <f>0+'táj.1'!H135</f>
        <v>0</v>
      </c>
      <c r="I135" s="144">
        <f>0+'táj.1'!I135</f>
        <v>0</v>
      </c>
      <c r="J135" s="144">
        <f>0+'táj.1'!J135</f>
        <v>0</v>
      </c>
      <c r="K135" s="144">
        <f>0+'táj.1'!K135</f>
        <v>0</v>
      </c>
      <c r="L135" s="144">
        <f>0+'táj.1'!L135</f>
        <v>0</v>
      </c>
      <c r="M135" s="144">
        <f>0+'táj.1'!M135</f>
        <v>0</v>
      </c>
      <c r="N135" s="144">
        <f>0+'táj.1'!N135</f>
        <v>0</v>
      </c>
      <c r="O135" s="136">
        <f t="shared" si="9"/>
        <v>664199</v>
      </c>
      <c r="P135" s="194"/>
    </row>
    <row r="136" spans="1:16" s="135" customFormat="1" ht="24" customHeight="1">
      <c r="A136" s="1"/>
      <c r="B136" s="1"/>
      <c r="C136" s="206" t="s">
        <v>944</v>
      </c>
      <c r="D136" s="63">
        <v>191901</v>
      </c>
      <c r="E136" s="144">
        <f>82427+'táj.1'!E136</f>
        <v>84284</v>
      </c>
      <c r="F136" s="144">
        <f>950000+'táj.1'!F136</f>
        <v>950000</v>
      </c>
      <c r="G136" s="144">
        <f>0+'táj.1'!G136</f>
        <v>0</v>
      </c>
      <c r="H136" s="144">
        <f>0+'táj.1'!H136</f>
        <v>0</v>
      </c>
      <c r="I136" s="144">
        <f>0+'táj.1'!I136</f>
        <v>0</v>
      </c>
      <c r="J136" s="144">
        <f>0+'táj.1'!J136</f>
        <v>0</v>
      </c>
      <c r="K136" s="144">
        <f>0+'táj.1'!K136</f>
        <v>0</v>
      </c>
      <c r="L136" s="144">
        <f>0+'táj.1'!L136</f>
        <v>0</v>
      </c>
      <c r="M136" s="144">
        <f>0+'táj.1'!M136</f>
        <v>0</v>
      </c>
      <c r="N136" s="144">
        <f>0+'táj.1'!N136</f>
        <v>0</v>
      </c>
      <c r="O136" s="136">
        <f t="shared" si="9"/>
        <v>1034284</v>
      </c>
      <c r="P136" s="194"/>
    </row>
    <row r="137" spans="1:16" s="135" customFormat="1" ht="24" customHeight="1">
      <c r="A137" s="1"/>
      <c r="B137" s="1"/>
      <c r="C137" s="206" t="s">
        <v>1173</v>
      </c>
      <c r="D137" s="63">
        <v>191901</v>
      </c>
      <c r="E137" s="144">
        <f>2929+'táj.1'!E137</f>
        <v>2929</v>
      </c>
      <c r="F137" s="144">
        <f>0+'táj.1'!F137</f>
        <v>0</v>
      </c>
      <c r="G137" s="144">
        <f>0+'táj.1'!G137</f>
        <v>0</v>
      </c>
      <c r="H137" s="144">
        <f>0+'táj.1'!H137</f>
        <v>0</v>
      </c>
      <c r="I137" s="144">
        <f>0+'táj.1'!I137</f>
        <v>0</v>
      </c>
      <c r="J137" s="144">
        <f>0+'táj.1'!J137</f>
        <v>0</v>
      </c>
      <c r="K137" s="144">
        <f>0+'táj.1'!K137</f>
        <v>0</v>
      </c>
      <c r="L137" s="144">
        <f>0+'táj.1'!L137</f>
        <v>0</v>
      </c>
      <c r="M137" s="144">
        <f>0+'táj.1'!M137</f>
        <v>0</v>
      </c>
      <c r="N137" s="144">
        <f>0+'táj.1'!N137</f>
        <v>0</v>
      </c>
      <c r="O137" s="136">
        <f t="shared" si="9"/>
        <v>2929</v>
      </c>
      <c r="P137" s="194"/>
    </row>
    <row r="138" spans="1:16" s="135" customFormat="1" ht="17.25" customHeight="1">
      <c r="A138" s="1"/>
      <c r="B138" s="1"/>
      <c r="C138" s="206" t="s">
        <v>827</v>
      </c>
      <c r="D138" s="63">
        <v>191901</v>
      </c>
      <c r="E138" s="144">
        <f>0+'táj.1'!E138</f>
        <v>0</v>
      </c>
      <c r="F138" s="144">
        <f>62+'táj.1'!F138</f>
        <v>62</v>
      </c>
      <c r="G138" s="144">
        <f>0+'táj.1'!G138</f>
        <v>0</v>
      </c>
      <c r="H138" s="144">
        <f>0+'táj.1'!H138</f>
        <v>0</v>
      </c>
      <c r="I138" s="144">
        <f>0+'táj.1'!I138</f>
        <v>0</v>
      </c>
      <c r="J138" s="144">
        <f>0+'táj.1'!J138</f>
        <v>0</v>
      </c>
      <c r="K138" s="144">
        <f>0+'táj.1'!K138</f>
        <v>0</v>
      </c>
      <c r="L138" s="144">
        <f>0+'táj.1'!L138</f>
        <v>0</v>
      </c>
      <c r="M138" s="144">
        <f>0+'táj.1'!M138</f>
        <v>0</v>
      </c>
      <c r="N138" s="144">
        <f>0+'táj.1'!N138</f>
        <v>0</v>
      </c>
      <c r="O138" s="136">
        <f t="shared" si="9"/>
        <v>62</v>
      </c>
      <c r="P138" s="194"/>
    </row>
    <row r="139" spans="1:16" s="135" customFormat="1" ht="24.75" customHeight="1">
      <c r="A139" s="1"/>
      <c r="B139" s="1"/>
      <c r="C139" s="174" t="s">
        <v>192</v>
      </c>
      <c r="D139" s="498"/>
      <c r="E139" s="144"/>
      <c r="F139" s="136"/>
      <c r="G139" s="136"/>
      <c r="H139" s="136"/>
      <c r="I139" s="136"/>
      <c r="J139" s="140"/>
      <c r="K139" s="136"/>
      <c r="L139" s="136"/>
      <c r="M139" s="136"/>
      <c r="N139" s="136"/>
      <c r="O139" s="136"/>
      <c r="P139" s="194"/>
    </row>
    <row r="140" spans="1:15" s="135" customFormat="1" ht="13.5" customHeight="1">
      <c r="A140" s="1"/>
      <c r="B140" s="1"/>
      <c r="C140" s="173" t="s">
        <v>120</v>
      </c>
      <c r="D140" s="502">
        <v>191901</v>
      </c>
      <c r="E140" s="144">
        <f>0+'táj.1'!E140</f>
        <v>0</v>
      </c>
      <c r="F140" s="144">
        <f>0+'táj.1'!F140</f>
        <v>0</v>
      </c>
      <c r="G140" s="144">
        <f>4220000+'táj.1'!G140</f>
        <v>4220000</v>
      </c>
      <c r="H140" s="144">
        <f>0+'táj.1'!H140</f>
        <v>0</v>
      </c>
      <c r="I140" s="144">
        <f>0+'táj.1'!I140</f>
        <v>0</v>
      </c>
      <c r="J140" s="144">
        <f>0+'táj.1'!J140</f>
        <v>0</v>
      </c>
      <c r="K140" s="144">
        <f>0+'táj.1'!K140</f>
        <v>0</v>
      </c>
      <c r="L140" s="144">
        <f>0+'táj.1'!L140</f>
        <v>0</v>
      </c>
      <c r="M140" s="144">
        <f>0+'táj.1'!M140</f>
        <v>0</v>
      </c>
      <c r="N140" s="144">
        <f>0+'táj.1'!N140</f>
        <v>0</v>
      </c>
      <c r="O140" s="136">
        <f t="shared" si="9"/>
        <v>4220000</v>
      </c>
    </row>
    <row r="141" spans="1:15" s="135" customFormat="1" ht="13.5" customHeight="1">
      <c r="A141" s="1"/>
      <c r="B141" s="1"/>
      <c r="C141" s="173" t="s">
        <v>121</v>
      </c>
      <c r="D141" s="502">
        <v>191901</v>
      </c>
      <c r="E141" s="144">
        <f>0+'táj.1'!E141</f>
        <v>0</v>
      </c>
      <c r="F141" s="144">
        <f>0+'táj.1'!F141</f>
        <v>0</v>
      </c>
      <c r="G141" s="144">
        <f>228000+'táj.1'!G141</f>
        <v>228000</v>
      </c>
      <c r="H141" s="144">
        <f>0+'táj.1'!H141</f>
        <v>0</v>
      </c>
      <c r="I141" s="144">
        <f>0+'táj.1'!I141</f>
        <v>0</v>
      </c>
      <c r="J141" s="144">
        <f>0+'táj.1'!J141</f>
        <v>0</v>
      </c>
      <c r="K141" s="144">
        <f>0+'táj.1'!K141</f>
        <v>0</v>
      </c>
      <c r="L141" s="144">
        <f>0+'táj.1'!L141</f>
        <v>0</v>
      </c>
      <c r="M141" s="144">
        <f>0+'táj.1'!M141</f>
        <v>0</v>
      </c>
      <c r="N141" s="144">
        <f>0+'táj.1'!N141</f>
        <v>0</v>
      </c>
      <c r="O141" s="136">
        <f t="shared" si="9"/>
        <v>228000</v>
      </c>
    </row>
    <row r="142" spans="1:15" s="135" customFormat="1" ht="13.5" customHeight="1">
      <c r="A142" s="1"/>
      <c r="B142" s="1"/>
      <c r="C142" s="173" t="s">
        <v>122</v>
      </c>
      <c r="D142" s="502">
        <v>191901</v>
      </c>
      <c r="E142" s="144">
        <f>0+'táj.1'!E142</f>
        <v>0</v>
      </c>
      <c r="F142" s="144">
        <f>0+'táj.1'!F142</f>
        <v>0</v>
      </c>
      <c r="G142" s="144">
        <f>15000+'táj.1'!G142</f>
        <v>15000</v>
      </c>
      <c r="H142" s="144">
        <f>0+'táj.1'!H142</f>
        <v>0</v>
      </c>
      <c r="I142" s="144">
        <f>0+'táj.1'!I142</f>
        <v>0</v>
      </c>
      <c r="J142" s="144">
        <f>0+'táj.1'!J142</f>
        <v>0</v>
      </c>
      <c r="K142" s="144">
        <f>0+'táj.1'!K142</f>
        <v>0</v>
      </c>
      <c r="L142" s="144">
        <f>0+'táj.1'!L142</f>
        <v>0</v>
      </c>
      <c r="M142" s="144">
        <f>0+'táj.1'!M142</f>
        <v>0</v>
      </c>
      <c r="N142" s="144">
        <f>0+'táj.1'!N142</f>
        <v>0</v>
      </c>
      <c r="O142" s="136">
        <f t="shared" si="9"/>
        <v>15000</v>
      </c>
    </row>
    <row r="143" spans="1:15" s="135" customFormat="1" ht="13.5" customHeight="1">
      <c r="A143" s="1"/>
      <c r="B143" s="1"/>
      <c r="C143" s="173" t="s">
        <v>123</v>
      </c>
      <c r="D143" s="502">
        <v>191901</v>
      </c>
      <c r="E143" s="144">
        <f>0+'táj.1'!E143</f>
        <v>0</v>
      </c>
      <c r="F143" s="144">
        <f>0+'táj.1'!F143</f>
        <v>0</v>
      </c>
      <c r="G143" s="144">
        <f>5000+'táj.1'!G143</f>
        <v>5000</v>
      </c>
      <c r="H143" s="144">
        <f>0+'táj.1'!H143</f>
        <v>0</v>
      </c>
      <c r="I143" s="144">
        <f>0+'táj.1'!I143</f>
        <v>0</v>
      </c>
      <c r="J143" s="144">
        <f>0+'táj.1'!J143</f>
        <v>0</v>
      </c>
      <c r="K143" s="144">
        <f>0+'táj.1'!K143</f>
        <v>0</v>
      </c>
      <c r="L143" s="144">
        <f>0+'táj.1'!L143</f>
        <v>0</v>
      </c>
      <c r="M143" s="144">
        <f>0+'táj.1'!M143</f>
        <v>0</v>
      </c>
      <c r="N143" s="144">
        <f>0+'táj.1'!N143</f>
        <v>0</v>
      </c>
      <c r="O143" s="136">
        <f t="shared" si="9"/>
        <v>5000</v>
      </c>
    </row>
    <row r="144" spans="1:15" s="135" customFormat="1" ht="13.5" customHeight="1">
      <c r="A144" s="1"/>
      <c r="B144" s="1"/>
      <c r="C144" s="173" t="s">
        <v>580</v>
      </c>
      <c r="D144" s="502">
        <v>191901</v>
      </c>
      <c r="E144" s="144">
        <f>0+'táj.1'!E144</f>
        <v>0</v>
      </c>
      <c r="F144" s="144">
        <f>0+'táj.1'!F144</f>
        <v>0</v>
      </c>
      <c r="G144" s="144">
        <f>920000+'táj.1'!G144</f>
        <v>920000</v>
      </c>
      <c r="H144" s="144">
        <f>0+'táj.1'!H144</f>
        <v>0</v>
      </c>
      <c r="I144" s="144">
        <f>0+'táj.1'!I144</f>
        <v>0</v>
      </c>
      <c r="J144" s="144">
        <f>0+'táj.1'!J144</f>
        <v>0</v>
      </c>
      <c r="K144" s="144">
        <f>0+'táj.1'!K144</f>
        <v>0</v>
      </c>
      <c r="L144" s="144">
        <f>0+'táj.1'!L144</f>
        <v>0</v>
      </c>
      <c r="M144" s="144">
        <f>0+'táj.1'!M144</f>
        <v>0</v>
      </c>
      <c r="N144" s="144">
        <f>0+'táj.1'!N144</f>
        <v>0</v>
      </c>
      <c r="O144" s="136">
        <f t="shared" si="9"/>
        <v>920000</v>
      </c>
    </row>
    <row r="145" spans="1:15" s="135" customFormat="1" ht="13.5" customHeight="1">
      <c r="A145" s="1"/>
      <c r="B145" s="1"/>
      <c r="C145" s="173" t="s">
        <v>581</v>
      </c>
      <c r="D145" s="502">
        <v>191901</v>
      </c>
      <c r="E145" s="144">
        <f>0+'táj.1'!E145</f>
        <v>0</v>
      </c>
      <c r="F145" s="144">
        <f>0+'táj.1'!F145</f>
        <v>0</v>
      </c>
      <c r="G145" s="144">
        <f>4000+'táj.1'!G145</f>
        <v>4000</v>
      </c>
      <c r="H145" s="144">
        <f>0+'táj.1'!H145</f>
        <v>0</v>
      </c>
      <c r="I145" s="144">
        <f>0+'táj.1'!I145</f>
        <v>0</v>
      </c>
      <c r="J145" s="144">
        <f>0+'táj.1'!J145</f>
        <v>0</v>
      </c>
      <c r="K145" s="144">
        <f>0+'táj.1'!K145</f>
        <v>0</v>
      </c>
      <c r="L145" s="144">
        <f>0+'táj.1'!L145</f>
        <v>0</v>
      </c>
      <c r="M145" s="144">
        <f>0+'táj.1'!M145</f>
        <v>0</v>
      </c>
      <c r="N145" s="144">
        <f>0+'táj.1'!N145</f>
        <v>0</v>
      </c>
      <c r="O145" s="136">
        <f t="shared" si="9"/>
        <v>4000</v>
      </c>
    </row>
    <row r="146" spans="1:15" s="135" customFormat="1" ht="13.5" customHeight="1">
      <c r="A146" s="1"/>
      <c r="B146" s="1"/>
      <c r="C146" s="274" t="s">
        <v>582</v>
      </c>
      <c r="D146" s="502">
        <v>191901</v>
      </c>
      <c r="E146" s="144">
        <f>0+'táj.1'!E146</f>
        <v>0</v>
      </c>
      <c r="F146" s="144">
        <f>0+'táj.1'!F146</f>
        <v>0</v>
      </c>
      <c r="G146" s="144">
        <f>150+'táj.1'!G146</f>
        <v>150</v>
      </c>
      <c r="H146" s="144">
        <f>0+'táj.1'!H146</f>
        <v>0</v>
      </c>
      <c r="I146" s="144">
        <f>0+'táj.1'!I146</f>
        <v>0</v>
      </c>
      <c r="J146" s="144">
        <f>0+'táj.1'!J146</f>
        <v>0</v>
      </c>
      <c r="K146" s="144">
        <f>0+'táj.1'!K146</f>
        <v>0</v>
      </c>
      <c r="L146" s="144">
        <f>0+'táj.1'!L146</f>
        <v>0</v>
      </c>
      <c r="M146" s="144">
        <f>0+'táj.1'!M146</f>
        <v>0</v>
      </c>
      <c r="N146" s="144">
        <f>0+'táj.1'!N146</f>
        <v>0</v>
      </c>
      <c r="O146" s="136">
        <f t="shared" si="9"/>
        <v>150</v>
      </c>
    </row>
    <row r="147" spans="1:15" s="135" customFormat="1" ht="24.75" customHeight="1">
      <c r="A147" s="1"/>
      <c r="B147" s="1"/>
      <c r="C147" s="224" t="s">
        <v>193</v>
      </c>
      <c r="D147" s="326"/>
      <c r="E147" s="144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</row>
    <row r="148" spans="1:15" s="135" customFormat="1" ht="27.75" customHeight="1">
      <c r="A148" s="1"/>
      <c r="B148" s="1"/>
      <c r="C148" s="193" t="s">
        <v>1098</v>
      </c>
      <c r="D148" s="326">
        <v>191158</v>
      </c>
      <c r="E148" s="144">
        <f>15000+'táj.1'!E148</f>
        <v>15000</v>
      </c>
      <c r="F148" s="144">
        <f>0+'táj.1'!F148</f>
        <v>0</v>
      </c>
      <c r="G148" s="144">
        <f>0+'táj.1'!G148</f>
        <v>0</v>
      </c>
      <c r="H148" s="144">
        <f>0+'táj.1'!H148</f>
        <v>0</v>
      </c>
      <c r="I148" s="144">
        <f>0+'táj.1'!I148</f>
        <v>0</v>
      </c>
      <c r="J148" s="144">
        <f>0+'táj.1'!J148</f>
        <v>0</v>
      </c>
      <c r="K148" s="144">
        <f>0+'táj.1'!K148</f>
        <v>0</v>
      </c>
      <c r="L148" s="144">
        <f>0+'táj.1'!L148</f>
        <v>0</v>
      </c>
      <c r="M148" s="144">
        <f>0+'táj.1'!M148</f>
        <v>0</v>
      </c>
      <c r="N148" s="144">
        <f>0+'táj.1'!N148</f>
        <v>0</v>
      </c>
      <c r="O148" s="136">
        <f t="shared" si="9"/>
        <v>15000</v>
      </c>
    </row>
    <row r="149" spans="1:15" s="135" customFormat="1" ht="14.25" customHeight="1">
      <c r="A149" s="1"/>
      <c r="B149" s="1"/>
      <c r="C149" s="193" t="s">
        <v>1046</v>
      </c>
      <c r="D149" s="326"/>
      <c r="E149" s="144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</row>
    <row r="150" spans="1:15" s="135" customFormat="1" ht="24.75" customHeight="1">
      <c r="A150" s="1"/>
      <c r="B150" s="1"/>
      <c r="C150" s="174" t="s">
        <v>587</v>
      </c>
      <c r="D150" s="498">
        <v>191906</v>
      </c>
      <c r="E150" s="144">
        <f>18500+'táj.1'!E150</f>
        <v>18500</v>
      </c>
      <c r="F150" s="144">
        <f>0+'táj.1'!F150</f>
        <v>0</v>
      </c>
      <c r="G150" s="144">
        <f>0+'táj.1'!G150</f>
        <v>0</v>
      </c>
      <c r="H150" s="144">
        <f>0+'táj.1'!H150</f>
        <v>0</v>
      </c>
      <c r="I150" s="144">
        <f>0+'táj.1'!I150</f>
        <v>0</v>
      </c>
      <c r="J150" s="144">
        <f>0+'táj.1'!J150</f>
        <v>0</v>
      </c>
      <c r="K150" s="144">
        <f>0+'táj.1'!K150</f>
        <v>0</v>
      </c>
      <c r="L150" s="144">
        <f>0+'táj.1'!L150</f>
        <v>0</v>
      </c>
      <c r="M150" s="144">
        <f>0+'táj.1'!M150</f>
        <v>0</v>
      </c>
      <c r="N150" s="144">
        <f>0+'táj.1'!N150</f>
        <v>0</v>
      </c>
      <c r="O150" s="136">
        <f t="shared" si="9"/>
        <v>18500</v>
      </c>
    </row>
    <row r="151" spans="1:15" s="135" customFormat="1" ht="15" customHeight="1">
      <c r="A151" s="1"/>
      <c r="B151" s="1"/>
      <c r="C151" s="217" t="s">
        <v>110</v>
      </c>
      <c r="D151" s="663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36"/>
    </row>
    <row r="152" spans="1:15" s="135" customFormat="1" ht="24.75" customHeight="1">
      <c r="A152" s="1"/>
      <c r="B152" s="1"/>
      <c r="C152" s="217" t="s">
        <v>94</v>
      </c>
      <c r="D152" s="663">
        <v>191131</v>
      </c>
      <c r="E152" s="144">
        <f>4288+'táj.1'!E152</f>
        <v>4288</v>
      </c>
      <c r="F152" s="144">
        <f>0+'táj.1'!F152</f>
        <v>0</v>
      </c>
      <c r="G152" s="144">
        <f>0+'táj.1'!G152</f>
        <v>0</v>
      </c>
      <c r="H152" s="144">
        <f>0+'táj.1'!H152</f>
        <v>0</v>
      </c>
      <c r="I152" s="144">
        <f>0+'táj.1'!I152</f>
        <v>0</v>
      </c>
      <c r="J152" s="144">
        <f>0+'táj.1'!J152</f>
        <v>0</v>
      </c>
      <c r="K152" s="144">
        <f>0+'táj.1'!K152</f>
        <v>0</v>
      </c>
      <c r="L152" s="144">
        <f>0+'táj.1'!L152</f>
        <v>0</v>
      </c>
      <c r="M152" s="144">
        <f>0+'táj.1'!M152</f>
        <v>0</v>
      </c>
      <c r="N152" s="144">
        <f>0+'táj.1'!N152</f>
        <v>0</v>
      </c>
      <c r="O152" s="136">
        <f t="shared" si="9"/>
        <v>4288</v>
      </c>
    </row>
    <row r="153" spans="1:15" s="135" customFormat="1" ht="24.75" customHeight="1">
      <c r="A153" s="1"/>
      <c r="B153" s="1"/>
      <c r="C153" s="217" t="s">
        <v>828</v>
      </c>
      <c r="D153" s="663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36"/>
    </row>
    <row r="154" spans="1:15" s="135" customFormat="1" ht="15" customHeight="1">
      <c r="A154" s="1"/>
      <c r="B154" s="1"/>
      <c r="C154" s="217" t="s">
        <v>829</v>
      </c>
      <c r="D154" s="663">
        <v>192909</v>
      </c>
      <c r="E154" s="144">
        <f>0+'táj.1'!E154</f>
        <v>0</v>
      </c>
      <c r="F154" s="144">
        <f>0+'táj.1'!F154</f>
        <v>0</v>
      </c>
      <c r="G154" s="144">
        <f>0+'táj.1'!G154</f>
        <v>0</v>
      </c>
      <c r="H154" s="144">
        <f>0+'táj.1'!H154</f>
        <v>0</v>
      </c>
      <c r="I154" s="144">
        <f>0+'táj.1'!I154</f>
        <v>0</v>
      </c>
      <c r="J154" s="144">
        <f>0+'táj.1'!J154</f>
        <v>0</v>
      </c>
      <c r="K154" s="144">
        <f>800+'táj.1'!K154</f>
        <v>800</v>
      </c>
      <c r="L154" s="144">
        <f>0+'táj.1'!L154</f>
        <v>0</v>
      </c>
      <c r="M154" s="144">
        <f>0+'táj.1'!M154</f>
        <v>0</v>
      </c>
      <c r="N154" s="144">
        <f>0+'táj.1'!N154</f>
        <v>0</v>
      </c>
      <c r="O154" s="136">
        <f t="shared" si="9"/>
        <v>800</v>
      </c>
    </row>
    <row r="155" spans="1:15" s="135" customFormat="1" ht="15.75" customHeight="1">
      <c r="A155" s="2"/>
      <c r="B155" s="137"/>
      <c r="C155" s="176" t="s">
        <v>1284</v>
      </c>
      <c r="D155" s="137"/>
      <c r="E155" s="138">
        <f>SUM(E120:E154)</f>
        <v>2546787</v>
      </c>
      <c r="F155" s="138">
        <f aca="true" t="shared" si="10" ref="F155:O155">SUM(F120:F154)</f>
        <v>950062</v>
      </c>
      <c r="G155" s="138">
        <f t="shared" si="10"/>
        <v>5392150</v>
      </c>
      <c r="H155" s="138">
        <f t="shared" si="10"/>
        <v>307328</v>
      </c>
      <c r="I155" s="138">
        <f t="shared" si="10"/>
        <v>0</v>
      </c>
      <c r="J155" s="138">
        <f t="shared" si="10"/>
        <v>14500</v>
      </c>
      <c r="K155" s="138">
        <f t="shared" si="10"/>
        <v>800</v>
      </c>
      <c r="L155" s="138">
        <f t="shared" si="10"/>
        <v>1032780</v>
      </c>
      <c r="M155" s="138">
        <f t="shared" si="10"/>
        <v>2683647</v>
      </c>
      <c r="N155" s="138">
        <f t="shared" si="10"/>
        <v>0</v>
      </c>
      <c r="O155" s="138">
        <f t="shared" si="10"/>
        <v>12928054</v>
      </c>
    </row>
    <row r="156" spans="1:15" s="135" customFormat="1" ht="27.75" customHeight="1">
      <c r="A156" s="141">
        <v>1</v>
      </c>
      <c r="B156" s="142">
        <v>20</v>
      </c>
      <c r="C156" s="162" t="s">
        <v>67</v>
      </c>
      <c r="D156" s="483"/>
      <c r="E156" s="181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</row>
    <row r="157" spans="1:15" s="135" customFormat="1" ht="15" customHeight="1">
      <c r="A157" s="2"/>
      <c r="B157" s="137"/>
      <c r="C157" s="177" t="s">
        <v>36</v>
      </c>
      <c r="D157" s="517">
        <v>201901</v>
      </c>
      <c r="E157" s="446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>
        <f>SUM(E157:N157)</f>
        <v>0</v>
      </c>
    </row>
    <row r="158" spans="1:15" s="135" customFormat="1" ht="10.5" customHeight="1">
      <c r="A158" s="141">
        <v>1</v>
      </c>
      <c r="B158" s="142">
        <v>22</v>
      </c>
      <c r="C158" s="440" t="s">
        <v>902</v>
      </c>
      <c r="D158" s="142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</row>
    <row r="159" spans="1:15" s="135" customFormat="1" ht="24.75" customHeight="1">
      <c r="A159" s="141"/>
      <c r="B159" s="142"/>
      <c r="C159" s="216" t="s">
        <v>57</v>
      </c>
      <c r="D159" s="491"/>
      <c r="E159" s="160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</row>
    <row r="160" spans="1:15" s="135" customFormat="1" ht="15" customHeight="1">
      <c r="A160" s="141"/>
      <c r="B160" s="142"/>
      <c r="C160" s="256" t="s">
        <v>487</v>
      </c>
      <c r="D160" s="172">
        <v>221903</v>
      </c>
      <c r="E160" s="64">
        <f>0+'táj.1'!E160</f>
        <v>0</v>
      </c>
      <c r="F160" s="64">
        <f>0+'táj.1'!F160</f>
        <v>0</v>
      </c>
      <c r="G160" s="64">
        <f>0+'táj.1'!G160</f>
        <v>0</v>
      </c>
      <c r="H160" s="64">
        <f>0+'táj.1'!H160</f>
        <v>0</v>
      </c>
      <c r="I160" s="64">
        <f>0+'táj.1'!I160</f>
        <v>0</v>
      </c>
      <c r="J160" s="64">
        <f>3442+'táj.1'!J160</f>
        <v>3442</v>
      </c>
      <c r="K160" s="64">
        <f>0+'táj.1'!K160</f>
        <v>0</v>
      </c>
      <c r="L160" s="64">
        <f>0+'táj.1'!L160</f>
        <v>0</v>
      </c>
      <c r="M160" s="64">
        <f>0+'táj.1'!M160</f>
        <v>0</v>
      </c>
      <c r="N160" s="64">
        <f>0+'táj.1'!N160</f>
        <v>0</v>
      </c>
      <c r="O160" s="140">
        <f aca="true" t="shared" si="11" ref="O160:O166">SUM(E160:N160)</f>
        <v>3442</v>
      </c>
    </row>
    <row r="161" spans="1:15" s="135" customFormat="1" ht="15" customHeight="1">
      <c r="A161" s="141"/>
      <c r="B161" s="142"/>
      <c r="C161" s="16" t="s">
        <v>413</v>
      </c>
      <c r="D161" s="100">
        <v>221934</v>
      </c>
      <c r="E161" s="64">
        <f>0+'táj.1'!E161</f>
        <v>0</v>
      </c>
      <c r="F161" s="64">
        <f>0+'táj.1'!F161</f>
        <v>0</v>
      </c>
      <c r="G161" s="64">
        <f>0+'táj.1'!G161</f>
        <v>0</v>
      </c>
      <c r="H161" s="64">
        <f>0+'táj.1'!H161</f>
        <v>0</v>
      </c>
      <c r="I161" s="64">
        <f>0+'táj.1'!I161</f>
        <v>0</v>
      </c>
      <c r="J161" s="64">
        <f>1000+'táj.1'!J161</f>
        <v>1000</v>
      </c>
      <c r="K161" s="64">
        <f>0+'táj.1'!K161</f>
        <v>0</v>
      </c>
      <c r="L161" s="64">
        <f>0+'táj.1'!L161</f>
        <v>0</v>
      </c>
      <c r="M161" s="64">
        <f>0+'táj.1'!M161</f>
        <v>0</v>
      </c>
      <c r="N161" s="64">
        <f>0+'táj.1'!N161</f>
        <v>0</v>
      </c>
      <c r="O161" s="140">
        <f t="shared" si="11"/>
        <v>1000</v>
      </c>
    </row>
    <row r="162" spans="1:15" s="135" customFormat="1" ht="15" customHeight="1">
      <c r="A162" s="141"/>
      <c r="B162" s="142"/>
      <c r="C162" s="16" t="s">
        <v>1174</v>
      </c>
      <c r="D162" s="172">
        <v>191110</v>
      </c>
      <c r="E162" s="64">
        <f>0+'táj.1'!E162</f>
        <v>0</v>
      </c>
      <c r="F162" s="64">
        <f>0+'táj.1'!F162</f>
        <v>0</v>
      </c>
      <c r="G162" s="64">
        <f>0+'táj.1'!G162</f>
        <v>0</v>
      </c>
      <c r="H162" s="64">
        <f>0+'táj.1'!H162</f>
        <v>0</v>
      </c>
      <c r="I162" s="64">
        <f>0+'táj.1'!I162</f>
        <v>0</v>
      </c>
      <c r="J162" s="64">
        <f>1600+'táj.1'!J162</f>
        <v>1600</v>
      </c>
      <c r="K162" s="64">
        <f>0+'táj.1'!K162</f>
        <v>0</v>
      </c>
      <c r="L162" s="64">
        <f>0+'táj.1'!L162</f>
        <v>0</v>
      </c>
      <c r="M162" s="64">
        <f>0+'táj.1'!M162</f>
        <v>0</v>
      </c>
      <c r="N162" s="64">
        <f>0+'táj.1'!N162</f>
        <v>0</v>
      </c>
      <c r="O162" s="140">
        <f t="shared" si="11"/>
        <v>1600</v>
      </c>
    </row>
    <row r="163" spans="1:15" s="135" customFormat="1" ht="15" customHeight="1">
      <c r="A163" s="141"/>
      <c r="B163" s="142"/>
      <c r="C163" s="197" t="s">
        <v>830</v>
      </c>
      <c r="D163" s="172">
        <v>222911</v>
      </c>
      <c r="E163" s="64">
        <f>0+'táj.1'!E163</f>
        <v>0</v>
      </c>
      <c r="F163" s="64">
        <f>0+'táj.1'!F163</f>
        <v>0</v>
      </c>
      <c r="G163" s="64">
        <f>0+'táj.1'!G163</f>
        <v>0</v>
      </c>
      <c r="H163" s="64">
        <f>0+'táj.1'!H163</f>
        <v>0</v>
      </c>
      <c r="I163" s="64">
        <f>20394+'táj.1'!I163</f>
        <v>20394</v>
      </c>
      <c r="J163" s="64">
        <f>0+'táj.1'!J163</f>
        <v>0</v>
      </c>
      <c r="K163" s="64">
        <f>0+'táj.1'!K163</f>
        <v>0</v>
      </c>
      <c r="L163" s="64">
        <f>0+'táj.1'!L163</f>
        <v>0</v>
      </c>
      <c r="M163" s="64">
        <f>0+'táj.1'!M163</f>
        <v>0</v>
      </c>
      <c r="N163" s="64">
        <f>0+'táj.1'!N163</f>
        <v>0</v>
      </c>
      <c r="O163" s="140">
        <f t="shared" si="11"/>
        <v>20394</v>
      </c>
    </row>
    <row r="164" spans="1:15" s="135" customFormat="1" ht="21.75" customHeight="1">
      <c r="A164" s="141"/>
      <c r="B164" s="142"/>
      <c r="C164" s="193" t="s">
        <v>79</v>
      </c>
      <c r="D164" s="172"/>
      <c r="E164" s="64">
        <f>0+'táj.1'!E164</f>
        <v>0</v>
      </c>
      <c r="F164" s="64">
        <f>0+'táj.1'!F164</f>
        <v>0</v>
      </c>
      <c r="G164" s="64">
        <f>0+'táj.1'!G164</f>
        <v>0</v>
      </c>
      <c r="H164" s="64">
        <f>0+'táj.1'!H164</f>
        <v>0</v>
      </c>
      <c r="I164" s="64">
        <f>0+'táj.1'!I164</f>
        <v>0</v>
      </c>
      <c r="J164" s="64">
        <f>0+'táj.1'!J164</f>
        <v>0</v>
      </c>
      <c r="K164" s="64">
        <f>0+'táj.1'!K164</f>
        <v>0</v>
      </c>
      <c r="L164" s="64">
        <f>0+'táj.1'!L164</f>
        <v>0</v>
      </c>
      <c r="M164" s="64">
        <f>0+'táj.1'!M164</f>
        <v>0</v>
      </c>
      <c r="N164" s="64">
        <f>0+'táj.1'!N164</f>
        <v>0</v>
      </c>
      <c r="O164" s="140">
        <f t="shared" si="11"/>
        <v>0</v>
      </c>
    </row>
    <row r="165" spans="1:15" s="135" customFormat="1" ht="15" customHeight="1">
      <c r="A165" s="141"/>
      <c r="B165" s="142"/>
      <c r="C165" s="16" t="s">
        <v>1175</v>
      </c>
      <c r="D165" s="172">
        <v>151508</v>
      </c>
      <c r="E165" s="64">
        <f>0+'táj.1'!E165</f>
        <v>0</v>
      </c>
      <c r="F165" s="64">
        <f>0+'táj.1'!F165</f>
        <v>0</v>
      </c>
      <c r="G165" s="64">
        <f>0+'táj.1'!G165</f>
        <v>0</v>
      </c>
      <c r="H165" s="64">
        <f>2048+'táj.1'!H165</f>
        <v>2048</v>
      </c>
      <c r="I165" s="64">
        <f>0+'táj.1'!I165</f>
        <v>0</v>
      </c>
      <c r="J165" s="64">
        <f>0+'táj.1'!J165</f>
        <v>0</v>
      </c>
      <c r="K165" s="64">
        <f>7079+'táj.1'!K165</f>
        <v>7079</v>
      </c>
      <c r="L165" s="64">
        <f>0+'táj.1'!L165</f>
        <v>0</v>
      </c>
      <c r="M165" s="64">
        <f>0+'táj.1'!M165</f>
        <v>0</v>
      </c>
      <c r="N165" s="64">
        <f>0+'táj.1'!N165</f>
        <v>0</v>
      </c>
      <c r="O165" s="140">
        <f t="shared" si="11"/>
        <v>9127</v>
      </c>
    </row>
    <row r="166" spans="1:15" s="135" customFormat="1" ht="15" customHeight="1">
      <c r="A166" s="141"/>
      <c r="B166" s="142"/>
      <c r="C166" s="16" t="s">
        <v>1177</v>
      </c>
      <c r="D166" s="172" t="s">
        <v>1097</v>
      </c>
      <c r="E166" s="64">
        <f>0+'táj.1'!E166</f>
        <v>0</v>
      </c>
      <c r="F166" s="64">
        <f>0+'táj.1'!F166</f>
        <v>0</v>
      </c>
      <c r="G166" s="64">
        <f>0+'táj.1'!G166</f>
        <v>0</v>
      </c>
      <c r="H166" s="64">
        <f>55+'táj.1'!H166</f>
        <v>55</v>
      </c>
      <c r="I166" s="64">
        <f>0+'táj.1'!I166</f>
        <v>0</v>
      </c>
      <c r="J166" s="64">
        <f>0+'táj.1'!J166</f>
        <v>0</v>
      </c>
      <c r="K166" s="64">
        <f>0+'táj.1'!K166</f>
        <v>0</v>
      </c>
      <c r="L166" s="64">
        <f>0+'táj.1'!L166</f>
        <v>0</v>
      </c>
      <c r="M166" s="64">
        <f>0+'táj.1'!M166</f>
        <v>0</v>
      </c>
      <c r="N166" s="64">
        <f>0+'táj.1'!N166</f>
        <v>0</v>
      </c>
      <c r="O166" s="140">
        <f t="shared" si="11"/>
        <v>55</v>
      </c>
    </row>
    <row r="167" spans="1:15" s="135" customFormat="1" ht="12" customHeight="1">
      <c r="A167" s="2"/>
      <c r="B167" s="137"/>
      <c r="C167" s="176" t="s">
        <v>559</v>
      </c>
      <c r="D167" s="137"/>
      <c r="E167" s="138">
        <f>SUM(E158:E166)</f>
        <v>0</v>
      </c>
      <c r="F167" s="138">
        <f aca="true" t="shared" si="12" ref="F167:O167">SUM(F158:F166)</f>
        <v>0</v>
      </c>
      <c r="G167" s="138">
        <f t="shared" si="12"/>
        <v>0</v>
      </c>
      <c r="H167" s="138">
        <f t="shared" si="12"/>
        <v>2103</v>
      </c>
      <c r="I167" s="138">
        <f t="shared" si="12"/>
        <v>20394</v>
      </c>
      <c r="J167" s="138">
        <f t="shared" si="12"/>
        <v>6042</v>
      </c>
      <c r="K167" s="138">
        <f t="shared" si="12"/>
        <v>7079</v>
      </c>
      <c r="L167" s="138">
        <f t="shared" si="12"/>
        <v>0</v>
      </c>
      <c r="M167" s="138">
        <f t="shared" si="12"/>
        <v>0</v>
      </c>
      <c r="N167" s="138">
        <f t="shared" si="12"/>
        <v>0</v>
      </c>
      <c r="O167" s="138">
        <f t="shared" si="12"/>
        <v>35618</v>
      </c>
    </row>
    <row r="168" spans="1:15" s="135" customFormat="1" ht="24.75" customHeight="1">
      <c r="A168" s="137"/>
      <c r="B168" s="137"/>
      <c r="C168" s="441" t="s">
        <v>284</v>
      </c>
      <c r="D168" s="507"/>
      <c r="E168" s="138">
        <f aca="true" t="shared" si="13" ref="E168:O168">SUM(E11+E31+E37+E65+E85+E108+E118+E155+E157+E167)</f>
        <v>3174534</v>
      </c>
      <c r="F168" s="138">
        <f t="shared" si="13"/>
        <v>8957660</v>
      </c>
      <c r="G168" s="138">
        <f t="shared" si="13"/>
        <v>5398650</v>
      </c>
      <c r="H168" s="138">
        <f t="shared" si="13"/>
        <v>1804663</v>
      </c>
      <c r="I168" s="138">
        <f t="shared" si="13"/>
        <v>126053</v>
      </c>
      <c r="J168" s="138">
        <f t="shared" si="13"/>
        <v>45055</v>
      </c>
      <c r="K168" s="138">
        <f t="shared" si="13"/>
        <v>153800</v>
      </c>
      <c r="L168" s="138">
        <f t="shared" si="13"/>
        <v>1032780</v>
      </c>
      <c r="M168" s="138">
        <f t="shared" si="13"/>
        <v>2745581</v>
      </c>
      <c r="N168" s="138">
        <f t="shared" si="13"/>
        <v>284541</v>
      </c>
      <c r="O168" s="138">
        <f t="shared" si="13"/>
        <v>23723317</v>
      </c>
    </row>
    <row r="169" spans="1:15" s="135" customFormat="1" ht="15.75" customHeight="1">
      <c r="A169" s="1">
        <v>2</v>
      </c>
      <c r="B169" s="1"/>
      <c r="C169" s="518" t="s">
        <v>454</v>
      </c>
      <c r="D169" s="71"/>
      <c r="E169" s="136">
        <f>7!E22</f>
        <v>457404</v>
      </c>
      <c r="F169" s="136">
        <f>7!F22</f>
        <v>36975</v>
      </c>
      <c r="G169" s="136">
        <f>7!G22</f>
        <v>0</v>
      </c>
      <c r="H169" s="136">
        <f>7!H22</f>
        <v>1170084</v>
      </c>
      <c r="I169" s="136">
        <f>7!I22</f>
        <v>3755</v>
      </c>
      <c r="J169" s="136">
        <f>7!J22</f>
        <v>70094</v>
      </c>
      <c r="K169" s="136">
        <f>7!K22</f>
        <v>555</v>
      </c>
      <c r="L169" s="136"/>
      <c r="M169" s="136">
        <f>7!L22</f>
        <v>321867</v>
      </c>
      <c r="N169" s="136"/>
      <c r="O169" s="136">
        <f>SUM(E169:N169)</f>
        <v>2060734</v>
      </c>
    </row>
    <row r="170" spans="1:15" s="135" customFormat="1" ht="15.75" customHeight="1">
      <c r="A170" s="137"/>
      <c r="B170" s="137"/>
      <c r="C170" s="519" t="s">
        <v>440</v>
      </c>
      <c r="D170" s="137"/>
      <c r="E170" s="138">
        <f>SUM(E168:E169)</f>
        <v>3631938</v>
      </c>
      <c r="F170" s="138">
        <f>SUM(F168:F169)</f>
        <v>8994635</v>
      </c>
      <c r="G170" s="138">
        <f aca="true" t="shared" si="14" ref="G170:O170">SUM(G168:G169)+G156</f>
        <v>5398650</v>
      </c>
      <c r="H170" s="138">
        <f t="shared" si="14"/>
        <v>2974747</v>
      </c>
      <c r="I170" s="138">
        <f t="shared" si="14"/>
        <v>129808</v>
      </c>
      <c r="J170" s="138">
        <f t="shared" si="14"/>
        <v>115149</v>
      </c>
      <c r="K170" s="138">
        <f t="shared" si="14"/>
        <v>154355</v>
      </c>
      <c r="L170" s="138">
        <f t="shared" si="14"/>
        <v>1032780</v>
      </c>
      <c r="M170" s="138">
        <f t="shared" si="14"/>
        <v>3067448</v>
      </c>
      <c r="N170" s="138">
        <f t="shared" si="14"/>
        <v>284541</v>
      </c>
      <c r="O170" s="138">
        <f t="shared" si="14"/>
        <v>25784051</v>
      </c>
    </row>
    <row r="172" spans="6:15" ht="12.75">
      <c r="F172" s="721"/>
      <c r="G172" s="721"/>
      <c r="H172" s="721"/>
      <c r="I172" s="721"/>
      <c r="J172" s="721"/>
      <c r="L172" s="721"/>
      <c r="O172" s="708"/>
    </row>
    <row r="173" ht="12.75">
      <c r="C173" s="721"/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80" r:id="rId1"/>
  <headerFooter alignWithMargins="0">
    <oddHeader>&amp;C&amp;"Times New Roman,Félkövér dőlt" ZALAEGERSZEG MEGYEI JOGÚ VÁROS ÖNKORMÁNYZATA
BEVÉTELI ELŐIRÁNYZATAI  2016.  ÉVBEN&amp;R&amp;"Times New Roman,Félkövér dőlt"5.a melléklet
Adatok ezer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="110" zoomScaleNormal="110" zoomScalePageLayoutView="0" workbookViewId="0" topLeftCell="A1">
      <pane ySplit="2" topLeftCell="BM3" activePane="bottomLeft" state="frozen"/>
      <selection pane="topLeft" activeCell="B1" sqref="B1"/>
      <selection pane="bottomLeft" activeCell="D16" sqref="D16:G16"/>
    </sheetView>
  </sheetViews>
  <sheetFormatPr defaultColWidth="9.00390625" defaultRowHeight="12.75"/>
  <cols>
    <col min="1" max="1" width="4.375" style="27" customWidth="1"/>
    <col min="2" max="2" width="7.00390625" style="27" customWidth="1"/>
    <col min="3" max="3" width="23.625" style="27" customWidth="1"/>
    <col min="4" max="4" width="10.625" style="27" customWidth="1"/>
    <col min="5" max="5" width="11.875" style="27" customWidth="1"/>
    <col min="6" max="6" width="10.50390625" style="27" customWidth="1"/>
    <col min="7" max="7" width="9.875" style="27" customWidth="1"/>
    <col min="8" max="8" width="10.50390625" style="27" customWidth="1"/>
    <col min="9" max="9" width="10.875" style="27" customWidth="1"/>
    <col min="10" max="10" width="10.625" style="27" customWidth="1"/>
    <col min="11" max="11" width="9.50390625" style="27" customWidth="1"/>
    <col min="12" max="12" width="11.375" style="27" customWidth="1"/>
    <col min="13" max="13" width="11.875" style="27" customWidth="1"/>
    <col min="14" max="14" width="12.00390625" style="39" customWidth="1"/>
    <col min="15" max="16384" width="9.375" style="27" customWidth="1"/>
  </cols>
  <sheetData>
    <row r="1" spans="1:14" ht="12.75" customHeight="1">
      <c r="A1" s="750" t="s">
        <v>1285</v>
      </c>
      <c r="B1" s="750" t="s">
        <v>1286</v>
      </c>
      <c r="C1" s="750" t="s">
        <v>151</v>
      </c>
      <c r="D1" s="749" t="s">
        <v>163</v>
      </c>
      <c r="E1" s="749"/>
      <c r="F1" s="749"/>
      <c r="G1" s="749"/>
      <c r="H1" s="749"/>
      <c r="I1" s="749"/>
      <c r="J1" s="749"/>
      <c r="K1" s="749"/>
      <c r="L1" s="749" t="s">
        <v>162</v>
      </c>
      <c r="M1" s="749"/>
      <c r="N1" s="750" t="s">
        <v>450</v>
      </c>
    </row>
    <row r="2" spans="1:14" s="36" customFormat="1" ht="60" customHeight="1">
      <c r="A2" s="750"/>
      <c r="B2" s="750"/>
      <c r="C2" s="750"/>
      <c r="D2" s="190" t="s">
        <v>1</v>
      </c>
      <c r="E2" s="190" t="s">
        <v>537</v>
      </c>
      <c r="F2" s="190" t="s">
        <v>529</v>
      </c>
      <c r="G2" s="190" t="s">
        <v>1020</v>
      </c>
      <c r="H2" s="190" t="s">
        <v>1116</v>
      </c>
      <c r="I2" s="190" t="s">
        <v>1104</v>
      </c>
      <c r="J2" s="190" t="s">
        <v>1103</v>
      </c>
      <c r="K2" s="190" t="s">
        <v>1021</v>
      </c>
      <c r="L2" s="190" t="s">
        <v>167</v>
      </c>
      <c r="M2" s="190" t="s">
        <v>172</v>
      </c>
      <c r="N2" s="750"/>
    </row>
    <row r="3" spans="1:14" s="36" customFormat="1" ht="15" customHeight="1">
      <c r="A3" s="5">
        <v>1</v>
      </c>
      <c r="B3" s="5"/>
      <c r="C3" s="66" t="s">
        <v>452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36" customFormat="1" ht="15" customHeight="1">
      <c r="A4" s="5">
        <v>1</v>
      </c>
      <c r="B4" s="5">
        <v>1</v>
      </c>
      <c r="C4" s="11" t="s">
        <v>812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37" customFormat="1" ht="24.75" customHeight="1">
      <c r="A5" s="7"/>
      <c r="B5" s="7">
        <v>12</v>
      </c>
      <c r="C5" s="213" t="s">
        <v>1485</v>
      </c>
      <c r="D5" s="8">
        <f>'6.a'!G49</f>
        <v>20</v>
      </c>
      <c r="E5" s="8">
        <f>'6.a'!H49</f>
        <v>3095</v>
      </c>
      <c r="F5" s="8">
        <f>'6.a'!I49</f>
        <v>26577</v>
      </c>
      <c r="G5" s="8">
        <f>'6.a'!J49</f>
        <v>130093</v>
      </c>
      <c r="H5" s="8">
        <f>'6.a'!K49</f>
        <v>4145</v>
      </c>
      <c r="I5" s="8">
        <f>'6.a'!L49</f>
        <v>0</v>
      </c>
      <c r="J5" s="8">
        <f>'6.a'!M49</f>
        <v>0</v>
      </c>
      <c r="K5" s="8">
        <f>'6.a'!N49</f>
        <v>62519</v>
      </c>
      <c r="L5" s="8">
        <f>'6.a'!O49</f>
        <v>0</v>
      </c>
      <c r="M5" s="8">
        <f>'6.a'!P49</f>
        <v>0</v>
      </c>
      <c r="N5" s="8">
        <f>SUM(D5:M5)</f>
        <v>226449</v>
      </c>
    </row>
    <row r="6" spans="1:14" s="37" customFormat="1" ht="13.5" customHeight="1">
      <c r="A6" s="7"/>
      <c r="B6" s="7">
        <v>13</v>
      </c>
      <c r="C6" s="66" t="s">
        <v>1486</v>
      </c>
      <c r="D6" s="8">
        <f>'6.a'!G234</f>
        <v>3631</v>
      </c>
      <c r="E6" s="8">
        <f>'6.a'!H234</f>
        <v>1549</v>
      </c>
      <c r="F6" s="8">
        <f>'6.a'!I234</f>
        <v>67072</v>
      </c>
      <c r="G6" s="8">
        <f>'6.a'!J234</f>
        <v>47253</v>
      </c>
      <c r="H6" s="8">
        <f>'6.a'!K234</f>
        <v>602487</v>
      </c>
      <c r="I6" s="8">
        <f>'6.a'!L234</f>
        <v>62642</v>
      </c>
      <c r="J6" s="8">
        <f>'6.a'!M234</f>
        <v>61843</v>
      </c>
      <c r="K6" s="8">
        <f>'6.a'!N234</f>
        <v>95857</v>
      </c>
      <c r="L6" s="8">
        <f>'6.a'!O234</f>
        <v>0</v>
      </c>
      <c r="M6" s="8">
        <f>'6.a'!P234</f>
        <v>0</v>
      </c>
      <c r="N6" s="8">
        <f aca="true" t="shared" si="0" ref="N6:N15">SUM(D6:M6)</f>
        <v>942334</v>
      </c>
    </row>
    <row r="7" spans="1:14" s="37" customFormat="1" ht="13.5" customHeight="1">
      <c r="A7" s="7"/>
      <c r="B7" s="7">
        <v>14</v>
      </c>
      <c r="C7" s="66" t="s">
        <v>459</v>
      </c>
      <c r="D7" s="8">
        <f>'6.a'!G248</f>
        <v>0</v>
      </c>
      <c r="E7" s="8">
        <f>'6.a'!H248</f>
        <v>0</v>
      </c>
      <c r="F7" s="8">
        <f>'6.a'!I248</f>
        <v>345690</v>
      </c>
      <c r="G7" s="8">
        <f>'6.a'!J248</f>
        <v>0</v>
      </c>
      <c r="H7" s="8">
        <f>'6.a'!K248</f>
        <v>0</v>
      </c>
      <c r="I7" s="8">
        <f>'6.a'!L248</f>
        <v>1231290</v>
      </c>
      <c r="J7" s="8">
        <f>'6.a'!M248</f>
        <v>0</v>
      </c>
      <c r="K7" s="8">
        <f>'6.a'!N248</f>
        <v>2986</v>
      </c>
      <c r="L7" s="8">
        <f>'6.a'!O248</f>
        <v>0</v>
      </c>
      <c r="M7" s="8">
        <f>'6.a'!P248</f>
        <v>0</v>
      </c>
      <c r="N7" s="8">
        <f t="shared" si="0"/>
        <v>1579966</v>
      </c>
    </row>
    <row r="8" spans="1:14" s="37" customFormat="1" ht="13.5" customHeight="1">
      <c r="A8" s="7"/>
      <c r="B8" s="7">
        <v>15</v>
      </c>
      <c r="C8" s="73" t="s">
        <v>155</v>
      </c>
      <c r="D8" s="8">
        <f>'6.a'!G517</f>
        <v>7154</v>
      </c>
      <c r="E8" s="8">
        <f>'6.a'!H517</f>
        <v>2690</v>
      </c>
      <c r="F8" s="8">
        <f>'6.a'!I517</f>
        <v>1461053</v>
      </c>
      <c r="G8" s="8">
        <f>'6.a'!J517</f>
        <v>0</v>
      </c>
      <c r="H8" s="8">
        <f>'6.a'!K517</f>
        <v>61894</v>
      </c>
      <c r="I8" s="8">
        <f>'6.a'!L517</f>
        <v>163084</v>
      </c>
      <c r="J8" s="8">
        <f>'6.a'!M517</f>
        <v>705499</v>
      </c>
      <c r="K8" s="8">
        <f>'6.a'!N517</f>
        <v>206327</v>
      </c>
      <c r="L8" s="8">
        <f>'6.a'!O517</f>
        <v>0</v>
      </c>
      <c r="M8" s="8">
        <f>'6.a'!P517</f>
        <v>0</v>
      </c>
      <c r="N8" s="8">
        <f t="shared" si="0"/>
        <v>2607701</v>
      </c>
    </row>
    <row r="9" spans="1:14" s="37" customFormat="1" ht="13.5" customHeight="1">
      <c r="A9" s="7"/>
      <c r="B9" s="7">
        <v>16</v>
      </c>
      <c r="C9" s="73" t="s">
        <v>13</v>
      </c>
      <c r="D9" s="8">
        <f>'6.a'!G643</f>
        <v>30197</v>
      </c>
      <c r="E9" s="8">
        <f>'6.a'!H643</f>
        <v>8933</v>
      </c>
      <c r="F9" s="8">
        <f>'6.a'!I643</f>
        <v>718403</v>
      </c>
      <c r="G9" s="8">
        <f>'6.a'!J643</f>
        <v>0</v>
      </c>
      <c r="H9" s="8">
        <f>'6.a'!K643</f>
        <v>8220</v>
      </c>
      <c r="I9" s="8">
        <f>'6.a'!L643</f>
        <v>6689115</v>
      </c>
      <c r="J9" s="8">
        <f>'6.a'!M643</f>
        <v>1250070</v>
      </c>
      <c r="K9" s="8">
        <f>'6.a'!N643</f>
        <v>58899</v>
      </c>
      <c r="L9" s="8">
        <f>'6.a'!O643</f>
        <v>0</v>
      </c>
      <c r="M9" s="8">
        <f>'6.a'!P643</f>
        <v>0</v>
      </c>
      <c r="N9" s="8">
        <f t="shared" si="0"/>
        <v>8763837</v>
      </c>
    </row>
    <row r="10" spans="1:14" s="37" customFormat="1" ht="13.5" customHeight="1">
      <c r="A10" s="7"/>
      <c r="B10" s="7">
        <v>17</v>
      </c>
      <c r="C10" s="73" t="s">
        <v>156</v>
      </c>
      <c r="D10" s="8">
        <f>'6.a'!G674</f>
        <v>0</v>
      </c>
      <c r="E10" s="8">
        <f>'6.a'!H674</f>
        <v>0</v>
      </c>
      <c r="F10" s="8">
        <f>'6.a'!I674</f>
        <v>57219</v>
      </c>
      <c r="G10" s="8">
        <f>'6.a'!J674</f>
        <v>0</v>
      </c>
      <c r="H10" s="8">
        <f>'6.a'!K674</f>
        <v>0</v>
      </c>
      <c r="I10" s="8">
        <f>'6.a'!L674</f>
        <v>2124542</v>
      </c>
      <c r="J10" s="8">
        <f>'6.a'!M674</f>
        <v>1200</v>
      </c>
      <c r="K10" s="8">
        <f>'6.a'!N674</f>
        <v>38833</v>
      </c>
      <c r="L10" s="8">
        <f>'6.a'!O674</f>
        <v>0</v>
      </c>
      <c r="M10" s="8">
        <f>'6.a'!P674</f>
        <v>0</v>
      </c>
      <c r="N10" s="8">
        <f t="shared" si="0"/>
        <v>2221794</v>
      </c>
    </row>
    <row r="11" spans="1:14" s="37" customFormat="1" ht="13.5" customHeight="1">
      <c r="A11" s="7"/>
      <c r="B11" s="7">
        <v>18</v>
      </c>
      <c r="C11" s="314" t="s">
        <v>1070</v>
      </c>
      <c r="D11" s="8">
        <f>'6.a'!G698</f>
        <v>0</v>
      </c>
      <c r="E11" s="8">
        <f>'6.a'!H698</f>
        <v>0</v>
      </c>
      <c r="F11" s="8">
        <f>'6.a'!I698</f>
        <v>65271</v>
      </c>
      <c r="G11" s="8">
        <f>'6.a'!J698</f>
        <v>0</v>
      </c>
      <c r="H11" s="8">
        <f>'6.a'!K698</f>
        <v>22743</v>
      </c>
      <c r="I11" s="8">
        <f>'6.a'!L698</f>
        <v>30357</v>
      </c>
      <c r="J11" s="8">
        <f>'6.a'!M698</f>
        <v>25110</v>
      </c>
      <c r="K11" s="8">
        <f>'6.a'!N698</f>
        <v>950</v>
      </c>
      <c r="L11" s="8">
        <f>'6.a'!O698</f>
        <v>0</v>
      </c>
      <c r="M11" s="8">
        <f>'6.a'!P698</f>
        <v>0</v>
      </c>
      <c r="N11" s="8">
        <f t="shared" si="0"/>
        <v>144431</v>
      </c>
    </row>
    <row r="12" spans="1:14" s="37" customFormat="1" ht="13.5" customHeight="1">
      <c r="A12" s="7"/>
      <c r="B12" s="7">
        <v>19</v>
      </c>
      <c r="C12" s="72" t="s">
        <v>1282</v>
      </c>
      <c r="D12" s="8">
        <f>'6.a'!G735</f>
        <v>0</v>
      </c>
      <c r="E12" s="8">
        <f>'6.a'!H735</f>
        <v>0</v>
      </c>
      <c r="F12" s="8">
        <f>'6.a'!I735</f>
        <v>349297</v>
      </c>
      <c r="G12" s="8">
        <f>'6.a'!J735</f>
        <v>0</v>
      </c>
      <c r="H12" s="8">
        <f>'6.a'!K735</f>
        <v>729928</v>
      </c>
      <c r="I12" s="8">
        <f>'6.a'!L735</f>
        <v>0</v>
      </c>
      <c r="J12" s="8">
        <f>'6.a'!M735</f>
        <v>0</v>
      </c>
      <c r="K12" s="8">
        <f>'6.a'!N735</f>
        <v>9159</v>
      </c>
      <c r="L12" s="8">
        <f>'6.a'!O735</f>
        <v>1333</v>
      </c>
      <c r="M12" s="8">
        <f>'6.a'!P735</f>
        <v>72571</v>
      </c>
      <c r="N12" s="8">
        <f t="shared" si="0"/>
        <v>1162288</v>
      </c>
    </row>
    <row r="13" spans="1:14" s="37" customFormat="1" ht="12.75" customHeight="1">
      <c r="A13" s="7"/>
      <c r="B13" s="7">
        <v>20</v>
      </c>
      <c r="C13" s="72" t="s">
        <v>813</v>
      </c>
      <c r="D13" s="8">
        <f>'6.a'!G738</f>
        <v>0</v>
      </c>
      <c r="E13" s="8">
        <f>'6.a'!H738</f>
        <v>0</v>
      </c>
      <c r="F13" s="8">
        <f>'6.a'!I738</f>
        <v>0</v>
      </c>
      <c r="G13" s="8">
        <f>'6.a'!J738</f>
        <v>0</v>
      </c>
      <c r="H13" s="8">
        <f>'6.a'!K738</f>
        <v>0</v>
      </c>
      <c r="I13" s="8">
        <f>'6.a'!L738</f>
        <v>0</v>
      </c>
      <c r="J13" s="8">
        <f>'6.a'!M738</f>
        <v>0</v>
      </c>
      <c r="K13" s="8">
        <f>'6.a'!N738</f>
        <v>0</v>
      </c>
      <c r="L13" s="8">
        <f>'6.a'!O738</f>
        <v>0</v>
      </c>
      <c r="M13" s="8">
        <f>'6.a'!P738</f>
        <v>0</v>
      </c>
      <c r="N13" s="8">
        <f t="shared" si="0"/>
        <v>0</v>
      </c>
    </row>
    <row r="14" spans="1:14" s="37" customFormat="1" ht="27" customHeight="1">
      <c r="A14" s="7"/>
      <c r="B14" s="7">
        <v>22</v>
      </c>
      <c r="C14" s="205" t="s">
        <v>903</v>
      </c>
      <c r="D14" s="8">
        <f>'6.a'!G782</f>
        <v>129175</v>
      </c>
      <c r="E14" s="8">
        <f>'6.a'!H782</f>
        <v>46776</v>
      </c>
      <c r="F14" s="8">
        <f>'6.a'!I782</f>
        <v>140978</v>
      </c>
      <c r="G14" s="8">
        <f>'6.a'!J782</f>
        <v>0</v>
      </c>
      <c r="H14" s="8">
        <f>'6.a'!K782</f>
        <v>185271</v>
      </c>
      <c r="I14" s="8">
        <f>'6.a'!L782</f>
        <v>174989</v>
      </c>
      <c r="J14" s="8">
        <f>'6.a'!M782</f>
        <v>12192</v>
      </c>
      <c r="K14" s="8">
        <f>'6.a'!N782</f>
        <v>3928</v>
      </c>
      <c r="L14" s="8">
        <f>'6.a'!O782</f>
        <v>0</v>
      </c>
      <c r="M14" s="8">
        <f>'6.a'!P782</f>
        <v>0</v>
      </c>
      <c r="N14" s="8">
        <f t="shared" si="0"/>
        <v>693309</v>
      </c>
    </row>
    <row r="15" spans="1:14" s="37" customFormat="1" ht="12.75" customHeight="1">
      <c r="A15" s="7"/>
      <c r="B15" s="7">
        <v>30</v>
      </c>
      <c r="C15" s="9" t="s">
        <v>816</v>
      </c>
      <c r="D15" s="8">
        <f>'6.a'!G809</f>
        <v>0</v>
      </c>
      <c r="E15" s="8">
        <f>'6.a'!H809</f>
        <v>0</v>
      </c>
      <c r="F15" s="8">
        <f>'6.a'!I809</f>
        <v>0</v>
      </c>
      <c r="G15" s="8">
        <f>'6.a'!J809</f>
        <v>0</v>
      </c>
      <c r="H15" s="8">
        <f>'6.a'!K809</f>
        <v>273419</v>
      </c>
      <c r="I15" s="8">
        <f>'6.a'!L809</f>
        <v>0</v>
      </c>
      <c r="J15" s="8">
        <f>'6.a'!M809</f>
        <v>1404</v>
      </c>
      <c r="K15" s="8">
        <f>'6.a'!N809</f>
        <v>0</v>
      </c>
      <c r="L15" s="8">
        <f>'6.a'!O809</f>
        <v>0</v>
      </c>
      <c r="M15" s="8">
        <f>'6.a'!P809</f>
        <v>0</v>
      </c>
      <c r="N15" s="8">
        <f t="shared" si="0"/>
        <v>274823</v>
      </c>
    </row>
    <row r="16" spans="1:14" s="38" customFormat="1" ht="34.5" customHeight="1">
      <c r="A16" s="74"/>
      <c r="B16" s="74"/>
      <c r="C16" s="167" t="s">
        <v>961</v>
      </c>
      <c r="D16" s="12">
        <f>SUM(D3:D15)</f>
        <v>170177</v>
      </c>
      <c r="E16" s="12">
        <f>SUM(E3:E15)</f>
        <v>63043</v>
      </c>
      <c r="F16" s="12">
        <f aca="true" t="shared" si="1" ref="F16:N16">SUM(F5:F15)</f>
        <v>3231560</v>
      </c>
      <c r="G16" s="12">
        <f t="shared" si="1"/>
        <v>177346</v>
      </c>
      <c r="H16" s="12">
        <f t="shared" si="1"/>
        <v>1888107</v>
      </c>
      <c r="I16" s="12">
        <f t="shared" si="1"/>
        <v>10476019</v>
      </c>
      <c r="J16" s="12">
        <f t="shared" si="1"/>
        <v>2057318</v>
      </c>
      <c r="K16" s="12">
        <f t="shared" si="1"/>
        <v>479458</v>
      </c>
      <c r="L16" s="12">
        <f t="shared" si="1"/>
        <v>1333</v>
      </c>
      <c r="M16" s="12">
        <f t="shared" si="1"/>
        <v>72571</v>
      </c>
      <c r="N16" s="12">
        <f t="shared" si="1"/>
        <v>18616932</v>
      </c>
    </row>
    <row r="17" spans="1:14" s="38" customFormat="1" ht="12.75" customHeight="1">
      <c r="A17" s="168">
        <v>2</v>
      </c>
      <c r="B17" s="168"/>
      <c r="C17" s="169" t="s">
        <v>454</v>
      </c>
      <c r="D17" s="11">
        <f>'6.a'!G811</f>
        <v>3374338</v>
      </c>
      <c r="E17" s="11">
        <f>'6.a'!H811</f>
        <v>957453</v>
      </c>
      <c r="F17" s="11">
        <f>'6.a'!I811</f>
        <v>2598352</v>
      </c>
      <c r="G17" s="11">
        <f>'6.a'!J811</f>
        <v>16600</v>
      </c>
      <c r="H17" s="11">
        <f>'6.a'!K811</f>
        <v>30770</v>
      </c>
      <c r="I17" s="11">
        <f>'6.a'!L811</f>
        <v>152581</v>
      </c>
      <c r="J17" s="11">
        <f>'6.a'!M811</f>
        <v>37025</v>
      </c>
      <c r="K17" s="11">
        <f>'6.a'!N811</f>
        <v>0</v>
      </c>
      <c r="L17" s="11">
        <f>'6.a'!O811</f>
        <v>0</v>
      </c>
      <c r="M17" s="11">
        <f>'6.a'!P811</f>
        <v>0</v>
      </c>
      <c r="N17" s="11">
        <f>'6.a'!Q811</f>
        <v>7167119</v>
      </c>
    </row>
    <row r="18" spans="1:14" s="38" customFormat="1" ht="12.75" customHeight="1">
      <c r="A18" s="74"/>
      <c r="B18" s="74"/>
      <c r="C18" s="13" t="s">
        <v>440</v>
      </c>
      <c r="D18" s="12">
        <f aca="true" t="shared" si="2" ref="D18:N18">SUM(D16:D17)</f>
        <v>3544515</v>
      </c>
      <c r="E18" s="12">
        <f t="shared" si="2"/>
        <v>1020496</v>
      </c>
      <c r="F18" s="12">
        <f t="shared" si="2"/>
        <v>5829912</v>
      </c>
      <c r="G18" s="12">
        <f t="shared" si="2"/>
        <v>193946</v>
      </c>
      <c r="H18" s="12">
        <f aca="true" t="shared" si="3" ref="H18:M18">SUM(H16:H17)</f>
        <v>1918877</v>
      </c>
      <c r="I18" s="12">
        <f t="shared" si="3"/>
        <v>10628600</v>
      </c>
      <c r="J18" s="12">
        <f t="shared" si="3"/>
        <v>2094343</v>
      </c>
      <c r="K18" s="12">
        <f t="shared" si="3"/>
        <v>479458</v>
      </c>
      <c r="L18" s="12">
        <f t="shared" si="3"/>
        <v>1333</v>
      </c>
      <c r="M18" s="12">
        <f t="shared" si="3"/>
        <v>72571</v>
      </c>
      <c r="N18" s="12">
        <f t="shared" si="2"/>
        <v>25784051</v>
      </c>
    </row>
    <row r="20" ht="12">
      <c r="N20" s="409"/>
    </row>
  </sheetData>
  <sheetProtection/>
  <mergeCells count="6">
    <mergeCell ref="D1:K1"/>
    <mergeCell ref="L1:M1"/>
    <mergeCell ref="N1:N2"/>
    <mergeCell ref="A1:A2"/>
    <mergeCell ref="B1:B2"/>
    <mergeCell ref="C1:C2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2016.  ÉVI KIADÁSI ELŐIRÁNYZATAI
CÍMENKÉNTI BONTÁSBAN&amp;R&amp;"Times New Roman CE,Félkövér dőlt"6.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N816"/>
  <sheetViews>
    <sheetView zoomScale="106" zoomScaleNormal="106" zoomScaleSheetLayoutView="120" zoomScalePageLayoutView="0" workbookViewId="0" topLeftCell="C1">
      <pane ySplit="2" topLeftCell="BM789" activePane="bottomLeft" state="frozen"/>
      <selection pane="topLeft" activeCell="A1" sqref="A1"/>
      <selection pane="bottomLeft" activeCell="L812" sqref="L812"/>
    </sheetView>
  </sheetViews>
  <sheetFormatPr defaultColWidth="9.00390625" defaultRowHeight="12.75"/>
  <cols>
    <col min="1" max="1" width="4.50390625" style="4" customWidth="1"/>
    <col min="2" max="2" width="5.125" style="4" customWidth="1"/>
    <col min="3" max="3" width="6.50390625" style="4" customWidth="1"/>
    <col min="4" max="4" width="49.125" style="4" customWidth="1"/>
    <col min="5" max="5" width="3.125" style="4" customWidth="1"/>
    <col min="6" max="6" width="8.625" style="4" customWidth="1"/>
    <col min="7" max="7" width="9.875" style="4" customWidth="1"/>
    <col min="8" max="8" width="11.00390625" style="4" bestFit="1" customWidth="1"/>
    <col min="9" max="9" width="10.50390625" style="4" customWidth="1"/>
    <col min="10" max="10" width="11.00390625" style="4" customWidth="1"/>
    <col min="11" max="11" width="10.125" style="4" customWidth="1"/>
    <col min="12" max="12" width="10.00390625" style="4" customWidth="1"/>
    <col min="13" max="13" width="10.50390625" style="4" customWidth="1"/>
    <col min="14" max="14" width="10.125" style="4" customWidth="1"/>
    <col min="15" max="15" width="8.625" style="4" customWidth="1"/>
    <col min="16" max="16" width="9.375" style="4" customWidth="1"/>
    <col min="17" max="17" width="11.625" style="4" customWidth="1"/>
    <col min="18" max="16384" width="9.375" style="4" customWidth="1"/>
  </cols>
  <sheetData>
    <row r="1" spans="1:17" ht="36.75" customHeight="1" thickBot="1">
      <c r="A1" s="753" t="s">
        <v>1285</v>
      </c>
      <c r="B1" s="753" t="s">
        <v>1286</v>
      </c>
      <c r="C1" s="753" t="s">
        <v>1025</v>
      </c>
      <c r="D1" s="772" t="s">
        <v>151</v>
      </c>
      <c r="E1" s="774" t="s">
        <v>527</v>
      </c>
      <c r="F1" s="778" t="s">
        <v>573</v>
      </c>
      <c r="G1" s="776" t="s">
        <v>163</v>
      </c>
      <c r="H1" s="777"/>
      <c r="I1" s="777"/>
      <c r="J1" s="777"/>
      <c r="K1" s="777"/>
      <c r="L1" s="777"/>
      <c r="M1" s="777"/>
      <c r="N1" s="777"/>
      <c r="O1" s="751" t="s">
        <v>1022</v>
      </c>
      <c r="P1" s="752"/>
      <c r="Q1" s="203" t="s">
        <v>153</v>
      </c>
    </row>
    <row r="2" spans="1:18" ht="57.75" customHeight="1" thickBot="1">
      <c r="A2" s="771"/>
      <c r="B2" s="771"/>
      <c r="C2" s="771"/>
      <c r="D2" s="773"/>
      <c r="E2" s="775"/>
      <c r="F2" s="779"/>
      <c r="G2" s="509" t="s">
        <v>1</v>
      </c>
      <c r="H2" s="184" t="s">
        <v>537</v>
      </c>
      <c r="I2" s="184" t="s">
        <v>529</v>
      </c>
      <c r="J2" s="184" t="s">
        <v>1020</v>
      </c>
      <c r="K2" s="184" t="s">
        <v>1116</v>
      </c>
      <c r="L2" s="184" t="s">
        <v>1104</v>
      </c>
      <c r="M2" s="184" t="s">
        <v>1103</v>
      </c>
      <c r="N2" s="184" t="s">
        <v>1021</v>
      </c>
      <c r="O2" s="222" t="s">
        <v>167</v>
      </c>
      <c r="P2" s="223" t="s">
        <v>172</v>
      </c>
      <c r="Q2" s="204"/>
      <c r="R2" s="23"/>
    </row>
    <row r="3" spans="1:17" ht="16.5" customHeight="1">
      <c r="A3" s="201">
        <v>1</v>
      </c>
      <c r="B3" s="5"/>
      <c r="C3" s="299"/>
      <c r="D3" s="97" t="s">
        <v>453</v>
      </c>
      <c r="E3" s="202"/>
      <c r="F3" s="530"/>
      <c r="G3" s="6"/>
      <c r="H3" s="6"/>
      <c r="I3" s="6"/>
      <c r="J3" s="6"/>
      <c r="K3" s="6"/>
      <c r="L3" s="6"/>
      <c r="M3" s="6"/>
      <c r="N3" s="6"/>
      <c r="O3" s="6"/>
      <c r="P3" s="6"/>
      <c r="Q3" s="98"/>
    </row>
    <row r="4" spans="1:17" ht="12.75" customHeight="1">
      <c r="A4" s="5">
        <v>1</v>
      </c>
      <c r="B4" s="5">
        <v>1</v>
      </c>
      <c r="C4" s="5"/>
      <c r="D4" s="97" t="s">
        <v>812</v>
      </c>
      <c r="E4" s="18"/>
      <c r="F4" s="113"/>
      <c r="G4" s="6"/>
      <c r="H4" s="6"/>
      <c r="I4" s="6"/>
      <c r="J4" s="6"/>
      <c r="K4" s="6"/>
      <c r="L4" s="6"/>
      <c r="M4" s="6"/>
      <c r="N4" s="6"/>
      <c r="O4" s="6"/>
      <c r="P4" s="6"/>
      <c r="Q4" s="98"/>
    </row>
    <row r="5" spans="1:17" ht="12">
      <c r="A5" s="10">
        <v>1</v>
      </c>
      <c r="B5" s="10">
        <v>12</v>
      </c>
      <c r="C5" s="10"/>
      <c r="D5" s="290" t="s">
        <v>1485</v>
      </c>
      <c r="E5" s="300"/>
      <c r="F5" s="168"/>
      <c r="G5" s="99"/>
      <c r="H5" s="99"/>
      <c r="I5" s="99"/>
      <c r="J5" s="99"/>
      <c r="K5" s="99"/>
      <c r="L5" s="99"/>
      <c r="M5" s="99"/>
      <c r="N5" s="99"/>
      <c r="O5" s="99"/>
      <c r="P5" s="99"/>
      <c r="Q5" s="11"/>
    </row>
    <row r="6" spans="1:17" ht="14.25" customHeight="1">
      <c r="A6" s="10"/>
      <c r="B6" s="10"/>
      <c r="C6" s="242"/>
      <c r="D6" s="220" t="s">
        <v>53</v>
      </c>
      <c r="E6" s="301"/>
      <c r="F6" s="522"/>
      <c r="G6" s="99"/>
      <c r="H6" s="99"/>
      <c r="I6" s="99"/>
      <c r="J6" s="99"/>
      <c r="K6" s="99"/>
      <c r="L6" s="152"/>
      <c r="M6" s="152"/>
      <c r="N6" s="152"/>
      <c r="O6" s="152"/>
      <c r="P6" s="152"/>
      <c r="Q6" s="11"/>
    </row>
    <row r="7" spans="1:17" ht="14.25" customHeight="1">
      <c r="A7" s="10"/>
      <c r="B7" s="10"/>
      <c r="C7" s="242"/>
      <c r="D7" s="14" t="s">
        <v>995</v>
      </c>
      <c r="E7" s="302">
        <v>2</v>
      </c>
      <c r="F7" s="10">
        <v>121103</v>
      </c>
      <c r="G7" s="99">
        <f>0+'táj.2'!G7</f>
        <v>0</v>
      </c>
      <c r="H7" s="99">
        <f>0+'táj.2'!H7</f>
        <v>0</v>
      </c>
      <c r="I7" s="99">
        <f>0+'táj.2'!I7</f>
        <v>0</v>
      </c>
      <c r="J7" s="99">
        <f>6156+'táj.2'!J7</f>
        <v>6156</v>
      </c>
      <c r="K7" s="99">
        <f>0+'táj.2'!K7</f>
        <v>0</v>
      </c>
      <c r="L7" s="99">
        <f>0+'táj.2'!L7</f>
        <v>0</v>
      </c>
      <c r="M7" s="99">
        <f>0+'táj.2'!M7</f>
        <v>0</v>
      </c>
      <c r="N7" s="99">
        <f>0+'táj.2'!N7</f>
        <v>0</v>
      </c>
      <c r="O7" s="99">
        <f>0+'táj.2'!O7</f>
        <v>0</v>
      </c>
      <c r="P7" s="99">
        <f>0+'táj.2'!P7</f>
        <v>0</v>
      </c>
      <c r="Q7" s="11">
        <f>SUM(G7:P7)</f>
        <v>6156</v>
      </c>
    </row>
    <row r="8" spans="1:17" ht="14.25" customHeight="1">
      <c r="A8" s="10"/>
      <c r="B8" s="10"/>
      <c r="C8" s="242"/>
      <c r="D8" s="14" t="s">
        <v>54</v>
      </c>
      <c r="E8" s="302"/>
      <c r="F8" s="10"/>
      <c r="G8" s="99"/>
      <c r="H8" s="99"/>
      <c r="I8" s="99"/>
      <c r="J8" s="99"/>
      <c r="K8" s="99"/>
      <c r="L8" s="152"/>
      <c r="M8" s="152"/>
      <c r="N8" s="152"/>
      <c r="O8" s="152"/>
      <c r="P8" s="152"/>
      <c r="Q8" s="11"/>
    </row>
    <row r="9" spans="1:17" ht="14.25" customHeight="1">
      <c r="A9" s="10"/>
      <c r="B9" s="10"/>
      <c r="C9" s="242"/>
      <c r="D9" s="14" t="s">
        <v>22</v>
      </c>
      <c r="E9" s="302">
        <v>2</v>
      </c>
      <c r="F9" s="10">
        <v>121114</v>
      </c>
      <c r="G9" s="99">
        <f>0+'táj.2'!G9</f>
        <v>0</v>
      </c>
      <c r="H9" s="99">
        <f>0+'táj.2'!H9</f>
        <v>0</v>
      </c>
      <c r="I9" s="99">
        <f>0+'táj.2'!I9</f>
        <v>0</v>
      </c>
      <c r="J9" s="99">
        <f>10282+'táj.2'!J9</f>
        <v>10351</v>
      </c>
      <c r="K9" s="99">
        <f>0+'táj.2'!K9</f>
        <v>0</v>
      </c>
      <c r="L9" s="99">
        <f>0+'táj.2'!L9</f>
        <v>0</v>
      </c>
      <c r="M9" s="99">
        <f>0+'táj.2'!M9</f>
        <v>0</v>
      </c>
      <c r="N9" s="99">
        <f>0+'táj.2'!N9</f>
        <v>0</v>
      </c>
      <c r="O9" s="99">
        <f>0+'táj.2'!O9</f>
        <v>0</v>
      </c>
      <c r="P9" s="99">
        <f>0+'táj.2'!P9</f>
        <v>0</v>
      </c>
      <c r="Q9" s="11">
        <f>SUM(G9:P9)</f>
        <v>10351</v>
      </c>
    </row>
    <row r="10" spans="1:17" ht="14.25" customHeight="1">
      <c r="A10" s="10"/>
      <c r="B10" s="10"/>
      <c r="C10" s="242"/>
      <c r="D10" s="14" t="s">
        <v>589</v>
      </c>
      <c r="E10" s="302">
        <v>2</v>
      </c>
      <c r="F10" s="10">
        <v>121104</v>
      </c>
      <c r="G10" s="99">
        <f>0+'táj.2'!G10</f>
        <v>0</v>
      </c>
      <c r="H10" s="99">
        <f>0+'táj.2'!H10</f>
        <v>0</v>
      </c>
      <c r="I10" s="99">
        <f>0+'táj.2'!I10</f>
        <v>0</v>
      </c>
      <c r="J10" s="99">
        <f>23718+'táj.2'!J10</f>
        <v>23718</v>
      </c>
      <c r="K10" s="99">
        <f>0+'táj.2'!K10</f>
        <v>0</v>
      </c>
      <c r="L10" s="99">
        <f>0+'táj.2'!L10</f>
        <v>0</v>
      </c>
      <c r="M10" s="99">
        <f>0+'táj.2'!M10</f>
        <v>0</v>
      </c>
      <c r="N10" s="99">
        <f>0+'táj.2'!N10</f>
        <v>0</v>
      </c>
      <c r="O10" s="99">
        <f>0+'táj.2'!O10</f>
        <v>0</v>
      </c>
      <c r="P10" s="99">
        <f>0+'táj.2'!P10</f>
        <v>0</v>
      </c>
      <c r="Q10" s="11">
        <f>SUM(G10:P10)</f>
        <v>23718</v>
      </c>
    </row>
    <row r="11" spans="1:17" ht="14.25" customHeight="1">
      <c r="A11" s="10"/>
      <c r="B11" s="10"/>
      <c r="C11" s="242"/>
      <c r="D11" s="14" t="s">
        <v>304</v>
      </c>
      <c r="E11" s="302">
        <v>2</v>
      </c>
      <c r="F11" s="10">
        <v>121106</v>
      </c>
      <c r="G11" s="99">
        <f>0+'táj.2'!G11</f>
        <v>0</v>
      </c>
      <c r="H11" s="99">
        <f>0+'táj.2'!H11</f>
        <v>0</v>
      </c>
      <c r="I11" s="99">
        <f>0+'táj.2'!I11</f>
        <v>0</v>
      </c>
      <c r="J11" s="99">
        <f>2000+'táj.2'!J11</f>
        <v>2000</v>
      </c>
      <c r="K11" s="99">
        <f>0+'táj.2'!K11</f>
        <v>0</v>
      </c>
      <c r="L11" s="99">
        <f>0+'táj.2'!L11</f>
        <v>0</v>
      </c>
      <c r="M11" s="99">
        <f>0+'táj.2'!M11</f>
        <v>0</v>
      </c>
      <c r="N11" s="99">
        <f>0+'táj.2'!N11</f>
        <v>0</v>
      </c>
      <c r="O11" s="99">
        <f>0+'táj.2'!O11</f>
        <v>0</v>
      </c>
      <c r="P11" s="99">
        <f>0+'táj.2'!P11</f>
        <v>0</v>
      </c>
      <c r="Q11" s="11">
        <f>SUM(G11:P11)</f>
        <v>2000</v>
      </c>
    </row>
    <row r="12" spans="1:17" ht="14.25" customHeight="1">
      <c r="A12" s="10"/>
      <c r="B12" s="10"/>
      <c r="C12" s="242"/>
      <c r="D12" s="14" t="s">
        <v>1263</v>
      </c>
      <c r="E12" s="302"/>
      <c r="F12" s="10"/>
      <c r="G12" s="99"/>
      <c r="H12" s="99"/>
      <c r="I12" s="99"/>
      <c r="J12" s="99"/>
      <c r="K12" s="99"/>
      <c r="L12" s="152"/>
      <c r="M12" s="152"/>
      <c r="N12" s="152"/>
      <c r="O12" s="152"/>
      <c r="P12" s="152"/>
      <c r="Q12" s="11"/>
    </row>
    <row r="13" spans="1:17" ht="14.25" customHeight="1">
      <c r="A13" s="10"/>
      <c r="B13" s="10"/>
      <c r="C13" s="242"/>
      <c r="D13" s="14" t="s">
        <v>158</v>
      </c>
      <c r="E13" s="302">
        <v>2</v>
      </c>
      <c r="F13" s="10">
        <v>121110</v>
      </c>
      <c r="G13" s="99">
        <f>0+'táj.2'!G13</f>
        <v>0</v>
      </c>
      <c r="H13" s="99">
        <f>0+'táj.2'!H13</f>
        <v>0</v>
      </c>
      <c r="I13" s="99">
        <f>0+'táj.2'!I13</f>
        <v>0</v>
      </c>
      <c r="J13" s="99">
        <f>160+'táj.2'!J13</f>
        <v>160</v>
      </c>
      <c r="K13" s="99">
        <f>0+'táj.2'!K13</f>
        <v>0</v>
      </c>
      <c r="L13" s="99">
        <f>0+'táj.2'!L13</f>
        <v>0</v>
      </c>
      <c r="M13" s="99">
        <f>0+'táj.2'!M13</f>
        <v>0</v>
      </c>
      <c r="N13" s="99">
        <f>0+'táj.2'!N13</f>
        <v>0</v>
      </c>
      <c r="O13" s="99">
        <f>0+'táj.2'!O13</f>
        <v>0</v>
      </c>
      <c r="P13" s="99">
        <f>0+'táj.2'!P13</f>
        <v>0</v>
      </c>
      <c r="Q13" s="11">
        <f aca="true" t="shared" si="0" ref="Q13:Q19">SUM(G13:P13)</f>
        <v>160</v>
      </c>
    </row>
    <row r="14" spans="1:17" ht="14.25" customHeight="1">
      <c r="A14" s="10"/>
      <c r="B14" s="10"/>
      <c r="C14" s="242"/>
      <c r="D14" s="14" t="s">
        <v>996</v>
      </c>
      <c r="E14" s="302">
        <v>2</v>
      </c>
      <c r="F14" s="10">
        <v>121111</v>
      </c>
      <c r="G14" s="99">
        <f>0+'táj.2'!G14</f>
        <v>0</v>
      </c>
      <c r="H14" s="99">
        <f>0+'táj.2'!H14</f>
        <v>0</v>
      </c>
      <c r="I14" s="99">
        <f>0+'táj.2'!I14</f>
        <v>0</v>
      </c>
      <c r="J14" s="99">
        <f>720+'táj.2'!J14</f>
        <v>720</v>
      </c>
      <c r="K14" s="99">
        <f>0+'táj.2'!K14</f>
        <v>0</v>
      </c>
      <c r="L14" s="99">
        <f>0+'táj.2'!L14</f>
        <v>0</v>
      </c>
      <c r="M14" s="99">
        <f>0+'táj.2'!M14</f>
        <v>0</v>
      </c>
      <c r="N14" s="99">
        <f>0+'táj.2'!N14</f>
        <v>0</v>
      </c>
      <c r="O14" s="99">
        <f>0+'táj.2'!O14</f>
        <v>0</v>
      </c>
      <c r="P14" s="99">
        <f>0+'táj.2'!P14</f>
        <v>0</v>
      </c>
      <c r="Q14" s="11">
        <f t="shared" si="0"/>
        <v>720</v>
      </c>
    </row>
    <row r="15" spans="1:17" ht="14.25" customHeight="1">
      <c r="A15" s="10"/>
      <c r="B15" s="10"/>
      <c r="C15" s="242"/>
      <c r="D15" s="14" t="s">
        <v>590</v>
      </c>
      <c r="E15" s="302">
        <v>2</v>
      </c>
      <c r="F15" s="10">
        <v>121115</v>
      </c>
      <c r="G15" s="99">
        <f>0+'táj.2'!G15</f>
        <v>0</v>
      </c>
      <c r="H15" s="99">
        <f>0+'táj.2'!H15</f>
        <v>0</v>
      </c>
      <c r="I15" s="99">
        <f>0+'táj.2'!I15</f>
        <v>0</v>
      </c>
      <c r="J15" s="99">
        <f>6412+'táj.2'!J15</f>
        <v>6412</v>
      </c>
      <c r="K15" s="99">
        <f>0+'táj.2'!K15</f>
        <v>0</v>
      </c>
      <c r="L15" s="99">
        <f>0+'táj.2'!L15</f>
        <v>0</v>
      </c>
      <c r="M15" s="99">
        <f>0+'táj.2'!M15</f>
        <v>0</v>
      </c>
      <c r="N15" s="99">
        <f>0+'táj.2'!N15</f>
        <v>0</v>
      </c>
      <c r="O15" s="99">
        <f>0+'táj.2'!O15</f>
        <v>0</v>
      </c>
      <c r="P15" s="99">
        <f>0+'táj.2'!P15</f>
        <v>0</v>
      </c>
      <c r="Q15" s="11">
        <f t="shared" si="0"/>
        <v>6412</v>
      </c>
    </row>
    <row r="16" spans="1:17" ht="14.25" customHeight="1">
      <c r="A16" s="10"/>
      <c r="B16" s="10"/>
      <c r="C16" s="242"/>
      <c r="D16" s="14" t="s">
        <v>593</v>
      </c>
      <c r="E16" s="302">
        <v>2</v>
      </c>
      <c r="F16" s="522">
        <v>121127</v>
      </c>
      <c r="G16" s="99">
        <f>0+'táj.2'!G16</f>
        <v>0</v>
      </c>
      <c r="H16" s="99">
        <f>0+'táj.2'!H16</f>
        <v>0</v>
      </c>
      <c r="I16" s="99">
        <f>0+'táj.2'!I16</f>
        <v>0</v>
      </c>
      <c r="J16" s="99">
        <f>4592+'táj.2'!J16</f>
        <v>4592</v>
      </c>
      <c r="K16" s="99">
        <f>0+'táj.2'!K16</f>
        <v>0</v>
      </c>
      <c r="L16" s="99">
        <f>0+'táj.2'!L16</f>
        <v>0</v>
      </c>
      <c r="M16" s="99">
        <f>0+'táj.2'!M16</f>
        <v>0</v>
      </c>
      <c r="N16" s="99">
        <f>0+'táj.2'!N16</f>
        <v>0</v>
      </c>
      <c r="O16" s="99">
        <f>0+'táj.2'!O16</f>
        <v>0</v>
      </c>
      <c r="P16" s="99">
        <f>0+'táj.2'!P16</f>
        <v>0</v>
      </c>
      <c r="Q16" s="11">
        <f t="shared" si="0"/>
        <v>4592</v>
      </c>
    </row>
    <row r="17" spans="1:17" ht="14.25" customHeight="1">
      <c r="A17" s="10"/>
      <c r="B17" s="10"/>
      <c r="C17" s="242"/>
      <c r="D17" s="14" t="s">
        <v>591</v>
      </c>
      <c r="E17" s="302">
        <v>2</v>
      </c>
      <c r="F17" s="522">
        <v>121128</v>
      </c>
      <c r="G17" s="99">
        <f>0+'táj.2'!G17</f>
        <v>0</v>
      </c>
      <c r="H17" s="99">
        <f>0+'táj.2'!H17</f>
        <v>0</v>
      </c>
      <c r="I17" s="99">
        <f>0+'táj.2'!I17</f>
        <v>0</v>
      </c>
      <c r="J17" s="99">
        <f>700+'táj.2'!J17</f>
        <v>848</v>
      </c>
      <c r="K17" s="99">
        <f>0+'táj.2'!K17</f>
        <v>0</v>
      </c>
      <c r="L17" s="99">
        <f>0+'táj.2'!L17</f>
        <v>0</v>
      </c>
      <c r="M17" s="99">
        <f>0+'táj.2'!M17</f>
        <v>0</v>
      </c>
      <c r="N17" s="99">
        <f>0+'táj.2'!N17</f>
        <v>0</v>
      </c>
      <c r="O17" s="99">
        <f>0+'táj.2'!O17</f>
        <v>0</v>
      </c>
      <c r="P17" s="99">
        <f>0+'táj.2'!P17</f>
        <v>0</v>
      </c>
      <c r="Q17" s="11">
        <f t="shared" si="0"/>
        <v>848</v>
      </c>
    </row>
    <row r="18" spans="1:17" ht="14.25" customHeight="1">
      <c r="A18" s="10"/>
      <c r="B18" s="10"/>
      <c r="C18" s="242"/>
      <c r="D18" s="14" t="s">
        <v>376</v>
      </c>
      <c r="E18" s="302">
        <v>2</v>
      </c>
      <c r="F18" s="522">
        <v>121129</v>
      </c>
      <c r="G18" s="99">
        <f>0+'táj.2'!G18</f>
        <v>0</v>
      </c>
      <c r="H18" s="99">
        <f>0+'táj.2'!H18</f>
        <v>0</v>
      </c>
      <c r="I18" s="99">
        <f>0+'táj.2'!I18</f>
        <v>0</v>
      </c>
      <c r="J18" s="99">
        <f>7000+'táj.2'!J18</f>
        <v>8112</v>
      </c>
      <c r="K18" s="99">
        <f>1000+'táj.2'!K18</f>
        <v>75</v>
      </c>
      <c r="L18" s="99">
        <f>0+'táj.2'!L18</f>
        <v>0</v>
      </c>
      <c r="M18" s="99">
        <f>0+'táj.2'!M18</f>
        <v>0</v>
      </c>
      <c r="N18" s="99">
        <f>0+'táj.2'!N18</f>
        <v>0</v>
      </c>
      <c r="O18" s="99">
        <f>0+'táj.2'!O18</f>
        <v>0</v>
      </c>
      <c r="P18" s="99">
        <f>0+'táj.2'!P18</f>
        <v>0</v>
      </c>
      <c r="Q18" s="11">
        <f t="shared" si="0"/>
        <v>8187</v>
      </c>
    </row>
    <row r="19" spans="1:17" ht="14.25" customHeight="1">
      <c r="A19" s="10"/>
      <c r="B19" s="10"/>
      <c r="C19" s="242"/>
      <c r="D19" s="11" t="s">
        <v>929</v>
      </c>
      <c r="E19" s="311">
        <v>1</v>
      </c>
      <c r="F19" s="632">
        <v>121124</v>
      </c>
      <c r="G19" s="99">
        <f>0+'táj.2'!G19</f>
        <v>0</v>
      </c>
      <c r="H19" s="99">
        <f>0+'táj.2'!H19</f>
        <v>0</v>
      </c>
      <c r="I19" s="99">
        <f>0+'táj.2'!I19</f>
        <v>0</v>
      </c>
      <c r="J19" s="99">
        <f>8526+'táj.2'!J19</f>
        <v>8526</v>
      </c>
      <c r="K19" s="99">
        <f>0+'táj.2'!K19</f>
        <v>0</v>
      </c>
      <c r="L19" s="99">
        <f>0+'táj.2'!L19</f>
        <v>0</v>
      </c>
      <c r="M19" s="99">
        <f>0+'táj.2'!M19</f>
        <v>0</v>
      </c>
      <c r="N19" s="99">
        <f>0+'táj.2'!N19</f>
        <v>0</v>
      </c>
      <c r="O19" s="99">
        <f>0+'táj.2'!O19</f>
        <v>0</v>
      </c>
      <c r="P19" s="99">
        <f>0+'táj.2'!P19</f>
        <v>0</v>
      </c>
      <c r="Q19" s="11">
        <f t="shared" si="0"/>
        <v>8526</v>
      </c>
    </row>
    <row r="20" spans="1:17" ht="27" customHeight="1">
      <c r="A20" s="10"/>
      <c r="B20" s="10"/>
      <c r="C20" s="242"/>
      <c r="D20" s="447" t="s">
        <v>1507</v>
      </c>
      <c r="E20" s="302"/>
      <c r="F20" s="522"/>
      <c r="G20" s="99"/>
      <c r="H20" s="99"/>
      <c r="I20" s="99"/>
      <c r="J20" s="99"/>
      <c r="K20" s="99"/>
      <c r="L20" s="152"/>
      <c r="M20" s="152"/>
      <c r="N20" s="152"/>
      <c r="O20" s="152"/>
      <c r="P20" s="152"/>
      <c r="Q20" s="11"/>
    </row>
    <row r="21" spans="1:17" ht="14.25" customHeight="1">
      <c r="A21" s="10"/>
      <c r="B21" s="10"/>
      <c r="C21" s="242"/>
      <c r="D21" s="14" t="s">
        <v>592</v>
      </c>
      <c r="E21" s="302">
        <v>2</v>
      </c>
      <c r="F21" s="522">
        <v>121131</v>
      </c>
      <c r="G21" s="99">
        <f>0+'táj.2'!G21</f>
        <v>0</v>
      </c>
      <c r="H21" s="99">
        <f>0+'táj.2'!H21</f>
        <v>0</v>
      </c>
      <c r="I21" s="99">
        <f>0+'táj.2'!I21</f>
        <v>0</v>
      </c>
      <c r="J21" s="99">
        <f>3780+'táj.2'!J21</f>
        <v>3780</v>
      </c>
      <c r="K21" s="99">
        <f>0+'táj.2'!K21</f>
        <v>0</v>
      </c>
      <c r="L21" s="99">
        <f>0+'táj.2'!L21</f>
        <v>0</v>
      </c>
      <c r="M21" s="99">
        <f>0+'táj.2'!M21</f>
        <v>0</v>
      </c>
      <c r="N21" s="99">
        <f>0+'táj.2'!N21</f>
        <v>0</v>
      </c>
      <c r="O21" s="99">
        <f>0+'táj.2'!O21</f>
        <v>0</v>
      </c>
      <c r="P21" s="99">
        <f>0+'táj.2'!P21</f>
        <v>0</v>
      </c>
      <c r="Q21" s="11">
        <f>SUM(G21:P21)</f>
        <v>3780</v>
      </c>
    </row>
    <row r="22" spans="1:17" ht="14.25" customHeight="1">
      <c r="A22" s="10"/>
      <c r="B22" s="10"/>
      <c r="C22" s="242"/>
      <c r="D22" s="14" t="s">
        <v>54</v>
      </c>
      <c r="E22" s="302"/>
      <c r="F22" s="522"/>
      <c r="G22" s="99"/>
      <c r="H22" s="99"/>
      <c r="I22" s="99"/>
      <c r="J22" s="99"/>
      <c r="K22" s="99"/>
      <c r="L22" s="152"/>
      <c r="M22" s="152"/>
      <c r="N22" s="152"/>
      <c r="O22" s="152"/>
      <c r="P22" s="152"/>
      <c r="Q22" s="11"/>
    </row>
    <row r="23" spans="1:17" ht="14.25" customHeight="1">
      <c r="A23" s="10"/>
      <c r="B23" s="10"/>
      <c r="C23" s="242"/>
      <c r="D23" s="14" t="s">
        <v>377</v>
      </c>
      <c r="E23" s="302">
        <v>1</v>
      </c>
      <c r="F23" s="10">
        <v>121201</v>
      </c>
      <c r="G23" s="99">
        <f>0+'táj.2'!G23</f>
        <v>0</v>
      </c>
      <c r="H23" s="99">
        <f>0+'táj.2'!H23</f>
        <v>0</v>
      </c>
      <c r="I23" s="99">
        <f>0+'táj.2'!I23</f>
        <v>0</v>
      </c>
      <c r="J23" s="99">
        <f>508+'táj.2'!J23</f>
        <v>508</v>
      </c>
      <c r="K23" s="99">
        <f>0+'táj.2'!K23</f>
        <v>0</v>
      </c>
      <c r="L23" s="99">
        <f>0+'táj.2'!L23</f>
        <v>0</v>
      </c>
      <c r="M23" s="99">
        <f>0+'táj.2'!M23</f>
        <v>0</v>
      </c>
      <c r="N23" s="99">
        <f>0+'táj.2'!N23</f>
        <v>0</v>
      </c>
      <c r="O23" s="99">
        <f>0+'táj.2'!O23</f>
        <v>0</v>
      </c>
      <c r="P23" s="99">
        <f>0+'táj.2'!P23</f>
        <v>0</v>
      </c>
      <c r="Q23" s="11">
        <f>SUM(G23:P23)</f>
        <v>508</v>
      </c>
    </row>
    <row r="24" spans="1:17" ht="14.25" customHeight="1">
      <c r="A24" s="10"/>
      <c r="B24" s="10"/>
      <c r="C24" s="242"/>
      <c r="D24" s="14" t="s">
        <v>378</v>
      </c>
      <c r="E24" s="302">
        <v>2</v>
      </c>
      <c r="F24" s="10">
        <v>121105</v>
      </c>
      <c r="G24" s="99">
        <f>0+'táj.2'!G24</f>
        <v>0</v>
      </c>
      <c r="H24" s="99">
        <f>0+'táj.2'!H24</f>
        <v>0</v>
      </c>
      <c r="I24" s="99">
        <f>0+'táj.2'!I24</f>
        <v>0</v>
      </c>
      <c r="J24" s="99">
        <f>185+'táj.2'!J24</f>
        <v>185</v>
      </c>
      <c r="K24" s="99">
        <f>0+'táj.2'!K24</f>
        <v>0</v>
      </c>
      <c r="L24" s="99">
        <f>0+'táj.2'!L24</f>
        <v>0</v>
      </c>
      <c r="M24" s="99">
        <f>0+'táj.2'!M24</f>
        <v>0</v>
      </c>
      <c r="N24" s="99">
        <f>0+'táj.2'!N24</f>
        <v>0</v>
      </c>
      <c r="O24" s="99">
        <f>0+'táj.2'!O24</f>
        <v>0</v>
      </c>
      <c r="P24" s="99">
        <f>0+'táj.2'!P24</f>
        <v>0</v>
      </c>
      <c r="Q24" s="11">
        <f>SUM(G24:P24)</f>
        <v>185</v>
      </c>
    </row>
    <row r="25" spans="1:17" ht="14.25" customHeight="1">
      <c r="A25" s="10"/>
      <c r="B25" s="10"/>
      <c r="C25" s="242"/>
      <c r="D25" s="14" t="s">
        <v>1034</v>
      </c>
      <c r="E25" s="302">
        <v>2</v>
      </c>
      <c r="F25" s="522">
        <v>121130</v>
      </c>
      <c r="G25" s="99">
        <f>0+'táj.2'!G25</f>
        <v>0</v>
      </c>
      <c r="H25" s="99">
        <f>0+'táj.2'!H25</f>
        <v>0</v>
      </c>
      <c r="I25" s="99">
        <f>0+'táj.2'!I25</f>
        <v>0</v>
      </c>
      <c r="J25" s="99">
        <f>14000+'táj.2'!J25</f>
        <v>14000</v>
      </c>
      <c r="K25" s="99">
        <f>1000+'táj.2'!K25</f>
        <v>1000</v>
      </c>
      <c r="L25" s="99">
        <f>0+'táj.2'!L25</f>
        <v>0</v>
      </c>
      <c r="M25" s="99">
        <f>0+'táj.2'!M25</f>
        <v>0</v>
      </c>
      <c r="N25" s="99">
        <f>0+'táj.2'!N25</f>
        <v>0</v>
      </c>
      <c r="O25" s="99">
        <f>0+'táj.2'!O25</f>
        <v>0</v>
      </c>
      <c r="P25" s="99">
        <f>0+'táj.2'!P25</f>
        <v>0</v>
      </c>
      <c r="Q25" s="11">
        <f>SUM(G25:P25)</f>
        <v>15000</v>
      </c>
    </row>
    <row r="26" spans="1:17" ht="14.25" customHeight="1">
      <c r="A26" s="10"/>
      <c r="B26" s="10"/>
      <c r="C26" s="242"/>
      <c r="D26" s="14" t="s">
        <v>1263</v>
      </c>
      <c r="E26" s="302"/>
      <c r="F26" s="522"/>
      <c r="G26" s="99"/>
      <c r="H26" s="99"/>
      <c r="I26" s="99"/>
      <c r="J26" s="99"/>
      <c r="K26" s="99"/>
      <c r="L26" s="152"/>
      <c r="M26" s="152"/>
      <c r="N26" s="152"/>
      <c r="O26" s="152"/>
      <c r="P26" s="152"/>
      <c r="Q26" s="11"/>
    </row>
    <row r="27" spans="1:17" ht="14.25" customHeight="1">
      <c r="A27" s="10"/>
      <c r="B27" s="10"/>
      <c r="C27" s="242"/>
      <c r="D27" s="14" t="s">
        <v>997</v>
      </c>
      <c r="E27" s="302">
        <v>1</v>
      </c>
      <c r="F27" s="10">
        <v>121204</v>
      </c>
      <c r="G27" s="99">
        <f>0+'táj.2'!G27</f>
        <v>0</v>
      </c>
      <c r="H27" s="99">
        <f>0+'táj.2'!H27</f>
        <v>0</v>
      </c>
      <c r="I27" s="99">
        <f>0+'táj.2'!I27</f>
        <v>0</v>
      </c>
      <c r="J27" s="99">
        <f>19300+'táj.2'!J27</f>
        <v>19300</v>
      </c>
      <c r="K27" s="99">
        <f>0+'táj.2'!K27</f>
        <v>0</v>
      </c>
      <c r="L27" s="99">
        <f>0+'táj.2'!L27</f>
        <v>0</v>
      </c>
      <c r="M27" s="99">
        <f>0+'táj.2'!M27</f>
        <v>0</v>
      </c>
      <c r="N27" s="99">
        <f>0+'táj.2'!N27</f>
        <v>0</v>
      </c>
      <c r="O27" s="99">
        <f>0+'táj.2'!O27</f>
        <v>0</v>
      </c>
      <c r="P27" s="99">
        <f>0+'táj.2'!P27</f>
        <v>0</v>
      </c>
      <c r="Q27" s="11">
        <f>SUM(G27:P27)</f>
        <v>19300</v>
      </c>
    </row>
    <row r="28" spans="1:17" ht="14.25" customHeight="1">
      <c r="A28" s="10"/>
      <c r="B28" s="10"/>
      <c r="C28" s="242"/>
      <c r="D28" s="101" t="s">
        <v>186</v>
      </c>
      <c r="E28" s="302">
        <v>1</v>
      </c>
      <c r="F28" s="10">
        <v>121203</v>
      </c>
      <c r="G28" s="99">
        <f>0+'táj.2'!G28</f>
        <v>0</v>
      </c>
      <c r="H28" s="99">
        <f>0+'táj.2'!H28</f>
        <v>0</v>
      </c>
      <c r="I28" s="99">
        <f>1000+'táj.2'!I28</f>
        <v>1083</v>
      </c>
      <c r="J28" s="99">
        <f>6248+'táj.2'!J28</f>
        <v>6165</v>
      </c>
      <c r="K28" s="99">
        <f>0+'táj.2'!K28</f>
        <v>0</v>
      </c>
      <c r="L28" s="99">
        <f>0+'táj.2'!L28</f>
        <v>0</v>
      </c>
      <c r="M28" s="99">
        <f>0+'táj.2'!M28</f>
        <v>0</v>
      </c>
      <c r="N28" s="99">
        <f>0+'táj.2'!N28</f>
        <v>0</v>
      </c>
      <c r="O28" s="99">
        <f>0+'táj.2'!O28</f>
        <v>0</v>
      </c>
      <c r="P28" s="99">
        <f>0+'táj.2'!P28</f>
        <v>0</v>
      </c>
      <c r="Q28" s="11">
        <f>SUM(G28:P28)</f>
        <v>7248</v>
      </c>
    </row>
    <row r="29" spans="1:17" ht="14.25" customHeight="1">
      <c r="A29" s="10"/>
      <c r="B29" s="10"/>
      <c r="C29" s="242"/>
      <c r="D29" s="16" t="s">
        <v>109</v>
      </c>
      <c r="E29" s="302"/>
      <c r="F29" s="100"/>
      <c r="G29" s="99"/>
      <c r="H29" s="15"/>
      <c r="I29" s="11"/>
      <c r="J29" s="11"/>
      <c r="K29" s="99"/>
      <c r="L29" s="154"/>
      <c r="M29" s="154"/>
      <c r="N29" s="154"/>
      <c r="O29" s="154"/>
      <c r="P29" s="153"/>
      <c r="Q29" s="11"/>
    </row>
    <row r="30" spans="1:17" ht="14.25" customHeight="1">
      <c r="A30" s="10"/>
      <c r="B30" s="10"/>
      <c r="C30" s="242"/>
      <c r="D30" s="14" t="s">
        <v>157</v>
      </c>
      <c r="E30" s="302">
        <v>2</v>
      </c>
      <c r="F30" s="10">
        <v>121504</v>
      </c>
      <c r="G30" s="99">
        <f>0+'táj.2'!G30</f>
        <v>0</v>
      </c>
      <c r="H30" s="99">
        <f>0+'táj.2'!H30</f>
        <v>0</v>
      </c>
      <c r="I30" s="99">
        <f>0+'táj.2'!I30</f>
        <v>0</v>
      </c>
      <c r="J30" s="99">
        <f>7200+'táj.2'!J30</f>
        <v>7200</v>
      </c>
      <c r="K30" s="99">
        <f>0+'táj.2'!K30</f>
        <v>0</v>
      </c>
      <c r="L30" s="99">
        <f>0+'táj.2'!L30</f>
        <v>0</v>
      </c>
      <c r="M30" s="99">
        <f>0+'táj.2'!M30</f>
        <v>0</v>
      </c>
      <c r="N30" s="99">
        <f>0+'táj.2'!N30</f>
        <v>0</v>
      </c>
      <c r="O30" s="99">
        <f>0+'táj.2'!O30</f>
        <v>0</v>
      </c>
      <c r="P30" s="99">
        <f>0+'táj.2'!P30</f>
        <v>0</v>
      </c>
      <c r="Q30" s="11">
        <f>SUM(G30:P30)</f>
        <v>7200</v>
      </c>
    </row>
    <row r="31" spans="1:17" ht="14.25" customHeight="1">
      <c r="A31" s="10"/>
      <c r="B31" s="10"/>
      <c r="C31" s="242"/>
      <c r="D31" s="14" t="s">
        <v>55</v>
      </c>
      <c r="E31" s="302"/>
      <c r="F31" s="10"/>
      <c r="G31" s="99"/>
      <c r="H31" s="11"/>
      <c r="I31" s="11"/>
      <c r="J31" s="154"/>
      <c r="K31" s="99"/>
      <c r="L31" s="154"/>
      <c r="M31" s="154"/>
      <c r="N31" s="154"/>
      <c r="O31" s="154"/>
      <c r="P31" s="153"/>
      <c r="Q31" s="11"/>
    </row>
    <row r="32" spans="1:17" ht="12" customHeight="1">
      <c r="A32" s="100"/>
      <c r="B32" s="103"/>
      <c r="C32" s="243"/>
      <c r="D32" s="15" t="s">
        <v>160</v>
      </c>
      <c r="E32" s="302">
        <v>1</v>
      </c>
      <c r="F32" s="100">
        <v>121403</v>
      </c>
      <c r="G32" s="99">
        <f>0+'táj.2'!G32</f>
        <v>0</v>
      </c>
      <c r="H32" s="99">
        <f>0+'táj.2'!H32</f>
        <v>0</v>
      </c>
      <c r="I32" s="99">
        <f>100+'táj.2'!I32</f>
        <v>100</v>
      </c>
      <c r="J32" s="99">
        <f>0+'táj.2'!J32</f>
        <v>0</v>
      </c>
      <c r="K32" s="99">
        <f>0+'táj.2'!K32</f>
        <v>0</v>
      </c>
      <c r="L32" s="99">
        <f>0+'táj.2'!L32</f>
        <v>0</v>
      </c>
      <c r="M32" s="99">
        <f>0+'táj.2'!M32</f>
        <v>0</v>
      </c>
      <c r="N32" s="99">
        <f>0+'táj.2'!N32</f>
        <v>0</v>
      </c>
      <c r="O32" s="99">
        <f>0+'táj.2'!O32</f>
        <v>0</v>
      </c>
      <c r="P32" s="99">
        <f>0+'táj.2'!P32</f>
        <v>0</v>
      </c>
      <c r="Q32" s="11">
        <f>SUM(G32:P32)</f>
        <v>100</v>
      </c>
    </row>
    <row r="33" spans="1:17" ht="12" customHeight="1">
      <c r="A33" s="100"/>
      <c r="B33" s="103"/>
      <c r="C33" s="243"/>
      <c r="D33" s="15" t="s">
        <v>56</v>
      </c>
      <c r="E33" s="15"/>
      <c r="F33" s="100"/>
      <c r="G33" s="99"/>
      <c r="H33" s="15"/>
      <c r="I33" s="15"/>
      <c r="J33" s="155"/>
      <c r="K33" s="15"/>
      <c r="L33" s="155"/>
      <c r="M33" s="155"/>
      <c r="N33" s="155"/>
      <c r="O33" s="155"/>
      <c r="P33" s="155"/>
      <c r="Q33" s="11"/>
    </row>
    <row r="34" spans="1:17" ht="12" customHeight="1">
      <c r="A34" s="100"/>
      <c r="B34" s="100"/>
      <c r="C34" s="244"/>
      <c r="D34" s="16" t="s">
        <v>161</v>
      </c>
      <c r="E34" s="15">
        <v>1</v>
      </c>
      <c r="F34" s="100">
        <v>121301</v>
      </c>
      <c r="G34" s="99">
        <f>0+'táj.2'!G34</f>
        <v>0</v>
      </c>
      <c r="H34" s="99">
        <f>0+'táj.2'!H34</f>
        <v>0</v>
      </c>
      <c r="I34" s="99">
        <f>0+'táj.2'!I34</f>
        <v>0</v>
      </c>
      <c r="J34" s="99">
        <f>0+'táj.2'!J34</f>
        <v>0</v>
      </c>
      <c r="K34" s="99">
        <f>0+'táj.2'!K34</f>
        <v>0</v>
      </c>
      <c r="L34" s="99">
        <f>0+'táj.2'!L34</f>
        <v>0</v>
      </c>
      <c r="M34" s="99">
        <f>0+'táj.2'!M34</f>
        <v>0</v>
      </c>
      <c r="N34" s="99">
        <f>0+'táj.2'!N34</f>
        <v>0</v>
      </c>
      <c r="O34" s="99">
        <f>0+'táj.2'!O34</f>
        <v>0</v>
      </c>
      <c r="P34" s="99">
        <f>0+'táj.2'!P34</f>
        <v>0</v>
      </c>
      <c r="Q34" s="11">
        <f>SUM(G34:P34)</f>
        <v>0</v>
      </c>
    </row>
    <row r="35" spans="1:17" ht="12" customHeight="1">
      <c r="A35" s="100"/>
      <c r="B35" s="100"/>
      <c r="C35" s="244"/>
      <c r="D35" s="235" t="s">
        <v>57</v>
      </c>
      <c r="E35" s="302"/>
      <c r="F35" s="100"/>
      <c r="G35" s="99"/>
      <c r="H35" s="15"/>
      <c r="I35" s="15"/>
      <c r="J35" s="155"/>
      <c r="K35" s="15"/>
      <c r="L35" s="155"/>
      <c r="M35" s="155"/>
      <c r="N35" s="155"/>
      <c r="O35" s="155"/>
      <c r="P35" s="15"/>
      <c r="Q35" s="11"/>
    </row>
    <row r="36" spans="1:17" ht="12" customHeight="1">
      <c r="A36" s="100"/>
      <c r="B36" s="100"/>
      <c r="C36" s="244"/>
      <c r="D36" s="124" t="s">
        <v>1302</v>
      </c>
      <c r="E36" s="302">
        <v>2</v>
      </c>
      <c r="F36" s="100">
        <v>221902</v>
      </c>
      <c r="G36" s="99">
        <f>0+'táj.2'!G36</f>
        <v>0</v>
      </c>
      <c r="H36" s="99">
        <f>0+'táj.2'!H36</f>
        <v>0</v>
      </c>
      <c r="I36" s="99">
        <f>23300+'táj.2'!I36</f>
        <v>25024</v>
      </c>
      <c r="J36" s="99">
        <f>0+'táj.2'!J36</f>
        <v>0</v>
      </c>
      <c r="K36" s="99">
        <f>0+'táj.2'!K36</f>
        <v>0</v>
      </c>
      <c r="L36" s="99">
        <f>0+'táj.2'!L36</f>
        <v>0</v>
      </c>
      <c r="M36" s="99">
        <f>0+'táj.2'!M36</f>
        <v>0</v>
      </c>
      <c r="N36" s="99">
        <f>0+'táj.2'!N36</f>
        <v>0</v>
      </c>
      <c r="O36" s="99">
        <f>0+'táj.2'!O36</f>
        <v>0</v>
      </c>
      <c r="P36" s="99">
        <f>0+'táj.2'!P36</f>
        <v>0</v>
      </c>
      <c r="Q36" s="11">
        <f>SUM(G36:P36)</f>
        <v>25024</v>
      </c>
    </row>
    <row r="37" spans="1:17" ht="12" customHeight="1">
      <c r="A37" s="100"/>
      <c r="B37" s="100"/>
      <c r="C37" s="244"/>
      <c r="D37" s="129" t="s">
        <v>1303</v>
      </c>
      <c r="E37" s="302">
        <v>2</v>
      </c>
      <c r="F37" s="100" t="s">
        <v>707</v>
      </c>
      <c r="G37" s="99">
        <f>0+'táj.2'!G37</f>
        <v>0</v>
      </c>
      <c r="H37" s="99">
        <f>2900+'táj.2'!H37</f>
        <v>3085</v>
      </c>
      <c r="I37" s="99">
        <f>300+'táj.2'!I37</f>
        <v>0</v>
      </c>
      <c r="J37" s="99">
        <f>7245+'táj.2'!J37</f>
        <v>7360</v>
      </c>
      <c r="K37" s="99">
        <f>0+'táj.2'!K37</f>
        <v>0</v>
      </c>
      <c r="L37" s="99">
        <f>0+'táj.2'!L37</f>
        <v>0</v>
      </c>
      <c r="M37" s="99">
        <f>0+'táj.2'!M37</f>
        <v>0</v>
      </c>
      <c r="N37" s="99">
        <f>0+'táj.2'!N37</f>
        <v>0</v>
      </c>
      <c r="O37" s="99">
        <f>0+'táj.2'!O37</f>
        <v>0</v>
      </c>
      <c r="P37" s="99">
        <f>0+'táj.2'!P37</f>
        <v>0</v>
      </c>
      <c r="Q37" s="11">
        <f>SUM(G37:P37)</f>
        <v>10445</v>
      </c>
    </row>
    <row r="38" spans="1:17" ht="13.5" customHeight="1">
      <c r="A38" s="100"/>
      <c r="B38" s="100"/>
      <c r="C38" s="244"/>
      <c r="D38" s="241" t="s">
        <v>775</v>
      </c>
      <c r="E38" s="302"/>
      <c r="F38" s="113"/>
      <c r="G38" s="99"/>
      <c r="H38" s="18"/>
      <c r="I38" s="18"/>
      <c r="J38" s="18"/>
      <c r="K38" s="18"/>
      <c r="L38" s="18"/>
      <c r="M38" s="18"/>
      <c r="N38" s="18"/>
      <c r="O38" s="18"/>
      <c r="P38" s="18"/>
      <c r="Q38" s="11"/>
    </row>
    <row r="39" spans="1:17" ht="13.5" customHeight="1">
      <c r="A39" s="100"/>
      <c r="B39" s="100"/>
      <c r="C39" s="244"/>
      <c r="D39" s="17" t="s">
        <v>436</v>
      </c>
      <c r="E39" s="302">
        <v>1</v>
      </c>
      <c r="F39" s="113">
        <v>121601</v>
      </c>
      <c r="G39" s="99">
        <f>20+'táj.2'!G39</f>
        <v>20</v>
      </c>
      <c r="H39" s="99">
        <f>10+'táj.2'!H39</f>
        <v>10</v>
      </c>
      <c r="I39" s="99">
        <f>370+'táj.2'!I39</f>
        <v>370</v>
      </c>
      <c r="J39" s="99">
        <f>0+'táj.2'!J39</f>
        <v>0</v>
      </c>
      <c r="K39" s="99">
        <f>500+'táj.2'!K39</f>
        <v>500</v>
      </c>
      <c r="L39" s="99">
        <f>0+'táj.2'!L39</f>
        <v>0</v>
      </c>
      <c r="M39" s="99">
        <f>0+'táj.2'!M39</f>
        <v>0</v>
      </c>
      <c r="N39" s="99">
        <f>0+'táj.2'!N39</f>
        <v>0</v>
      </c>
      <c r="O39" s="99">
        <f>0+'táj.2'!O39</f>
        <v>0</v>
      </c>
      <c r="P39" s="99">
        <f>0+'táj.2'!P39</f>
        <v>0</v>
      </c>
      <c r="Q39" s="18">
        <f>SUM(G39:P39)</f>
        <v>900</v>
      </c>
    </row>
    <row r="40" spans="1:17" ht="13.5" customHeight="1">
      <c r="A40" s="100"/>
      <c r="B40" s="100"/>
      <c r="C40" s="244"/>
      <c r="D40" s="224" t="s">
        <v>114</v>
      </c>
      <c r="E40" s="158"/>
      <c r="F40" s="531"/>
      <c r="G40" s="99"/>
      <c r="H40" s="18"/>
      <c r="I40" s="15"/>
      <c r="J40" s="15"/>
      <c r="K40" s="15"/>
      <c r="L40" s="15"/>
      <c r="M40" s="18"/>
      <c r="N40" s="18"/>
      <c r="O40" s="18"/>
      <c r="P40" s="18"/>
      <c r="Q40" s="18"/>
    </row>
    <row r="41" spans="1:17" ht="13.5" customHeight="1">
      <c r="A41" s="100"/>
      <c r="B41" s="100"/>
      <c r="C41" s="244"/>
      <c r="D41" s="16" t="s">
        <v>25</v>
      </c>
      <c r="E41" s="180">
        <v>2</v>
      </c>
      <c r="F41" s="521">
        <v>121517</v>
      </c>
      <c r="G41" s="99">
        <f>0+'táj.2'!G41</f>
        <v>0</v>
      </c>
      <c r="H41" s="99">
        <f>0+'táj.2'!H41</f>
        <v>0</v>
      </c>
      <c r="I41" s="99">
        <f>0+'táj.2'!I41</f>
        <v>0</v>
      </c>
      <c r="J41" s="99">
        <f>0+'táj.2'!J41</f>
        <v>0</v>
      </c>
      <c r="K41" s="99">
        <f>2570+'táj.2'!K41</f>
        <v>2570</v>
      </c>
      <c r="L41" s="99">
        <f>0+'táj.2'!L41</f>
        <v>0</v>
      </c>
      <c r="M41" s="99">
        <f>0+'táj.2'!M41</f>
        <v>0</v>
      </c>
      <c r="N41" s="99">
        <f>0+'táj.2'!N41</f>
        <v>0</v>
      </c>
      <c r="O41" s="99">
        <f>0+'táj.2'!O41</f>
        <v>0</v>
      </c>
      <c r="P41" s="99">
        <f>0+'táj.2'!P41</f>
        <v>0</v>
      </c>
      <c r="Q41" s="11">
        <f>SUM(G41:P41)</f>
        <v>2570</v>
      </c>
    </row>
    <row r="42" spans="1:17" ht="13.5">
      <c r="A42" s="104"/>
      <c r="B42" s="104"/>
      <c r="C42" s="245"/>
      <c r="D42" s="106" t="s">
        <v>1490</v>
      </c>
      <c r="E42" s="107"/>
      <c r="F42" s="532"/>
      <c r="G42" s="108">
        <f>SUM(G5:G41)</f>
        <v>20</v>
      </c>
      <c r="H42" s="108">
        <f aca="true" t="shared" si="1" ref="H42:Q42">SUM(H5:H41)</f>
        <v>3095</v>
      </c>
      <c r="I42" s="108">
        <f t="shared" si="1"/>
        <v>26577</v>
      </c>
      <c r="J42" s="108">
        <f t="shared" si="1"/>
        <v>130093</v>
      </c>
      <c r="K42" s="108">
        <f t="shared" si="1"/>
        <v>4145</v>
      </c>
      <c r="L42" s="108">
        <f t="shared" si="1"/>
        <v>0</v>
      </c>
      <c r="M42" s="108">
        <f t="shared" si="1"/>
        <v>0</v>
      </c>
      <c r="N42" s="108">
        <f t="shared" si="1"/>
        <v>0</v>
      </c>
      <c r="O42" s="108">
        <f t="shared" si="1"/>
        <v>0</v>
      </c>
      <c r="P42" s="108">
        <f t="shared" si="1"/>
        <v>0</v>
      </c>
      <c r="Q42" s="108">
        <f t="shared" si="1"/>
        <v>163930</v>
      </c>
    </row>
    <row r="43" spans="1:17" ht="12">
      <c r="A43" s="100"/>
      <c r="B43" s="100"/>
      <c r="C43" s="244"/>
      <c r="D43" s="16" t="s">
        <v>231</v>
      </c>
      <c r="E43" s="102"/>
      <c r="F43" s="328"/>
      <c r="G43" s="15"/>
      <c r="H43" s="15"/>
      <c r="I43" s="15"/>
      <c r="J43" s="15"/>
      <c r="K43" s="15"/>
      <c r="L43" s="15"/>
      <c r="M43" s="15"/>
      <c r="N43" s="105"/>
      <c r="O43" s="105"/>
      <c r="P43" s="105"/>
      <c r="Q43" s="15"/>
    </row>
    <row r="44" spans="1:17" ht="28.5" customHeight="1">
      <c r="A44" s="100"/>
      <c r="B44" s="100"/>
      <c r="C44" s="244" t="s">
        <v>1328</v>
      </c>
      <c r="D44" s="253" t="s">
        <v>1048</v>
      </c>
      <c r="E44" s="15"/>
      <c r="F44" s="100">
        <v>121401</v>
      </c>
      <c r="G44" s="15">
        <f>0+'táj.2'!G44</f>
        <v>0</v>
      </c>
      <c r="H44" s="15">
        <f>0+'táj.2'!H44</f>
        <v>0</v>
      </c>
      <c r="I44" s="15">
        <f>0+'táj.2'!I44</f>
        <v>0</v>
      </c>
      <c r="J44" s="15">
        <f>0+'táj.2'!J44</f>
        <v>0</v>
      </c>
      <c r="K44" s="15">
        <f>0+'táj.2'!K44</f>
        <v>0</v>
      </c>
      <c r="L44" s="15">
        <f>0+'táj.2'!L44</f>
        <v>0</v>
      </c>
      <c r="M44" s="15">
        <f>0+'táj.2'!M44</f>
        <v>0</v>
      </c>
      <c r="N44" s="15">
        <f>20000+'táj.2'!N44</f>
        <v>20000</v>
      </c>
      <c r="O44" s="15">
        <f>0+'táj.2'!O44</f>
        <v>0</v>
      </c>
      <c r="P44" s="15">
        <f>0+'táj.2'!P44</f>
        <v>0</v>
      </c>
      <c r="Q44" s="15">
        <f>SUM(G44:P44)</f>
        <v>20000</v>
      </c>
    </row>
    <row r="45" spans="1:17" ht="17.25" customHeight="1">
      <c r="A45" s="100"/>
      <c r="B45" s="100"/>
      <c r="C45" s="244" t="s">
        <v>1341</v>
      </c>
      <c r="D45" s="656" t="s">
        <v>305</v>
      </c>
      <c r="E45" s="15"/>
      <c r="F45" s="100">
        <v>121405</v>
      </c>
      <c r="G45" s="15">
        <f>0+'táj.2'!G45</f>
        <v>0</v>
      </c>
      <c r="H45" s="15">
        <f>0+'táj.2'!H45</f>
        <v>0</v>
      </c>
      <c r="I45" s="15">
        <f>0+'táj.2'!I45</f>
        <v>0</v>
      </c>
      <c r="J45" s="15">
        <f>0+'táj.2'!J45</f>
        <v>0</v>
      </c>
      <c r="K45" s="15">
        <f>0+'táj.2'!K45</f>
        <v>0</v>
      </c>
      <c r="L45" s="15">
        <f>0+'táj.2'!L45</f>
        <v>0</v>
      </c>
      <c r="M45" s="15">
        <f>0+'táj.2'!M45</f>
        <v>0</v>
      </c>
      <c r="N45" s="15">
        <f>20000+'táj.2'!N45</f>
        <v>20000</v>
      </c>
      <c r="O45" s="15">
        <f>0+'táj.2'!O45</f>
        <v>0</v>
      </c>
      <c r="P45" s="15">
        <f>0+'táj.2'!P45</f>
        <v>0</v>
      </c>
      <c r="Q45" s="15">
        <f>SUM(G45:P45)</f>
        <v>20000</v>
      </c>
    </row>
    <row r="46" spans="1:17" ht="12">
      <c r="A46" s="100"/>
      <c r="B46" s="100"/>
      <c r="C46" s="244"/>
      <c r="D46" s="16" t="s">
        <v>350</v>
      </c>
      <c r="E46" s="15"/>
      <c r="F46" s="100"/>
      <c r="G46" s="15"/>
      <c r="H46" s="15"/>
      <c r="I46" s="15"/>
      <c r="J46" s="15"/>
      <c r="K46" s="15"/>
      <c r="L46" s="15"/>
      <c r="M46" s="15"/>
      <c r="N46" s="15"/>
      <c r="O46" s="105"/>
      <c r="P46" s="105"/>
      <c r="Q46" s="15">
        <f>SUM(G46:P46)</f>
        <v>0</v>
      </c>
    </row>
    <row r="47" spans="1:17" ht="24">
      <c r="A47" s="100"/>
      <c r="B47" s="100"/>
      <c r="C47" s="244" t="s">
        <v>1060</v>
      </c>
      <c r="D47" s="210" t="s">
        <v>1125</v>
      </c>
      <c r="E47" s="15"/>
      <c r="F47" s="100">
        <v>121402</v>
      </c>
      <c r="G47" s="15">
        <f>0+'táj.2'!G47</f>
        <v>0</v>
      </c>
      <c r="H47" s="15">
        <f>0+'táj.2'!H47</f>
        <v>0</v>
      </c>
      <c r="I47" s="15">
        <f>0+'táj.2'!I47</f>
        <v>0</v>
      </c>
      <c r="J47" s="15">
        <f>0+'táj.2'!J47</f>
        <v>0</v>
      </c>
      <c r="K47" s="15">
        <f>0+'táj.2'!K47</f>
        <v>0</v>
      </c>
      <c r="L47" s="15">
        <f>0+'táj.2'!L47</f>
        <v>0</v>
      </c>
      <c r="M47" s="15">
        <f>0+'táj.2'!M47</f>
        <v>0</v>
      </c>
      <c r="N47" s="15">
        <f>22519+'táj.2'!N47</f>
        <v>22519</v>
      </c>
      <c r="O47" s="15">
        <f>0+'táj.2'!O47</f>
        <v>0</v>
      </c>
      <c r="P47" s="15">
        <f>0+'táj.2'!P47</f>
        <v>0</v>
      </c>
      <c r="Q47" s="15">
        <f>SUM(G47:P47)</f>
        <v>22519</v>
      </c>
    </row>
    <row r="48" spans="1:17" ht="24">
      <c r="A48" s="100"/>
      <c r="B48" s="100"/>
      <c r="C48" s="244" t="s">
        <v>1061</v>
      </c>
      <c r="D48" s="674" t="s">
        <v>1127</v>
      </c>
      <c r="E48" s="15"/>
      <c r="F48" s="100">
        <v>121404</v>
      </c>
      <c r="G48" s="15">
        <f>0+'táj.2'!G48</f>
        <v>0</v>
      </c>
      <c r="H48" s="15">
        <f>0+'táj.2'!H48</f>
        <v>0</v>
      </c>
      <c r="I48" s="15">
        <f>0+'táj.2'!I48</f>
        <v>0</v>
      </c>
      <c r="J48" s="15">
        <f>0+'táj.2'!J48</f>
        <v>0</v>
      </c>
      <c r="K48" s="15">
        <f>0+'táj.2'!K48</f>
        <v>0</v>
      </c>
      <c r="L48" s="15">
        <f>0+'táj.2'!L48</f>
        <v>0</v>
      </c>
      <c r="M48" s="15">
        <f>0+'táj.2'!M48</f>
        <v>0</v>
      </c>
      <c r="N48" s="15">
        <f>0+'táj.2'!N48</f>
        <v>0</v>
      </c>
      <c r="O48" s="15">
        <f>0+'táj.2'!O48</f>
        <v>0</v>
      </c>
      <c r="P48" s="15">
        <f>0+'táj.2'!P48</f>
        <v>0</v>
      </c>
      <c r="Q48" s="15">
        <f>SUM(G48:P48)</f>
        <v>0</v>
      </c>
    </row>
    <row r="49" spans="1:17" ht="13.5">
      <c r="A49" s="104"/>
      <c r="B49" s="104"/>
      <c r="C49" s="245"/>
      <c r="D49" s="106" t="s">
        <v>1489</v>
      </c>
      <c r="E49" s="107"/>
      <c r="F49" s="532"/>
      <c r="G49" s="108">
        <f aca="true" t="shared" si="2" ref="G49:N49">SUM(G42:G48)</f>
        <v>20</v>
      </c>
      <c r="H49" s="108">
        <f t="shared" si="2"/>
        <v>3095</v>
      </c>
      <c r="I49" s="108">
        <f t="shared" si="2"/>
        <v>26577</v>
      </c>
      <c r="J49" s="108">
        <f t="shared" si="2"/>
        <v>130093</v>
      </c>
      <c r="K49" s="108">
        <f t="shared" si="2"/>
        <v>4145</v>
      </c>
      <c r="L49" s="108">
        <f t="shared" si="2"/>
        <v>0</v>
      </c>
      <c r="M49" s="108">
        <f t="shared" si="2"/>
        <v>0</v>
      </c>
      <c r="N49" s="108">
        <f t="shared" si="2"/>
        <v>62519</v>
      </c>
      <c r="O49" s="108"/>
      <c r="P49" s="108">
        <f>SUM(P42:P48)</f>
        <v>0</v>
      </c>
      <c r="Q49" s="108">
        <f>SUM(Q42:Q48)</f>
        <v>226449</v>
      </c>
    </row>
    <row r="50" spans="1:17" ht="12">
      <c r="A50" s="100">
        <v>1</v>
      </c>
      <c r="B50" s="100">
        <v>13</v>
      </c>
      <c r="C50" s="100"/>
      <c r="D50" s="290" t="s">
        <v>1486</v>
      </c>
      <c r="E50" s="105" t="s">
        <v>999</v>
      </c>
      <c r="F50" s="112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</row>
    <row r="51" spans="1:17" ht="12">
      <c r="A51" s="100"/>
      <c r="B51" s="100"/>
      <c r="C51" s="244"/>
      <c r="D51" s="182" t="s">
        <v>1114</v>
      </c>
      <c r="E51" s="105"/>
      <c r="F51" s="112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</row>
    <row r="52" spans="1:17" ht="12">
      <c r="A52" s="100"/>
      <c r="B52" s="100"/>
      <c r="C52" s="244"/>
      <c r="D52" s="101" t="s">
        <v>110</v>
      </c>
      <c r="E52" s="302"/>
      <c r="F52" s="52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" customHeight="1">
      <c r="A53" s="100"/>
      <c r="B53" s="100"/>
      <c r="C53" s="244"/>
      <c r="D53" s="16" t="s">
        <v>1280</v>
      </c>
      <c r="E53" s="15">
        <v>2</v>
      </c>
      <c r="F53" s="100">
        <v>131112</v>
      </c>
      <c r="G53" s="15">
        <f>0+'táj.2'!G53</f>
        <v>0</v>
      </c>
      <c r="H53" s="15">
        <f>0+'táj.2'!H53</f>
        <v>0</v>
      </c>
      <c r="I53" s="15">
        <f>0+'táj.2'!I53</f>
        <v>0</v>
      </c>
      <c r="J53" s="15">
        <f>18500+'táj.2'!J53</f>
        <v>18500</v>
      </c>
      <c r="K53" s="15">
        <f>0+'táj.2'!K53</f>
        <v>0</v>
      </c>
      <c r="L53" s="15">
        <f>0+'táj.2'!L53</f>
        <v>0</v>
      </c>
      <c r="M53" s="15">
        <f>0+'táj.2'!M53</f>
        <v>0</v>
      </c>
      <c r="N53" s="15">
        <f>0+'táj.2'!N53</f>
        <v>0</v>
      </c>
      <c r="O53" s="15">
        <f>0+'táj.2'!O53</f>
        <v>0</v>
      </c>
      <c r="P53" s="15">
        <f>0+'táj.2'!P53</f>
        <v>0</v>
      </c>
      <c r="Q53" s="15">
        <f aca="true" t="shared" si="3" ref="Q53:Q67">SUM(G53:P53)</f>
        <v>18500</v>
      </c>
    </row>
    <row r="54" spans="1:17" ht="15" customHeight="1">
      <c r="A54" s="100"/>
      <c r="B54" s="100"/>
      <c r="C54" s="244"/>
      <c r="D54" s="193" t="s">
        <v>2</v>
      </c>
      <c r="E54" s="15">
        <v>2</v>
      </c>
      <c r="F54" s="100">
        <v>131123</v>
      </c>
      <c r="G54" s="15">
        <f>0+'táj.2'!G54</f>
        <v>0</v>
      </c>
      <c r="H54" s="15">
        <f>0+'táj.2'!H54</f>
        <v>0</v>
      </c>
      <c r="I54" s="15">
        <f>250+'táj.2'!I54</f>
        <v>250</v>
      </c>
      <c r="J54" s="15">
        <f>0+'táj.2'!J54</f>
        <v>0</v>
      </c>
      <c r="K54" s="15">
        <f>4250+'táj.2'!K54</f>
        <v>4250</v>
      </c>
      <c r="L54" s="15">
        <f>0+'táj.2'!L54</f>
        <v>0</v>
      </c>
      <c r="M54" s="15">
        <f>0+'táj.2'!M54</f>
        <v>0</v>
      </c>
      <c r="N54" s="15">
        <f>0+'táj.2'!N54</f>
        <v>0</v>
      </c>
      <c r="O54" s="15">
        <f>0+'táj.2'!O54</f>
        <v>0</v>
      </c>
      <c r="P54" s="15">
        <f>0+'táj.2'!P54</f>
        <v>0</v>
      </c>
      <c r="Q54" s="15">
        <f t="shared" si="3"/>
        <v>4500</v>
      </c>
    </row>
    <row r="55" spans="1:17" ht="15" customHeight="1">
      <c r="A55" s="100"/>
      <c r="B55" s="100"/>
      <c r="C55" s="244"/>
      <c r="D55" s="193" t="s">
        <v>1009</v>
      </c>
      <c r="E55" s="15">
        <v>2</v>
      </c>
      <c r="F55" s="100">
        <v>131122</v>
      </c>
      <c r="G55" s="15">
        <f>990+'táj.2'!G55</f>
        <v>990</v>
      </c>
      <c r="H55" s="15">
        <f>268+'táj.2'!H55</f>
        <v>268</v>
      </c>
      <c r="I55" s="15">
        <f>0+'táj.2'!I55</f>
        <v>0</v>
      </c>
      <c r="J55" s="15">
        <f>0+'táj.2'!J55</f>
        <v>0</v>
      </c>
      <c r="K55" s="15">
        <f>400+'táj.2'!K55</f>
        <v>400</v>
      </c>
      <c r="L55" s="15">
        <f>0+'táj.2'!L55</f>
        <v>0</v>
      </c>
      <c r="M55" s="15">
        <f>0+'táj.2'!M55</f>
        <v>0</v>
      </c>
      <c r="N55" s="15">
        <f>0+'táj.2'!N55</f>
        <v>0</v>
      </c>
      <c r="O55" s="15">
        <f>0+'táj.2'!O55</f>
        <v>0</v>
      </c>
      <c r="P55" s="15">
        <f>0+'táj.2'!P55</f>
        <v>0</v>
      </c>
      <c r="Q55" s="15">
        <f t="shared" si="3"/>
        <v>1658</v>
      </c>
    </row>
    <row r="56" spans="1:17" ht="15" customHeight="1">
      <c r="A56" s="100"/>
      <c r="B56" s="100"/>
      <c r="C56" s="244"/>
      <c r="D56" s="193" t="s">
        <v>776</v>
      </c>
      <c r="E56" s="15"/>
      <c r="F56" s="100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24.75" customHeight="1">
      <c r="A57" s="100"/>
      <c r="B57" s="100"/>
      <c r="C57" s="244"/>
      <c r="D57" s="193" t="s">
        <v>129</v>
      </c>
      <c r="E57" s="15">
        <v>2</v>
      </c>
      <c r="F57" s="100">
        <v>131110</v>
      </c>
      <c r="G57" s="15">
        <f>0+'táj.2'!G57</f>
        <v>0</v>
      </c>
      <c r="H57" s="15">
        <f>0+'táj.2'!H57</f>
        <v>0</v>
      </c>
      <c r="I57" s="15">
        <f>0+'táj.2'!I57</f>
        <v>0</v>
      </c>
      <c r="J57" s="15">
        <f>0+'táj.2'!J57</f>
        <v>0</v>
      </c>
      <c r="K57" s="15">
        <f>0+'táj.2'!K57</f>
        <v>0</v>
      </c>
      <c r="L57" s="15">
        <f>0+'táj.2'!L57</f>
        <v>0</v>
      </c>
      <c r="M57" s="15">
        <f>0+'táj.2'!M57</f>
        <v>0</v>
      </c>
      <c r="N57" s="15">
        <f>0+'táj.2'!N57</f>
        <v>0</v>
      </c>
      <c r="O57" s="15">
        <f>0+'táj.2'!O57</f>
        <v>0</v>
      </c>
      <c r="P57" s="15">
        <f>0+'táj.2'!P57</f>
        <v>0</v>
      </c>
      <c r="Q57" s="15">
        <f t="shared" si="3"/>
        <v>0</v>
      </c>
    </row>
    <row r="58" spans="1:17" ht="12" customHeight="1">
      <c r="A58" s="100"/>
      <c r="B58" s="100"/>
      <c r="C58" s="244"/>
      <c r="D58" s="193" t="s">
        <v>110</v>
      </c>
      <c r="E58" s="15"/>
      <c r="F58" s="100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 customHeight="1">
      <c r="A59" s="100"/>
      <c r="B59" s="100"/>
      <c r="C59" s="244"/>
      <c r="D59" s="17" t="s">
        <v>264</v>
      </c>
      <c r="E59" s="15">
        <v>2</v>
      </c>
      <c r="F59" s="100">
        <v>131107</v>
      </c>
      <c r="G59" s="15">
        <f>0+'táj.2'!G59</f>
        <v>0</v>
      </c>
      <c r="H59" s="15">
        <f>0+'táj.2'!H59</f>
        <v>0</v>
      </c>
      <c r="I59" s="15">
        <f>0+'táj.2'!I59</f>
        <v>0</v>
      </c>
      <c r="J59" s="15">
        <f>0+'táj.2'!J59</f>
        <v>0</v>
      </c>
      <c r="K59" s="15">
        <f>73000+'táj.2'!K59</f>
        <v>73000</v>
      </c>
      <c r="L59" s="15">
        <f>0+'táj.2'!L59</f>
        <v>0</v>
      </c>
      <c r="M59" s="15">
        <f>0+'táj.2'!M59</f>
        <v>0</v>
      </c>
      <c r="N59" s="15">
        <f>0+'táj.2'!N59</f>
        <v>0</v>
      </c>
      <c r="O59" s="15">
        <f>0+'táj.2'!O59</f>
        <v>0</v>
      </c>
      <c r="P59" s="15">
        <f>0+'táj.2'!P59</f>
        <v>0</v>
      </c>
      <c r="Q59" s="18">
        <f t="shared" si="3"/>
        <v>73000</v>
      </c>
    </row>
    <row r="60" spans="1:17" ht="14.25" customHeight="1">
      <c r="A60" s="100"/>
      <c r="B60" s="100"/>
      <c r="C60" s="244"/>
      <c r="D60" s="17" t="s">
        <v>109</v>
      </c>
      <c r="E60" s="15"/>
      <c r="F60" s="100"/>
      <c r="G60" s="15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ht="13.5" customHeight="1">
      <c r="A61" s="100"/>
      <c r="B61" s="100"/>
      <c r="C61" s="244"/>
      <c r="D61" s="233" t="s">
        <v>379</v>
      </c>
      <c r="E61" s="15">
        <v>2</v>
      </c>
      <c r="F61" s="100">
        <v>131115</v>
      </c>
      <c r="G61" s="15">
        <f>0+'táj.2'!G61</f>
        <v>0</v>
      </c>
      <c r="H61" s="15">
        <f>0+'táj.2'!H61</f>
        <v>0</v>
      </c>
      <c r="I61" s="15">
        <f>0+'táj.2'!I61</f>
        <v>0</v>
      </c>
      <c r="J61" s="15">
        <f>0+'táj.2'!J61</f>
        <v>0</v>
      </c>
      <c r="K61" s="15">
        <f>0+'táj.2'!K61</f>
        <v>0</v>
      </c>
      <c r="L61" s="15">
        <f>0+'táj.2'!L61</f>
        <v>0</v>
      </c>
      <c r="M61" s="15">
        <f>0+'táj.2'!M61</f>
        <v>0</v>
      </c>
      <c r="N61" s="15">
        <f>0+'táj.2'!N61</f>
        <v>0</v>
      </c>
      <c r="O61" s="15">
        <f>0+'táj.2'!O61</f>
        <v>0</v>
      </c>
      <c r="P61" s="15">
        <f>0+'táj.2'!P61</f>
        <v>0</v>
      </c>
      <c r="Q61" s="18">
        <f t="shared" si="3"/>
        <v>0</v>
      </c>
    </row>
    <row r="62" spans="1:17" ht="13.5" customHeight="1">
      <c r="A62" s="100"/>
      <c r="B62" s="100"/>
      <c r="C62" s="244"/>
      <c r="D62" s="193" t="s">
        <v>110</v>
      </c>
      <c r="E62" s="48"/>
      <c r="F62" s="100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8"/>
    </row>
    <row r="63" spans="1:17" ht="13.5" customHeight="1">
      <c r="A63" s="100"/>
      <c r="B63" s="100"/>
      <c r="C63" s="244"/>
      <c r="D63" s="318" t="s">
        <v>380</v>
      </c>
      <c r="E63" s="319">
        <v>2</v>
      </c>
      <c r="F63" s="100">
        <v>131108</v>
      </c>
      <c r="G63" s="15">
        <f>0+'táj.2'!G63</f>
        <v>0</v>
      </c>
      <c r="H63" s="15">
        <f>0+'táj.2'!H63</f>
        <v>0</v>
      </c>
      <c r="I63" s="15">
        <f>0+'táj.2'!I63</f>
        <v>0</v>
      </c>
      <c r="J63" s="15">
        <f>0+'táj.2'!J63</f>
        <v>0</v>
      </c>
      <c r="K63" s="15">
        <f>800+'táj.2'!K63</f>
        <v>800</v>
      </c>
      <c r="L63" s="15">
        <f>0+'táj.2'!L63</f>
        <v>0</v>
      </c>
      <c r="M63" s="15">
        <f>0+'táj.2'!M63</f>
        <v>0</v>
      </c>
      <c r="N63" s="15">
        <f>0+'táj.2'!N63</f>
        <v>0</v>
      </c>
      <c r="O63" s="15">
        <f>0+'táj.2'!O63</f>
        <v>0</v>
      </c>
      <c r="P63" s="15">
        <f>0+'táj.2'!P63</f>
        <v>0</v>
      </c>
      <c r="Q63" s="18">
        <f t="shared" si="3"/>
        <v>800</v>
      </c>
    </row>
    <row r="64" spans="1:17" ht="13.5" customHeight="1">
      <c r="A64" s="100"/>
      <c r="B64" s="100"/>
      <c r="C64" s="244"/>
      <c r="D64" s="318" t="s">
        <v>381</v>
      </c>
      <c r="E64" s="319">
        <v>2</v>
      </c>
      <c r="F64" s="100">
        <v>131109</v>
      </c>
      <c r="G64" s="15">
        <f>0+'táj.2'!G64</f>
        <v>0</v>
      </c>
      <c r="H64" s="15">
        <f>0+'táj.2'!H64</f>
        <v>0</v>
      </c>
      <c r="I64" s="15">
        <f>0+'táj.2'!I64</f>
        <v>0</v>
      </c>
      <c r="J64" s="15">
        <f>0+'táj.2'!J64</f>
        <v>0</v>
      </c>
      <c r="K64" s="15">
        <f>500+'táj.2'!K64</f>
        <v>500</v>
      </c>
      <c r="L64" s="15">
        <f>0+'táj.2'!L64</f>
        <v>0</v>
      </c>
      <c r="M64" s="15">
        <f>0+'táj.2'!M64</f>
        <v>0</v>
      </c>
      <c r="N64" s="15">
        <f>0+'táj.2'!N64</f>
        <v>0</v>
      </c>
      <c r="O64" s="15">
        <f>0+'táj.2'!O64</f>
        <v>0</v>
      </c>
      <c r="P64" s="15">
        <f>0+'táj.2'!P64</f>
        <v>0</v>
      </c>
      <c r="Q64" s="18">
        <f t="shared" si="3"/>
        <v>500</v>
      </c>
    </row>
    <row r="65" spans="1:17" ht="24.75" customHeight="1">
      <c r="A65" s="100"/>
      <c r="B65" s="100"/>
      <c r="C65" s="244"/>
      <c r="D65" s="318" t="s">
        <v>382</v>
      </c>
      <c r="E65" s="319">
        <v>1</v>
      </c>
      <c r="F65" s="100">
        <v>131111</v>
      </c>
      <c r="G65" s="15">
        <f>0+'táj.2'!G65</f>
        <v>0</v>
      </c>
      <c r="H65" s="15">
        <f>0+'táj.2'!H65</f>
        <v>0</v>
      </c>
      <c r="I65" s="15">
        <f>0+'táj.2'!I65</f>
        <v>0</v>
      </c>
      <c r="J65" s="15">
        <f>0+'táj.2'!J65</f>
        <v>0</v>
      </c>
      <c r="K65" s="15">
        <f>0+'táj.2'!K65</f>
        <v>0</v>
      </c>
      <c r="L65" s="15">
        <f>0+'táj.2'!L65</f>
        <v>0</v>
      </c>
      <c r="M65" s="15">
        <f>0+'táj.2'!M65</f>
        <v>0</v>
      </c>
      <c r="N65" s="15">
        <f>0+'táj.2'!N65</f>
        <v>0</v>
      </c>
      <c r="O65" s="15">
        <f>0+'táj.2'!O65</f>
        <v>0</v>
      </c>
      <c r="P65" s="15">
        <f>0+'táj.2'!P65</f>
        <v>0</v>
      </c>
      <c r="Q65" s="18">
        <f t="shared" si="3"/>
        <v>0</v>
      </c>
    </row>
    <row r="66" spans="1:17" ht="13.5" customHeight="1">
      <c r="A66" s="100"/>
      <c r="B66" s="100"/>
      <c r="C66" s="244"/>
      <c r="D66" s="664" t="s">
        <v>1035</v>
      </c>
      <c r="E66" s="319">
        <v>2</v>
      </c>
      <c r="F66" s="100">
        <v>131113</v>
      </c>
      <c r="G66" s="15">
        <f>0+'táj.2'!G66</f>
        <v>0</v>
      </c>
      <c r="H66" s="15">
        <f>0+'táj.2'!H66</f>
        <v>0</v>
      </c>
      <c r="I66" s="15">
        <f>0+'táj.2'!I66</f>
        <v>0</v>
      </c>
      <c r="J66" s="15">
        <f>0+'táj.2'!J66</f>
        <v>0</v>
      </c>
      <c r="K66" s="15">
        <f>500+'táj.2'!K66</f>
        <v>500</v>
      </c>
      <c r="L66" s="15">
        <f>0+'táj.2'!L66</f>
        <v>0</v>
      </c>
      <c r="M66" s="15">
        <f>0+'táj.2'!M66</f>
        <v>0</v>
      </c>
      <c r="N66" s="15">
        <f>0+'táj.2'!N66</f>
        <v>0</v>
      </c>
      <c r="O66" s="15">
        <f>0+'táj.2'!O66</f>
        <v>0</v>
      </c>
      <c r="P66" s="15">
        <f>0+'táj.2'!P66</f>
        <v>0</v>
      </c>
      <c r="Q66" s="18">
        <f t="shared" si="3"/>
        <v>500</v>
      </c>
    </row>
    <row r="67" spans="1:17" ht="13.5" customHeight="1">
      <c r="A67" s="100"/>
      <c r="B67" s="100"/>
      <c r="C67" s="244"/>
      <c r="D67" s="318" t="s">
        <v>384</v>
      </c>
      <c r="E67" s="319">
        <v>2</v>
      </c>
      <c r="F67" s="100">
        <v>131114</v>
      </c>
      <c r="G67" s="15">
        <f>0+'táj.2'!G67</f>
        <v>0</v>
      </c>
      <c r="H67" s="15">
        <f>0+'táj.2'!H67</f>
        <v>0</v>
      </c>
      <c r="I67" s="15">
        <f>0+'táj.2'!I67</f>
        <v>0</v>
      </c>
      <c r="J67" s="15">
        <f>0+'táj.2'!J67</f>
        <v>0</v>
      </c>
      <c r="K67" s="15">
        <f>0+'táj.2'!K67</f>
        <v>0</v>
      </c>
      <c r="L67" s="15">
        <f>0+'táj.2'!L67</f>
        <v>0</v>
      </c>
      <c r="M67" s="15">
        <f>0+'táj.2'!M67</f>
        <v>0</v>
      </c>
      <c r="N67" s="15">
        <f>0+'táj.2'!N67</f>
        <v>0</v>
      </c>
      <c r="O67" s="15">
        <f>0+'táj.2'!O67</f>
        <v>0</v>
      </c>
      <c r="P67" s="15">
        <f>0+'táj.2'!P67</f>
        <v>0</v>
      </c>
      <c r="Q67" s="18">
        <f t="shared" si="3"/>
        <v>0</v>
      </c>
    </row>
    <row r="68" spans="1:17" ht="13.5" customHeight="1">
      <c r="A68" s="100"/>
      <c r="B68" s="100"/>
      <c r="C68" s="244"/>
      <c r="D68" s="234" t="s">
        <v>1115</v>
      </c>
      <c r="E68" s="454"/>
      <c r="F68" s="533"/>
      <c r="G68" s="15"/>
      <c r="H68" s="18"/>
      <c r="I68" s="18"/>
      <c r="J68" s="15"/>
      <c r="K68" s="15"/>
      <c r="L68" s="18"/>
      <c r="M68" s="18"/>
      <c r="N68" s="18"/>
      <c r="O68" s="18"/>
      <c r="P68" s="18"/>
      <c r="Q68" s="18"/>
    </row>
    <row r="69" spans="1:17" ht="24.75" customHeight="1">
      <c r="A69" s="100"/>
      <c r="B69" s="100"/>
      <c r="C69" s="244"/>
      <c r="D69" s="193" t="s">
        <v>777</v>
      </c>
      <c r="E69" s="303"/>
      <c r="F69" s="534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" customHeight="1">
      <c r="A70" s="100"/>
      <c r="B70" s="100"/>
      <c r="C70" s="244"/>
      <c r="D70" s="16" t="s">
        <v>808</v>
      </c>
      <c r="E70" s="15">
        <v>2</v>
      </c>
      <c r="F70" s="100">
        <v>131201</v>
      </c>
      <c r="G70" s="15">
        <f>151+'táj.2'!G70</f>
        <v>151</v>
      </c>
      <c r="H70" s="15">
        <f>96+'táj.2'!H70</f>
        <v>96</v>
      </c>
      <c r="I70" s="15">
        <f>1343+'táj.2'!I70</f>
        <v>1343</v>
      </c>
      <c r="J70" s="15">
        <f>0+'táj.2'!J70</f>
        <v>0</v>
      </c>
      <c r="K70" s="15">
        <f>120+'táj.2'!K70</f>
        <v>120</v>
      </c>
      <c r="L70" s="15">
        <f>0+'táj.2'!L70</f>
        <v>0</v>
      </c>
      <c r="M70" s="15">
        <f>0+'táj.2'!M70</f>
        <v>0</v>
      </c>
      <c r="N70" s="15">
        <f>0+'táj.2'!N70</f>
        <v>0</v>
      </c>
      <c r="O70" s="15">
        <f>0+'táj.2'!O70</f>
        <v>0</v>
      </c>
      <c r="P70" s="15">
        <f>0+'táj.2'!P70</f>
        <v>0</v>
      </c>
      <c r="Q70" s="15">
        <f aca="true" t="shared" si="4" ref="Q70:Q79">SUM(G70:P70)</f>
        <v>1710</v>
      </c>
    </row>
    <row r="71" spans="1:17" ht="15" customHeight="1">
      <c r="A71" s="100"/>
      <c r="B71" s="100"/>
      <c r="C71" s="244"/>
      <c r="D71" s="16" t="s">
        <v>130</v>
      </c>
      <c r="E71" s="15">
        <v>2</v>
      </c>
      <c r="F71" s="100">
        <v>131202</v>
      </c>
      <c r="G71" s="15">
        <f>105+'táj.2'!G71</f>
        <v>194</v>
      </c>
      <c r="H71" s="15">
        <f>48+'táj.2'!H71</f>
        <v>48</v>
      </c>
      <c r="I71" s="15">
        <f>442+'táj.2'!I71</f>
        <v>353</v>
      </c>
      <c r="J71" s="15">
        <f>0+'táj.2'!J71</f>
        <v>0</v>
      </c>
      <c r="K71" s="15">
        <f>0+'táj.2'!K71</f>
        <v>0</v>
      </c>
      <c r="L71" s="15">
        <f>0+'táj.2'!L71</f>
        <v>0</v>
      </c>
      <c r="M71" s="15">
        <f>0+'táj.2'!M71</f>
        <v>0</v>
      </c>
      <c r="N71" s="15">
        <f>0+'táj.2'!N71</f>
        <v>0</v>
      </c>
      <c r="O71" s="15">
        <f>0+'táj.2'!O71</f>
        <v>0</v>
      </c>
      <c r="P71" s="15">
        <f>0+'táj.2'!P71</f>
        <v>0</v>
      </c>
      <c r="Q71" s="15">
        <f t="shared" si="4"/>
        <v>595</v>
      </c>
    </row>
    <row r="72" spans="1:17" ht="15" customHeight="1">
      <c r="A72" s="100"/>
      <c r="B72" s="100"/>
      <c r="C72" s="244"/>
      <c r="D72" s="16" t="s">
        <v>1401</v>
      </c>
      <c r="E72" s="15">
        <v>2</v>
      </c>
      <c r="F72" s="100">
        <v>131205</v>
      </c>
      <c r="G72" s="15">
        <f>58+'táj.2'!G72</f>
        <v>58</v>
      </c>
      <c r="H72" s="15">
        <f>37+'táj.2'!H72</f>
        <v>37</v>
      </c>
      <c r="I72" s="15">
        <f>744+'táj.2'!I72</f>
        <v>744</v>
      </c>
      <c r="J72" s="15">
        <f>0+'táj.2'!J72</f>
        <v>0</v>
      </c>
      <c r="K72" s="15">
        <f>66+'táj.2'!K72</f>
        <v>66</v>
      </c>
      <c r="L72" s="15">
        <f>0+'táj.2'!L72</f>
        <v>0</v>
      </c>
      <c r="M72" s="15">
        <f>0+'táj.2'!M72</f>
        <v>0</v>
      </c>
      <c r="N72" s="15">
        <f>0+'táj.2'!N72</f>
        <v>0</v>
      </c>
      <c r="O72" s="15">
        <f>0+'táj.2'!O72</f>
        <v>0</v>
      </c>
      <c r="P72" s="15">
        <f>0+'táj.2'!P72</f>
        <v>0</v>
      </c>
      <c r="Q72" s="15">
        <f t="shared" si="4"/>
        <v>905</v>
      </c>
    </row>
    <row r="73" spans="1:17" ht="15" customHeight="1">
      <c r="A73" s="100"/>
      <c r="B73" s="100"/>
      <c r="C73" s="244"/>
      <c r="D73" s="16" t="s">
        <v>131</v>
      </c>
      <c r="E73" s="15">
        <v>2</v>
      </c>
      <c r="F73" s="100">
        <v>131206</v>
      </c>
      <c r="G73" s="15">
        <f>0+'táj.2'!G73</f>
        <v>0</v>
      </c>
      <c r="H73" s="15">
        <f>0+'táj.2'!H73</f>
        <v>0</v>
      </c>
      <c r="I73" s="15">
        <f>0+'táj.2'!I73</f>
        <v>0</v>
      </c>
      <c r="J73" s="15">
        <f>0+'táj.2'!J73</f>
        <v>0</v>
      </c>
      <c r="K73" s="15">
        <f>1000+'táj.2'!K73</f>
        <v>1000</v>
      </c>
      <c r="L73" s="15">
        <f>0+'táj.2'!L73</f>
        <v>0</v>
      </c>
      <c r="M73" s="15">
        <f>0+'táj.2'!M73</f>
        <v>0</v>
      </c>
      <c r="N73" s="15">
        <f>0+'táj.2'!N73</f>
        <v>0</v>
      </c>
      <c r="O73" s="15">
        <f>0+'táj.2'!O73</f>
        <v>0</v>
      </c>
      <c r="P73" s="15">
        <f>0+'táj.2'!P73</f>
        <v>0</v>
      </c>
      <c r="Q73" s="15">
        <f t="shared" si="4"/>
        <v>1000</v>
      </c>
    </row>
    <row r="74" spans="1:17" ht="15" customHeight="1">
      <c r="A74" s="100"/>
      <c r="B74" s="100"/>
      <c r="C74" s="244"/>
      <c r="D74" s="101" t="s">
        <v>552</v>
      </c>
      <c r="E74" s="15">
        <v>2</v>
      </c>
      <c r="F74" s="100">
        <v>131209</v>
      </c>
      <c r="G74" s="15">
        <f>156+'táj.2'!G74</f>
        <v>156</v>
      </c>
      <c r="H74" s="15">
        <f>19+'táj.2'!H74</f>
        <v>80</v>
      </c>
      <c r="I74" s="15">
        <f>427+'táj.2'!I74</f>
        <v>366</v>
      </c>
      <c r="J74" s="15">
        <f>0+'táj.2'!J74</f>
        <v>0</v>
      </c>
      <c r="K74" s="15">
        <f>100+'táj.2'!K74</f>
        <v>100</v>
      </c>
      <c r="L74" s="15">
        <f>0+'táj.2'!L74</f>
        <v>0</v>
      </c>
      <c r="M74" s="15">
        <f>0+'táj.2'!M74</f>
        <v>0</v>
      </c>
      <c r="N74" s="15">
        <f>0+'táj.2'!N74</f>
        <v>0</v>
      </c>
      <c r="O74" s="15">
        <f>0+'táj.2'!O74</f>
        <v>0</v>
      </c>
      <c r="P74" s="15">
        <f>0+'táj.2'!P74</f>
        <v>0</v>
      </c>
      <c r="Q74" s="15">
        <f t="shared" si="4"/>
        <v>702</v>
      </c>
    </row>
    <row r="75" spans="1:17" ht="27" customHeight="1">
      <c r="A75" s="100"/>
      <c r="B75" s="100"/>
      <c r="C75" s="244"/>
      <c r="D75" s="193" t="s">
        <v>1399</v>
      </c>
      <c r="E75" s="15">
        <v>2</v>
      </c>
      <c r="F75" s="100">
        <v>131210</v>
      </c>
      <c r="G75" s="15">
        <f>0+'táj.2'!G75</f>
        <v>0</v>
      </c>
      <c r="H75" s="15">
        <f>0+'táj.2'!H75</f>
        <v>0</v>
      </c>
      <c r="I75" s="15">
        <f>0+'táj.2'!I75</f>
        <v>0</v>
      </c>
      <c r="J75" s="15">
        <f>0+'táj.2'!J75</f>
        <v>0</v>
      </c>
      <c r="K75" s="15">
        <f>500+'táj.2'!K75</f>
        <v>500</v>
      </c>
      <c r="L75" s="15">
        <f>0+'táj.2'!L75</f>
        <v>0</v>
      </c>
      <c r="M75" s="15">
        <f>0+'táj.2'!M75</f>
        <v>0</v>
      </c>
      <c r="N75" s="15">
        <f>0+'táj.2'!N75</f>
        <v>0</v>
      </c>
      <c r="O75" s="15">
        <f>0+'táj.2'!O75</f>
        <v>0</v>
      </c>
      <c r="P75" s="15">
        <f>0+'táj.2'!P75</f>
        <v>0</v>
      </c>
      <c r="Q75" s="15">
        <f t="shared" si="4"/>
        <v>500</v>
      </c>
    </row>
    <row r="76" spans="1:17" ht="13.5" customHeight="1">
      <c r="A76" s="100"/>
      <c r="B76" s="100"/>
      <c r="C76" s="244"/>
      <c r="D76" s="16" t="s">
        <v>109</v>
      </c>
      <c r="E76" s="15"/>
      <c r="F76" s="100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3.5" customHeight="1">
      <c r="A77" s="100"/>
      <c r="B77" s="100"/>
      <c r="C77" s="244"/>
      <c r="D77" s="101" t="s">
        <v>451</v>
      </c>
      <c r="E77" s="15">
        <v>2</v>
      </c>
      <c r="F77" s="100">
        <v>131101</v>
      </c>
      <c r="G77" s="15">
        <f>0+'táj.2'!G77</f>
        <v>0</v>
      </c>
      <c r="H77" s="15">
        <f>0+'táj.2'!H77</f>
        <v>0</v>
      </c>
      <c r="I77" s="15">
        <f>0+'táj.2'!I77</f>
        <v>0</v>
      </c>
      <c r="J77" s="15">
        <f>28000+'táj.2'!J77</f>
        <v>28000</v>
      </c>
      <c r="K77" s="15">
        <f>0+'táj.2'!K77</f>
        <v>0</v>
      </c>
      <c r="L77" s="15">
        <f>0+'táj.2'!L77</f>
        <v>0</v>
      </c>
      <c r="M77" s="15">
        <f>0+'táj.2'!M77</f>
        <v>0</v>
      </c>
      <c r="N77" s="15">
        <f>0+'táj.2'!N77</f>
        <v>0</v>
      </c>
      <c r="O77" s="15">
        <f>0+'táj.2'!O77</f>
        <v>0</v>
      </c>
      <c r="P77" s="15">
        <f>0+'táj.2'!P77</f>
        <v>0</v>
      </c>
      <c r="Q77" s="15">
        <f t="shared" si="4"/>
        <v>28000</v>
      </c>
    </row>
    <row r="78" spans="1:17" ht="13.5" customHeight="1">
      <c r="A78" s="100"/>
      <c r="B78" s="100"/>
      <c r="C78" s="244"/>
      <c r="D78" s="101" t="s">
        <v>111</v>
      </c>
      <c r="E78" s="15"/>
      <c r="F78" s="100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3.5" customHeight="1">
      <c r="A79" s="100"/>
      <c r="B79" s="100"/>
      <c r="C79" s="244"/>
      <c r="D79" s="16" t="s">
        <v>553</v>
      </c>
      <c r="E79" s="15">
        <v>2</v>
      </c>
      <c r="F79" s="100">
        <v>131120</v>
      </c>
      <c r="G79" s="15">
        <f>107+'táj.2'!G79</f>
        <v>107</v>
      </c>
      <c r="H79" s="15">
        <f>69+'táj.2'!H79</f>
        <v>69</v>
      </c>
      <c r="I79" s="15">
        <f>421+'táj.2'!I79</f>
        <v>421</v>
      </c>
      <c r="J79" s="15">
        <f>0+'táj.2'!J79</f>
        <v>0</v>
      </c>
      <c r="K79" s="15">
        <f>81+'táj.2'!K79</f>
        <v>81</v>
      </c>
      <c r="L79" s="15">
        <f>0+'táj.2'!L79</f>
        <v>0</v>
      </c>
      <c r="M79" s="15">
        <f>0+'táj.2'!M79</f>
        <v>0</v>
      </c>
      <c r="N79" s="15">
        <f>0+'táj.2'!N79</f>
        <v>0</v>
      </c>
      <c r="O79" s="15">
        <f>0+'táj.2'!O79</f>
        <v>0</v>
      </c>
      <c r="P79" s="15">
        <f>0+'táj.2'!P79</f>
        <v>0</v>
      </c>
      <c r="Q79" s="15">
        <f t="shared" si="4"/>
        <v>678</v>
      </c>
    </row>
    <row r="80" spans="1:17" ht="13.5" customHeight="1">
      <c r="A80" s="100"/>
      <c r="B80" s="100"/>
      <c r="C80" s="244"/>
      <c r="D80" s="16" t="s">
        <v>112</v>
      </c>
      <c r="E80" s="302"/>
      <c r="F80" s="522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3.5" customHeight="1">
      <c r="A81" s="100"/>
      <c r="B81" s="100"/>
      <c r="C81" s="244"/>
      <c r="D81" s="16" t="s">
        <v>790</v>
      </c>
      <c r="E81" s="15">
        <v>1</v>
      </c>
      <c r="F81" s="100">
        <v>131303</v>
      </c>
      <c r="G81" s="15">
        <f>113+'táj.2'!G81</f>
        <v>113</v>
      </c>
      <c r="H81" s="15">
        <f>65+'táj.2'!H81</f>
        <v>65</v>
      </c>
      <c r="I81" s="15">
        <f>760+'táj.2'!I81</f>
        <v>760</v>
      </c>
      <c r="J81" s="15">
        <f>0+'táj.2'!J81</f>
        <v>0</v>
      </c>
      <c r="K81" s="15">
        <f>1922+'táj.2'!K81</f>
        <v>1922</v>
      </c>
      <c r="L81" s="15">
        <f>0+'táj.2'!L81</f>
        <v>0</v>
      </c>
      <c r="M81" s="15">
        <f>0+'táj.2'!M81</f>
        <v>0</v>
      </c>
      <c r="N81" s="15">
        <f>0+'táj.2'!N81</f>
        <v>0</v>
      </c>
      <c r="O81" s="15">
        <f>0+'táj.2'!O81</f>
        <v>0</v>
      </c>
      <c r="P81" s="15">
        <f>0+'táj.2'!P81</f>
        <v>0</v>
      </c>
      <c r="Q81" s="15">
        <f aca="true" t="shared" si="5" ref="Q81:Q104">SUM(G81:P81)</f>
        <v>2860</v>
      </c>
    </row>
    <row r="82" spans="1:17" ht="13.5" customHeight="1">
      <c r="A82" s="100"/>
      <c r="B82" s="100"/>
      <c r="C82" s="244"/>
      <c r="D82" s="16" t="s">
        <v>1276</v>
      </c>
      <c r="E82" s="15">
        <v>2</v>
      </c>
      <c r="F82" s="100">
        <v>131302</v>
      </c>
      <c r="G82" s="15">
        <f>0+'táj.2'!G82</f>
        <v>0</v>
      </c>
      <c r="H82" s="15">
        <f>0+'táj.2'!H82</f>
        <v>0</v>
      </c>
      <c r="I82" s="15">
        <f>0+'táj.2'!I82</f>
        <v>0</v>
      </c>
      <c r="J82" s="15">
        <f>0+'táj.2'!J82</f>
        <v>0</v>
      </c>
      <c r="K82" s="15">
        <f>360+'táj.2'!K82</f>
        <v>360</v>
      </c>
      <c r="L82" s="15">
        <f>0+'táj.2'!L82</f>
        <v>0</v>
      </c>
      <c r="M82" s="15">
        <f>0+'táj.2'!M82</f>
        <v>0</v>
      </c>
      <c r="N82" s="15">
        <f>0+'táj.2'!N82</f>
        <v>0</v>
      </c>
      <c r="O82" s="15">
        <f>0+'táj.2'!O82</f>
        <v>0</v>
      </c>
      <c r="P82" s="15">
        <f>0+'táj.2'!P82</f>
        <v>0</v>
      </c>
      <c r="Q82" s="15">
        <f t="shared" si="5"/>
        <v>360</v>
      </c>
    </row>
    <row r="83" spans="1:17" ht="13.5" customHeight="1">
      <c r="A83" s="100"/>
      <c r="B83" s="100"/>
      <c r="C83" s="244"/>
      <c r="D83" s="16" t="s">
        <v>1400</v>
      </c>
      <c r="E83" s="15">
        <v>2</v>
      </c>
      <c r="F83" s="100">
        <v>131305</v>
      </c>
      <c r="G83" s="15">
        <f>0+'táj.2'!G83</f>
        <v>0</v>
      </c>
      <c r="H83" s="15">
        <f>0+'táj.2'!H83</f>
        <v>0</v>
      </c>
      <c r="I83" s="15">
        <f>0+'táj.2'!I83</f>
        <v>0</v>
      </c>
      <c r="J83" s="15">
        <f>0+'táj.2'!J83</f>
        <v>0</v>
      </c>
      <c r="K83" s="15">
        <f>900+'táj.2'!K83</f>
        <v>900</v>
      </c>
      <c r="L83" s="15">
        <f>0+'táj.2'!L83</f>
        <v>0</v>
      </c>
      <c r="M83" s="15">
        <f>0+'táj.2'!M83</f>
        <v>0</v>
      </c>
      <c r="N83" s="15">
        <f>0+'táj.2'!N83</f>
        <v>0</v>
      </c>
      <c r="O83" s="15">
        <f>0+'táj.2'!O83</f>
        <v>0</v>
      </c>
      <c r="P83" s="15">
        <f>0+'táj.2'!P83</f>
        <v>0</v>
      </c>
      <c r="Q83" s="15">
        <f t="shared" si="5"/>
        <v>900</v>
      </c>
    </row>
    <row r="84" spans="1:17" ht="13.5" customHeight="1">
      <c r="A84" s="100"/>
      <c r="B84" s="100"/>
      <c r="C84" s="244"/>
      <c r="D84" s="224" t="s">
        <v>1064</v>
      </c>
      <c r="E84" s="15">
        <v>2</v>
      </c>
      <c r="F84" s="100">
        <v>131325</v>
      </c>
      <c r="G84" s="15">
        <f>0+'táj.2'!G84</f>
        <v>0</v>
      </c>
      <c r="H84" s="15">
        <f>0+'táj.2'!H84</f>
        <v>0</v>
      </c>
      <c r="I84" s="15">
        <f>705+'táj.2'!I84</f>
        <v>705</v>
      </c>
      <c r="J84" s="15">
        <f>0+'táj.2'!J84</f>
        <v>0</v>
      </c>
      <c r="K84" s="15">
        <f>0+'táj.2'!K84</f>
        <v>0</v>
      </c>
      <c r="L84" s="15">
        <f>0+'táj.2'!L84</f>
        <v>0</v>
      </c>
      <c r="M84" s="15">
        <f>0+'táj.2'!M84</f>
        <v>0</v>
      </c>
      <c r="N84" s="15">
        <f>0+'táj.2'!N84</f>
        <v>0</v>
      </c>
      <c r="O84" s="15">
        <f>0+'táj.2'!O84</f>
        <v>0</v>
      </c>
      <c r="P84" s="15">
        <f>0+'táj.2'!P84</f>
        <v>0</v>
      </c>
      <c r="Q84" s="15">
        <f t="shared" si="5"/>
        <v>705</v>
      </c>
    </row>
    <row r="85" spans="1:17" ht="24" customHeight="1">
      <c r="A85" s="100"/>
      <c r="B85" s="100"/>
      <c r="C85" s="244"/>
      <c r="D85" s="224" t="s">
        <v>560</v>
      </c>
      <c r="E85" s="15">
        <v>2</v>
      </c>
      <c r="F85" s="100">
        <v>131308</v>
      </c>
      <c r="G85" s="15">
        <f>0+'táj.2'!G85</f>
        <v>0</v>
      </c>
      <c r="H85" s="15">
        <f>0+'táj.2'!H85</f>
        <v>0</v>
      </c>
      <c r="I85" s="15">
        <f>0+'táj.2'!I85</f>
        <v>0</v>
      </c>
      <c r="J85" s="15">
        <f>0+'táj.2'!J85</f>
        <v>0</v>
      </c>
      <c r="K85" s="15">
        <f>6000+'táj.2'!K85</f>
        <v>6000</v>
      </c>
      <c r="L85" s="15">
        <f>0+'táj.2'!L85</f>
        <v>0</v>
      </c>
      <c r="M85" s="15">
        <f>0+'táj.2'!M85</f>
        <v>0</v>
      </c>
      <c r="N85" s="15">
        <f>0+'táj.2'!N85</f>
        <v>0</v>
      </c>
      <c r="O85" s="15">
        <f>0+'táj.2'!O85</f>
        <v>0</v>
      </c>
      <c r="P85" s="15">
        <f>0+'táj.2'!P85</f>
        <v>0</v>
      </c>
      <c r="Q85" s="15">
        <f t="shared" si="5"/>
        <v>6000</v>
      </c>
    </row>
    <row r="86" spans="1:17" ht="13.5" customHeight="1">
      <c r="A86" s="100"/>
      <c r="B86" s="100"/>
      <c r="C86" s="244"/>
      <c r="D86" s="16" t="s">
        <v>1277</v>
      </c>
      <c r="E86" s="15">
        <v>2</v>
      </c>
      <c r="F86" s="100">
        <v>131306</v>
      </c>
      <c r="G86" s="15">
        <f>0+'táj.2'!G86</f>
        <v>0</v>
      </c>
      <c r="H86" s="15">
        <f>0+'táj.2'!H86</f>
        <v>0</v>
      </c>
      <c r="I86" s="15">
        <f>0+'táj.2'!I86</f>
        <v>0</v>
      </c>
      <c r="J86" s="15">
        <f>0+'táj.2'!J86</f>
        <v>0</v>
      </c>
      <c r="K86" s="15">
        <f>540+'táj.2'!K86</f>
        <v>540</v>
      </c>
      <c r="L86" s="15">
        <f>0+'táj.2'!L86</f>
        <v>0</v>
      </c>
      <c r="M86" s="15">
        <f>0+'táj.2'!M86</f>
        <v>0</v>
      </c>
      <c r="N86" s="15">
        <f>0+'táj.2'!N86</f>
        <v>0</v>
      </c>
      <c r="O86" s="15">
        <f>0+'táj.2'!O86</f>
        <v>0</v>
      </c>
      <c r="P86" s="15">
        <f>0+'táj.2'!P86</f>
        <v>0</v>
      </c>
      <c r="Q86" s="15">
        <f t="shared" si="5"/>
        <v>540</v>
      </c>
    </row>
    <row r="87" spans="1:17" ht="13.5" customHeight="1">
      <c r="A87" s="100"/>
      <c r="B87" s="100"/>
      <c r="C87" s="244"/>
      <c r="D87" s="224" t="s">
        <v>1015</v>
      </c>
      <c r="E87" s="15">
        <v>2</v>
      </c>
      <c r="F87" s="100">
        <v>131321</v>
      </c>
      <c r="G87" s="15">
        <f>0+'táj.2'!G87</f>
        <v>0</v>
      </c>
      <c r="H87" s="15">
        <f>0+'táj.2'!H87</f>
        <v>0</v>
      </c>
      <c r="I87" s="15">
        <f>0+'táj.2'!I87</f>
        <v>0</v>
      </c>
      <c r="J87" s="15">
        <f>0+'táj.2'!J87</f>
        <v>0</v>
      </c>
      <c r="K87" s="15">
        <f>93500+'táj.2'!K87</f>
        <v>93500</v>
      </c>
      <c r="L87" s="15">
        <f>0+'táj.2'!L87</f>
        <v>0</v>
      </c>
      <c r="M87" s="15">
        <f>0+'táj.2'!M87</f>
        <v>0</v>
      </c>
      <c r="N87" s="15">
        <f>0+'táj.2'!N87</f>
        <v>0</v>
      </c>
      <c r="O87" s="15">
        <f>0+'táj.2'!O87</f>
        <v>0</v>
      </c>
      <c r="P87" s="15">
        <f>0+'táj.2'!P87</f>
        <v>0</v>
      </c>
      <c r="Q87" s="15">
        <f t="shared" si="5"/>
        <v>93500</v>
      </c>
    </row>
    <row r="88" spans="1:17" ht="13.5" customHeight="1">
      <c r="A88" s="100"/>
      <c r="B88" s="100"/>
      <c r="C88" s="244"/>
      <c r="D88" s="193" t="s">
        <v>555</v>
      </c>
      <c r="E88" s="15">
        <v>2</v>
      </c>
      <c r="F88" s="100">
        <v>131501</v>
      </c>
      <c r="G88" s="15">
        <f>0+'táj.2'!G88</f>
        <v>0</v>
      </c>
      <c r="H88" s="15">
        <f>0+'táj.2'!H88</f>
        <v>0</v>
      </c>
      <c r="I88" s="15">
        <f>300+'táj.2'!I88</f>
        <v>300</v>
      </c>
      <c r="J88" s="15">
        <f>0+'táj.2'!J88</f>
        <v>0</v>
      </c>
      <c r="K88" s="15">
        <f>0+'táj.2'!K88</f>
        <v>0</v>
      </c>
      <c r="L88" s="15">
        <f>0+'táj.2'!L88</f>
        <v>0</v>
      </c>
      <c r="M88" s="15">
        <f>0+'táj.2'!M88</f>
        <v>0</v>
      </c>
      <c r="N88" s="15">
        <f>0+'táj.2'!N88</f>
        <v>0</v>
      </c>
      <c r="O88" s="15">
        <f>0+'táj.2'!O88</f>
        <v>0</v>
      </c>
      <c r="P88" s="15">
        <f>0+'táj.2'!P88</f>
        <v>0</v>
      </c>
      <c r="Q88" s="15">
        <f t="shared" si="5"/>
        <v>300</v>
      </c>
    </row>
    <row r="89" spans="1:17" ht="13.5" customHeight="1">
      <c r="A89" s="100"/>
      <c r="B89" s="100"/>
      <c r="C89" s="244"/>
      <c r="D89" s="193" t="s">
        <v>132</v>
      </c>
      <c r="E89" s="15">
        <v>2</v>
      </c>
      <c r="F89" s="100">
        <v>131307</v>
      </c>
      <c r="G89" s="15">
        <f>0+'táj.2'!G89</f>
        <v>0</v>
      </c>
      <c r="H89" s="15">
        <f>0+'táj.2'!H89</f>
        <v>0</v>
      </c>
      <c r="I89" s="15">
        <f>0+'táj.2'!I89</f>
        <v>0</v>
      </c>
      <c r="J89" s="15">
        <f>0+'táj.2'!J89</f>
        <v>0</v>
      </c>
      <c r="K89" s="15">
        <f>1000+'táj.2'!K89</f>
        <v>1000</v>
      </c>
      <c r="L89" s="15">
        <f>0+'táj.2'!L89</f>
        <v>0</v>
      </c>
      <c r="M89" s="15">
        <f>0+'táj.2'!M89</f>
        <v>0</v>
      </c>
      <c r="N89" s="15">
        <f>0+'táj.2'!N89</f>
        <v>0</v>
      </c>
      <c r="O89" s="15">
        <f>0+'táj.2'!O89</f>
        <v>0</v>
      </c>
      <c r="P89" s="15">
        <f>0+'táj.2'!P89</f>
        <v>0</v>
      </c>
      <c r="Q89" s="15">
        <f t="shared" si="5"/>
        <v>1000</v>
      </c>
    </row>
    <row r="90" spans="1:17" ht="13.5" customHeight="1">
      <c r="A90" s="100"/>
      <c r="B90" s="100"/>
      <c r="C90" s="244"/>
      <c r="D90" s="224" t="s">
        <v>554</v>
      </c>
      <c r="E90" s="15">
        <v>1</v>
      </c>
      <c r="F90" s="100">
        <v>131322</v>
      </c>
      <c r="G90" s="15">
        <f>0+'táj.2'!G90</f>
        <v>0</v>
      </c>
      <c r="H90" s="15">
        <f>0+'táj.2'!H90</f>
        <v>0</v>
      </c>
      <c r="I90" s="15">
        <f>67+'táj.2'!I90</f>
        <v>67</v>
      </c>
      <c r="J90" s="15">
        <f>0+'táj.2'!J90</f>
        <v>0</v>
      </c>
      <c r="K90" s="15">
        <f>0+'táj.2'!K90</f>
        <v>0</v>
      </c>
      <c r="L90" s="15">
        <f>0+'táj.2'!L90</f>
        <v>0</v>
      </c>
      <c r="M90" s="15">
        <f>0+'táj.2'!M90</f>
        <v>0</v>
      </c>
      <c r="N90" s="15">
        <f>0+'táj.2'!N90</f>
        <v>0</v>
      </c>
      <c r="O90" s="15">
        <f>0+'táj.2'!O90</f>
        <v>0</v>
      </c>
      <c r="P90" s="15">
        <f>0+'táj.2'!P90</f>
        <v>0</v>
      </c>
      <c r="Q90" s="15">
        <f t="shared" si="5"/>
        <v>67</v>
      </c>
    </row>
    <row r="91" spans="1:17" ht="13.5" customHeight="1">
      <c r="A91" s="100"/>
      <c r="B91" s="100"/>
      <c r="C91" s="244"/>
      <c r="D91" s="224" t="s">
        <v>958</v>
      </c>
      <c r="E91" s="15">
        <v>2</v>
      </c>
      <c r="F91" s="100">
        <v>131323</v>
      </c>
      <c r="G91" s="15">
        <f>0+'táj.2'!G91</f>
        <v>0</v>
      </c>
      <c r="H91" s="15">
        <f>0+'táj.2'!H91</f>
        <v>0</v>
      </c>
      <c r="I91" s="15">
        <f>0+'táj.2'!I91</f>
        <v>0</v>
      </c>
      <c r="J91" s="15">
        <f>0+'táj.2'!J91</f>
        <v>0</v>
      </c>
      <c r="K91" s="15">
        <f>950+'táj.2'!K91</f>
        <v>950</v>
      </c>
      <c r="L91" s="15">
        <f>0+'táj.2'!L91</f>
        <v>0</v>
      </c>
      <c r="M91" s="15">
        <f>0+'táj.2'!M91</f>
        <v>0</v>
      </c>
      <c r="N91" s="15">
        <f>0+'táj.2'!N91</f>
        <v>0</v>
      </c>
      <c r="O91" s="15">
        <f>0+'táj.2'!O91</f>
        <v>0</v>
      </c>
      <c r="P91" s="15">
        <f>0+'táj.2'!P91</f>
        <v>0</v>
      </c>
      <c r="Q91" s="15">
        <f t="shared" si="5"/>
        <v>950</v>
      </c>
    </row>
    <row r="92" spans="1:17" ht="13.5" customHeight="1">
      <c r="A92" s="100"/>
      <c r="B92" s="100"/>
      <c r="C92" s="244"/>
      <c r="D92" s="193" t="s">
        <v>387</v>
      </c>
      <c r="E92" s="15">
        <v>2</v>
      </c>
      <c r="F92" s="100">
        <v>131319</v>
      </c>
      <c r="G92" s="15">
        <f>0+'táj.2'!G92</f>
        <v>0</v>
      </c>
      <c r="H92" s="15">
        <f>0+'táj.2'!H92</f>
        <v>0</v>
      </c>
      <c r="I92" s="15">
        <f>0+'táj.2'!I92</f>
        <v>0</v>
      </c>
      <c r="J92" s="15">
        <f>0+'táj.2'!J92</f>
        <v>0</v>
      </c>
      <c r="K92" s="15">
        <f>2000+'táj.2'!K92</f>
        <v>2000</v>
      </c>
      <c r="L92" s="15">
        <f>0+'táj.2'!L92</f>
        <v>0</v>
      </c>
      <c r="M92" s="15">
        <f>0+'táj.2'!M92</f>
        <v>0</v>
      </c>
      <c r="N92" s="15">
        <f>0+'táj.2'!N92</f>
        <v>0</v>
      </c>
      <c r="O92" s="15">
        <f>0+'táj.2'!O92</f>
        <v>0</v>
      </c>
      <c r="P92" s="15">
        <f>0+'táj.2'!P92</f>
        <v>0</v>
      </c>
      <c r="Q92" s="15">
        <f t="shared" si="5"/>
        <v>2000</v>
      </c>
    </row>
    <row r="93" spans="1:17" ht="13.5" customHeight="1">
      <c r="A93" s="100"/>
      <c r="B93" s="100"/>
      <c r="C93" s="244"/>
      <c r="D93" s="193" t="s">
        <v>386</v>
      </c>
      <c r="E93" s="15">
        <v>2</v>
      </c>
      <c r="F93" s="100">
        <v>131328</v>
      </c>
      <c r="G93" s="15">
        <f>0+'táj.2'!G93</f>
        <v>0</v>
      </c>
      <c r="H93" s="15">
        <f>0+'táj.2'!H93</f>
        <v>0</v>
      </c>
      <c r="I93" s="15">
        <f>0+'táj.2'!I93</f>
        <v>0</v>
      </c>
      <c r="J93" s="15">
        <f>0+'táj.2'!J93</f>
        <v>0</v>
      </c>
      <c r="K93" s="15">
        <f>1000+'táj.2'!K93</f>
        <v>1000</v>
      </c>
      <c r="L93" s="15">
        <f>0+'táj.2'!L93</f>
        <v>0</v>
      </c>
      <c r="M93" s="15">
        <f>0+'táj.2'!M93</f>
        <v>0</v>
      </c>
      <c r="N93" s="15">
        <f>0+'táj.2'!N93</f>
        <v>0</v>
      </c>
      <c r="O93" s="15">
        <f>0+'táj.2'!O93</f>
        <v>0</v>
      </c>
      <c r="P93" s="15">
        <f>0+'táj.2'!P93</f>
        <v>0</v>
      </c>
      <c r="Q93" s="15">
        <f t="shared" si="5"/>
        <v>1000</v>
      </c>
    </row>
    <row r="94" spans="1:17" ht="13.5" customHeight="1">
      <c r="A94" s="100"/>
      <c r="B94" s="100"/>
      <c r="C94" s="244"/>
      <c r="D94" s="309" t="s">
        <v>388</v>
      </c>
      <c r="E94" s="15">
        <v>2</v>
      </c>
      <c r="F94" s="100">
        <v>131340</v>
      </c>
      <c r="G94" s="15">
        <f>0+'táj.2'!G94</f>
        <v>0</v>
      </c>
      <c r="H94" s="15">
        <f>0+'táj.2'!H94</f>
        <v>0</v>
      </c>
      <c r="I94" s="15">
        <f>0+'táj.2'!I94</f>
        <v>0</v>
      </c>
      <c r="J94" s="15">
        <f>0+'táj.2'!J94</f>
        <v>0</v>
      </c>
      <c r="K94" s="15">
        <f>1000+'táj.2'!K94</f>
        <v>1000</v>
      </c>
      <c r="L94" s="15">
        <f>0+'táj.2'!L94</f>
        <v>0</v>
      </c>
      <c r="M94" s="15">
        <f>0+'táj.2'!M94</f>
        <v>0</v>
      </c>
      <c r="N94" s="15">
        <f>0+'táj.2'!N94</f>
        <v>0</v>
      </c>
      <c r="O94" s="15">
        <f>0+'táj.2'!O94</f>
        <v>0</v>
      </c>
      <c r="P94" s="15">
        <f>0+'táj.2'!P94</f>
        <v>0</v>
      </c>
      <c r="Q94" s="15">
        <f t="shared" si="5"/>
        <v>1000</v>
      </c>
    </row>
    <row r="95" spans="1:17" ht="13.5" customHeight="1">
      <c r="A95" s="100"/>
      <c r="B95" s="100"/>
      <c r="C95" s="244"/>
      <c r="D95" s="309" t="s">
        <v>389</v>
      </c>
      <c r="E95" s="15">
        <v>2</v>
      </c>
      <c r="F95" s="100">
        <v>131341</v>
      </c>
      <c r="G95" s="15">
        <f>0+'táj.2'!G95</f>
        <v>0</v>
      </c>
      <c r="H95" s="15">
        <f>0+'táj.2'!H95</f>
        <v>0</v>
      </c>
      <c r="I95" s="15">
        <f>7+'táj.2'!I95</f>
        <v>7</v>
      </c>
      <c r="J95" s="15">
        <f>0+'táj.2'!J95</f>
        <v>0</v>
      </c>
      <c r="K95" s="15">
        <f>993+'táj.2'!K95</f>
        <v>993</v>
      </c>
      <c r="L95" s="15">
        <f>0+'táj.2'!L95</f>
        <v>0</v>
      </c>
      <c r="M95" s="15">
        <f>0+'táj.2'!M95</f>
        <v>0</v>
      </c>
      <c r="N95" s="15">
        <f>0+'táj.2'!N95</f>
        <v>0</v>
      </c>
      <c r="O95" s="15">
        <f>0+'táj.2'!O95</f>
        <v>0</v>
      </c>
      <c r="P95" s="15">
        <f>0+'táj.2'!P95</f>
        <v>0</v>
      </c>
      <c r="Q95" s="15">
        <f t="shared" si="5"/>
        <v>1000</v>
      </c>
    </row>
    <row r="96" spans="1:17" ht="13.5" customHeight="1">
      <c r="A96" s="100"/>
      <c r="B96" s="100"/>
      <c r="C96" s="244"/>
      <c r="D96" s="309" t="s">
        <v>390</v>
      </c>
      <c r="E96" s="15">
        <v>2</v>
      </c>
      <c r="F96" s="100">
        <v>131342</v>
      </c>
      <c r="G96" s="15">
        <f>0+'táj.2'!G96</f>
        <v>0</v>
      </c>
      <c r="H96" s="15">
        <f>0+'táj.2'!H96</f>
        <v>0</v>
      </c>
      <c r="I96" s="15">
        <f>3878+'táj.2'!I96</f>
        <v>3878</v>
      </c>
      <c r="J96" s="15">
        <f>0+'táj.2'!J96</f>
        <v>0</v>
      </c>
      <c r="K96" s="15">
        <f>2+'táj.2'!K96</f>
        <v>2</v>
      </c>
      <c r="L96" s="15">
        <f>0+'táj.2'!L96</f>
        <v>0</v>
      </c>
      <c r="M96" s="15">
        <f>0+'táj.2'!M96</f>
        <v>0</v>
      </c>
      <c r="N96" s="15">
        <f>0+'táj.2'!N96</f>
        <v>0</v>
      </c>
      <c r="O96" s="15">
        <f>0+'táj.2'!O96</f>
        <v>0</v>
      </c>
      <c r="P96" s="15">
        <f>0+'táj.2'!P96</f>
        <v>0</v>
      </c>
      <c r="Q96" s="15">
        <f t="shared" si="5"/>
        <v>3880</v>
      </c>
    </row>
    <row r="97" spans="1:17" ht="13.5" customHeight="1">
      <c r="A97" s="100"/>
      <c r="B97" s="100"/>
      <c r="C97" s="244"/>
      <c r="D97" s="309" t="s">
        <v>1230</v>
      </c>
      <c r="E97" s="15">
        <v>2</v>
      </c>
      <c r="F97" s="100">
        <v>131343</v>
      </c>
      <c r="G97" s="15">
        <f>0+'táj.2'!G97</f>
        <v>0</v>
      </c>
      <c r="H97" s="15">
        <f>0+'táj.2'!H97</f>
        <v>0</v>
      </c>
      <c r="I97" s="15">
        <f>0+'táj.2'!I97</f>
        <v>0</v>
      </c>
      <c r="J97" s="15">
        <f>0+'táj.2'!J97</f>
        <v>0</v>
      </c>
      <c r="K97" s="15">
        <f>500+'táj.2'!K97</f>
        <v>500</v>
      </c>
      <c r="L97" s="15">
        <f>0+'táj.2'!L97</f>
        <v>0</v>
      </c>
      <c r="M97" s="15">
        <f>0+'táj.2'!M97</f>
        <v>0</v>
      </c>
      <c r="N97" s="15">
        <f>0+'táj.2'!N97</f>
        <v>0</v>
      </c>
      <c r="O97" s="15">
        <f>0+'táj.2'!O97</f>
        <v>0</v>
      </c>
      <c r="P97" s="15">
        <f>0+'táj.2'!P97</f>
        <v>0</v>
      </c>
      <c r="Q97" s="15">
        <f t="shared" si="5"/>
        <v>500</v>
      </c>
    </row>
    <row r="98" spans="1:17" ht="13.5" customHeight="1">
      <c r="A98" s="100"/>
      <c r="B98" s="100"/>
      <c r="C98" s="244"/>
      <c r="D98" s="309" t="s">
        <v>391</v>
      </c>
      <c r="E98" s="15">
        <v>2</v>
      </c>
      <c r="F98" s="100">
        <v>131344</v>
      </c>
      <c r="G98" s="15">
        <f>0+'táj.2'!G98</f>
        <v>0</v>
      </c>
      <c r="H98" s="15">
        <f>0+'táj.2'!H98</f>
        <v>0</v>
      </c>
      <c r="I98" s="15">
        <f>0+'táj.2'!I98</f>
        <v>0</v>
      </c>
      <c r="J98" s="15">
        <f>0+'táj.2'!J98</f>
        <v>0</v>
      </c>
      <c r="K98" s="15">
        <f>500+'táj.2'!K98</f>
        <v>500</v>
      </c>
      <c r="L98" s="15">
        <f>0+'táj.2'!L98</f>
        <v>0</v>
      </c>
      <c r="M98" s="15">
        <f>0+'táj.2'!M98</f>
        <v>0</v>
      </c>
      <c r="N98" s="15">
        <f>0+'táj.2'!N98</f>
        <v>0</v>
      </c>
      <c r="O98" s="15">
        <f>0+'táj.2'!O98</f>
        <v>0</v>
      </c>
      <c r="P98" s="15">
        <f>0+'táj.2'!P98</f>
        <v>0</v>
      </c>
      <c r="Q98" s="15">
        <f t="shared" si="5"/>
        <v>500</v>
      </c>
    </row>
    <row r="99" spans="1:17" ht="23.25" customHeight="1">
      <c r="A99" s="100"/>
      <c r="B99" s="100"/>
      <c r="C99" s="244"/>
      <c r="D99" s="309" t="s">
        <v>368</v>
      </c>
      <c r="E99" s="15">
        <v>2</v>
      </c>
      <c r="F99" s="100">
        <v>131345</v>
      </c>
      <c r="G99" s="15">
        <f>0+'táj.2'!G99</f>
        <v>0</v>
      </c>
      <c r="H99" s="15">
        <f>0+'táj.2'!H99</f>
        <v>0</v>
      </c>
      <c r="I99" s="15">
        <f>0+'táj.2'!I99</f>
        <v>0</v>
      </c>
      <c r="J99" s="15">
        <f>0+'táj.2'!J99</f>
        <v>0</v>
      </c>
      <c r="K99" s="15">
        <f>500+'táj.2'!K99</f>
        <v>500</v>
      </c>
      <c r="L99" s="15">
        <f>0+'táj.2'!L99</f>
        <v>0</v>
      </c>
      <c r="M99" s="15">
        <f>0+'táj.2'!M99</f>
        <v>0</v>
      </c>
      <c r="N99" s="15">
        <f>0+'táj.2'!N99</f>
        <v>0</v>
      </c>
      <c r="O99" s="15">
        <f>0+'táj.2'!O99</f>
        <v>0</v>
      </c>
      <c r="P99" s="15">
        <f>0+'táj.2'!P99</f>
        <v>0</v>
      </c>
      <c r="Q99" s="15">
        <f t="shared" si="5"/>
        <v>500</v>
      </c>
    </row>
    <row r="100" spans="1:17" ht="13.5" customHeight="1">
      <c r="A100" s="100"/>
      <c r="B100" s="100"/>
      <c r="C100" s="244"/>
      <c r="D100" s="309" t="s">
        <v>392</v>
      </c>
      <c r="E100" s="15">
        <v>2</v>
      </c>
      <c r="F100" s="100">
        <v>131146</v>
      </c>
      <c r="G100" s="15">
        <f>285+'táj.2'!G100</f>
        <v>285</v>
      </c>
      <c r="H100" s="15">
        <f>182+'táj.2'!H100</f>
        <v>174</v>
      </c>
      <c r="I100" s="15">
        <f>3050+'táj.2'!I100</f>
        <v>3058</v>
      </c>
      <c r="J100" s="15">
        <f>0+'táj.2'!J100</f>
        <v>0</v>
      </c>
      <c r="K100" s="15">
        <f>0+'táj.2'!K100</f>
        <v>0</v>
      </c>
      <c r="L100" s="15">
        <f>0+'táj.2'!L100</f>
        <v>0</v>
      </c>
      <c r="M100" s="15">
        <f>0+'táj.2'!M100</f>
        <v>0</v>
      </c>
      <c r="N100" s="15">
        <f>0+'táj.2'!N100</f>
        <v>0</v>
      </c>
      <c r="O100" s="15">
        <f>0+'táj.2'!O100</f>
        <v>0</v>
      </c>
      <c r="P100" s="15">
        <f>0+'táj.2'!P100</f>
        <v>0</v>
      </c>
      <c r="Q100" s="15">
        <f t="shared" si="5"/>
        <v>3517</v>
      </c>
    </row>
    <row r="101" spans="1:17" ht="13.5" customHeight="1">
      <c r="A101" s="100"/>
      <c r="B101" s="100"/>
      <c r="C101" s="244"/>
      <c r="D101" s="193" t="s">
        <v>1010</v>
      </c>
      <c r="E101" s="15">
        <v>2</v>
      </c>
      <c r="F101" s="100">
        <v>131335</v>
      </c>
      <c r="G101" s="15">
        <f>0+'táj.2'!G101</f>
        <v>0</v>
      </c>
      <c r="H101" s="15">
        <f>0+'táj.2'!H101</f>
        <v>0</v>
      </c>
      <c r="I101" s="15">
        <f>0+'táj.2'!I101</f>
        <v>0</v>
      </c>
      <c r="J101" s="15">
        <f>0+'táj.2'!J101</f>
        <v>0</v>
      </c>
      <c r="K101" s="15">
        <f>0+'táj.2'!K101</f>
        <v>0</v>
      </c>
      <c r="L101" s="15">
        <f>0+'táj.2'!L101</f>
        <v>0</v>
      </c>
      <c r="M101" s="15">
        <f>0+'táj.2'!M101</f>
        <v>0</v>
      </c>
      <c r="N101" s="15">
        <f>0+'táj.2'!N101</f>
        <v>0</v>
      </c>
      <c r="O101" s="15">
        <f>0+'táj.2'!O101</f>
        <v>0</v>
      </c>
      <c r="P101" s="15">
        <f>0+'táj.2'!P101</f>
        <v>0</v>
      </c>
      <c r="Q101" s="15">
        <f t="shared" si="5"/>
        <v>0</v>
      </c>
    </row>
    <row r="102" spans="1:17" ht="13.5" customHeight="1">
      <c r="A102" s="100"/>
      <c r="B102" s="100"/>
      <c r="C102" s="244"/>
      <c r="D102" s="193" t="s">
        <v>1011</v>
      </c>
      <c r="E102" s="15">
        <v>2</v>
      </c>
      <c r="F102" s="100">
        <v>131336</v>
      </c>
      <c r="G102" s="15">
        <f>0+'táj.2'!G102</f>
        <v>0</v>
      </c>
      <c r="H102" s="15">
        <f>0+'táj.2'!H102</f>
        <v>0</v>
      </c>
      <c r="I102" s="15">
        <f>0+'táj.2'!I102</f>
        <v>0</v>
      </c>
      <c r="J102" s="15">
        <f>0+'táj.2'!J102</f>
        <v>0</v>
      </c>
      <c r="K102" s="15">
        <f>0+'táj.2'!K102</f>
        <v>0</v>
      </c>
      <c r="L102" s="15">
        <f>0+'táj.2'!L102</f>
        <v>0</v>
      </c>
      <c r="M102" s="15">
        <f>0+'táj.2'!M102</f>
        <v>0</v>
      </c>
      <c r="N102" s="15">
        <f>0+'táj.2'!N102</f>
        <v>0</v>
      </c>
      <c r="O102" s="15">
        <f>0+'táj.2'!O102</f>
        <v>0</v>
      </c>
      <c r="P102" s="15">
        <f>0+'táj.2'!P102</f>
        <v>0</v>
      </c>
      <c r="Q102" s="15">
        <f t="shared" si="5"/>
        <v>0</v>
      </c>
    </row>
    <row r="103" spans="1:17" ht="13.5" customHeight="1">
      <c r="A103" s="100"/>
      <c r="B103" s="100"/>
      <c r="C103" s="244"/>
      <c r="D103" s="193" t="s">
        <v>467</v>
      </c>
      <c r="E103" s="15">
        <v>2</v>
      </c>
      <c r="F103" s="100">
        <v>131337</v>
      </c>
      <c r="G103" s="15">
        <f>0+'táj.2'!G103</f>
        <v>0</v>
      </c>
      <c r="H103" s="15">
        <f>0+'táj.2'!H103</f>
        <v>0</v>
      </c>
      <c r="I103" s="15">
        <f>0+'táj.2'!I103</f>
        <v>0</v>
      </c>
      <c r="J103" s="15">
        <f>0+'táj.2'!J103</f>
        <v>0</v>
      </c>
      <c r="K103" s="15">
        <f>500+'táj.2'!K103</f>
        <v>500</v>
      </c>
      <c r="L103" s="15">
        <f>0+'táj.2'!L103</f>
        <v>0</v>
      </c>
      <c r="M103" s="15">
        <f>0+'táj.2'!M103</f>
        <v>0</v>
      </c>
      <c r="N103" s="15">
        <f>0+'táj.2'!N103</f>
        <v>0</v>
      </c>
      <c r="O103" s="15">
        <f>0+'táj.2'!O103</f>
        <v>0</v>
      </c>
      <c r="P103" s="15">
        <f>0+'táj.2'!P103</f>
        <v>0</v>
      </c>
      <c r="Q103" s="15">
        <f t="shared" si="5"/>
        <v>500</v>
      </c>
    </row>
    <row r="104" spans="1:17" ht="13.5" customHeight="1">
      <c r="A104" s="100"/>
      <c r="B104" s="100"/>
      <c r="C104" s="244"/>
      <c r="D104" s="193" t="s">
        <v>1000</v>
      </c>
      <c r="E104" s="15">
        <v>2</v>
      </c>
      <c r="F104" s="100">
        <v>131338</v>
      </c>
      <c r="G104" s="15">
        <f>0+'táj.2'!G104</f>
        <v>0</v>
      </c>
      <c r="H104" s="15">
        <f>0+'táj.2'!H104</f>
        <v>0</v>
      </c>
      <c r="I104" s="15">
        <f>0+'táj.2'!I104</f>
        <v>0</v>
      </c>
      <c r="J104" s="15">
        <f>0+'táj.2'!J104</f>
        <v>0</v>
      </c>
      <c r="K104" s="15">
        <f>2500+'táj.2'!K104</f>
        <v>2500</v>
      </c>
      <c r="L104" s="15">
        <f>0+'táj.2'!L104</f>
        <v>0</v>
      </c>
      <c r="M104" s="15">
        <f>0+'táj.2'!M104</f>
        <v>0</v>
      </c>
      <c r="N104" s="15">
        <f>0+'táj.2'!N104</f>
        <v>0</v>
      </c>
      <c r="O104" s="15">
        <f>0+'táj.2'!O104</f>
        <v>0</v>
      </c>
      <c r="P104" s="15">
        <f>0+'táj.2'!P104</f>
        <v>0</v>
      </c>
      <c r="Q104" s="15">
        <f t="shared" si="5"/>
        <v>2500</v>
      </c>
    </row>
    <row r="105" spans="1:17" ht="13.5" customHeight="1">
      <c r="A105" s="100"/>
      <c r="B105" s="100"/>
      <c r="C105" s="244"/>
      <c r="D105" s="16" t="s">
        <v>970</v>
      </c>
      <c r="E105" s="302"/>
      <c r="F105" s="522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24.75" customHeight="1">
      <c r="A106" s="100"/>
      <c r="B106" s="100"/>
      <c r="C106" s="244"/>
      <c r="D106" s="224" t="s">
        <v>1278</v>
      </c>
      <c r="E106" s="302">
        <v>2</v>
      </c>
      <c r="F106" s="113">
        <v>131401</v>
      </c>
      <c r="G106" s="15">
        <f>0+'táj.2'!G106</f>
        <v>0</v>
      </c>
      <c r="H106" s="15">
        <f>0+'táj.2'!H106</f>
        <v>0</v>
      </c>
      <c r="I106" s="15">
        <f>0+'táj.2'!I106</f>
        <v>0</v>
      </c>
      <c r="J106" s="15">
        <f>0+'táj.2'!J106</f>
        <v>0</v>
      </c>
      <c r="K106" s="15">
        <f>2250+'táj.2'!K106</f>
        <v>2250</v>
      </c>
      <c r="L106" s="15">
        <f>0+'táj.2'!L106</f>
        <v>0</v>
      </c>
      <c r="M106" s="15">
        <f>0+'táj.2'!M106</f>
        <v>0</v>
      </c>
      <c r="N106" s="15">
        <f>0+'táj.2'!N106</f>
        <v>0</v>
      </c>
      <c r="O106" s="15">
        <f>0+'táj.2'!O106</f>
        <v>0</v>
      </c>
      <c r="P106" s="15">
        <f>0+'táj.2'!P106</f>
        <v>0</v>
      </c>
      <c r="Q106" s="15">
        <f aca="true" t="shared" si="6" ref="Q106:Q113">SUM(G106:P106)</f>
        <v>2250</v>
      </c>
    </row>
    <row r="107" spans="1:17" ht="13.5" customHeight="1">
      <c r="A107" s="100"/>
      <c r="B107" s="100"/>
      <c r="C107" s="246"/>
      <c r="D107" s="110" t="s">
        <v>1279</v>
      </c>
      <c r="E107" s="302">
        <v>2</v>
      </c>
      <c r="F107" s="113">
        <v>131402</v>
      </c>
      <c r="G107" s="15">
        <f>0+'táj.2'!G107</f>
        <v>0</v>
      </c>
      <c r="H107" s="15">
        <f>0+'táj.2'!H107</f>
        <v>0</v>
      </c>
      <c r="I107" s="15">
        <f>0+'táj.2'!I107</f>
        <v>0</v>
      </c>
      <c r="J107" s="15">
        <f>0+'táj.2'!J107</f>
        <v>0</v>
      </c>
      <c r="K107" s="15">
        <f>5000+'táj.2'!K107</f>
        <v>5000</v>
      </c>
      <c r="L107" s="15">
        <f>0+'táj.2'!L107</f>
        <v>0</v>
      </c>
      <c r="M107" s="15">
        <f>0+'táj.2'!M107</f>
        <v>0</v>
      </c>
      <c r="N107" s="15">
        <f>0+'táj.2'!N107</f>
        <v>0</v>
      </c>
      <c r="O107" s="15">
        <f>0+'táj.2'!O107</f>
        <v>0</v>
      </c>
      <c r="P107" s="15">
        <f>0+'táj.2'!P107</f>
        <v>0</v>
      </c>
      <c r="Q107" s="15">
        <f t="shared" si="6"/>
        <v>5000</v>
      </c>
    </row>
    <row r="108" spans="1:17" ht="13.5" customHeight="1">
      <c r="A108" s="100"/>
      <c r="B108" s="100"/>
      <c r="C108" s="244"/>
      <c r="D108" s="16" t="s">
        <v>809</v>
      </c>
      <c r="E108" s="302">
        <v>2</v>
      </c>
      <c r="F108" s="113">
        <v>131403</v>
      </c>
      <c r="G108" s="15">
        <f>0+'táj.2'!G108</f>
        <v>0</v>
      </c>
      <c r="H108" s="15">
        <f>0+'táj.2'!H108</f>
        <v>0</v>
      </c>
      <c r="I108" s="15">
        <f>0+'táj.2'!I108</f>
        <v>0</v>
      </c>
      <c r="J108" s="15">
        <f>0+'táj.2'!J108</f>
        <v>0</v>
      </c>
      <c r="K108" s="15">
        <f>10000+'táj.2'!K108</f>
        <v>10000</v>
      </c>
      <c r="L108" s="15">
        <f>0+'táj.2'!L108</f>
        <v>0</v>
      </c>
      <c r="M108" s="15">
        <f>0+'táj.2'!M108</f>
        <v>0</v>
      </c>
      <c r="N108" s="15">
        <f>0+'táj.2'!N108</f>
        <v>0</v>
      </c>
      <c r="O108" s="15">
        <f>0+'táj.2'!O108</f>
        <v>0</v>
      </c>
      <c r="P108" s="15">
        <f>0+'táj.2'!P108</f>
        <v>0</v>
      </c>
      <c r="Q108" s="15">
        <f t="shared" si="6"/>
        <v>10000</v>
      </c>
    </row>
    <row r="109" spans="1:17" ht="13.5" customHeight="1">
      <c r="A109" s="100"/>
      <c r="B109" s="100"/>
      <c r="C109" s="244"/>
      <c r="D109" s="16" t="s">
        <v>810</v>
      </c>
      <c r="E109" s="302">
        <v>2</v>
      </c>
      <c r="F109" s="113">
        <v>131404</v>
      </c>
      <c r="G109" s="15">
        <f>0+'táj.2'!G109</f>
        <v>0</v>
      </c>
      <c r="H109" s="15">
        <f>0+'táj.2'!H109</f>
        <v>0</v>
      </c>
      <c r="I109" s="15">
        <f>0+'táj.2'!I109</f>
        <v>0</v>
      </c>
      <c r="J109" s="15">
        <f>0+'táj.2'!J109</f>
        <v>0</v>
      </c>
      <c r="K109" s="15">
        <f>7050+'táj.2'!K109</f>
        <v>7050</v>
      </c>
      <c r="L109" s="15">
        <f>0+'táj.2'!L109</f>
        <v>0</v>
      </c>
      <c r="M109" s="15">
        <f>0+'táj.2'!M109</f>
        <v>0</v>
      </c>
      <c r="N109" s="15">
        <f>0+'táj.2'!N109</f>
        <v>0</v>
      </c>
      <c r="O109" s="15">
        <f>0+'táj.2'!O109</f>
        <v>0</v>
      </c>
      <c r="P109" s="15">
        <f>0+'táj.2'!P109</f>
        <v>0</v>
      </c>
      <c r="Q109" s="15">
        <f t="shared" si="6"/>
        <v>7050</v>
      </c>
    </row>
    <row r="110" spans="1:17" ht="13.5" customHeight="1">
      <c r="A110" s="100"/>
      <c r="B110" s="100"/>
      <c r="C110" s="244"/>
      <c r="D110" s="16" t="s">
        <v>1304</v>
      </c>
      <c r="E110" s="302">
        <v>2</v>
      </c>
      <c r="F110" s="113">
        <v>131330</v>
      </c>
      <c r="G110" s="15">
        <f>0+'táj.2'!G110</f>
        <v>0</v>
      </c>
      <c r="H110" s="15">
        <f>0+'táj.2'!H110</f>
        <v>0</v>
      </c>
      <c r="I110" s="15">
        <f>0+'táj.2'!I110</f>
        <v>0</v>
      </c>
      <c r="J110" s="15">
        <f>0+'táj.2'!J110</f>
        <v>0</v>
      </c>
      <c r="K110" s="15">
        <f>2700+'táj.2'!K110</f>
        <v>2700</v>
      </c>
      <c r="L110" s="15">
        <f>0+'táj.2'!L110</f>
        <v>0</v>
      </c>
      <c r="M110" s="15">
        <f>0+'táj.2'!M110</f>
        <v>0</v>
      </c>
      <c r="N110" s="15">
        <f>0+'táj.2'!N110</f>
        <v>0</v>
      </c>
      <c r="O110" s="15">
        <f>0+'táj.2'!O110</f>
        <v>0</v>
      </c>
      <c r="P110" s="15">
        <f>0+'táj.2'!P110</f>
        <v>0</v>
      </c>
      <c r="Q110" s="15">
        <f t="shared" si="6"/>
        <v>2700</v>
      </c>
    </row>
    <row r="111" spans="1:17" ht="13.5" customHeight="1">
      <c r="A111" s="100"/>
      <c r="B111" s="100"/>
      <c r="C111" s="244"/>
      <c r="D111" s="16" t="s">
        <v>23</v>
      </c>
      <c r="E111" s="302">
        <v>2</v>
      </c>
      <c r="F111" s="113">
        <v>131507</v>
      </c>
      <c r="G111" s="15">
        <f>0+'táj.2'!G111</f>
        <v>0</v>
      </c>
      <c r="H111" s="15">
        <f>0+'táj.2'!H111</f>
        <v>0</v>
      </c>
      <c r="I111" s="15">
        <f>0+'táj.2'!I111</f>
        <v>0</v>
      </c>
      <c r="J111" s="15">
        <f>0+'táj.2'!J111</f>
        <v>0</v>
      </c>
      <c r="K111" s="15">
        <f>2500+'táj.2'!K111</f>
        <v>2500</v>
      </c>
      <c r="L111" s="15">
        <f>0+'táj.2'!L111</f>
        <v>0</v>
      </c>
      <c r="M111" s="15">
        <f>0+'táj.2'!M111</f>
        <v>0</v>
      </c>
      <c r="N111" s="15">
        <f>0+'táj.2'!N111</f>
        <v>0</v>
      </c>
      <c r="O111" s="15">
        <f>0+'táj.2'!O111</f>
        <v>0</v>
      </c>
      <c r="P111" s="15">
        <f>0+'táj.2'!P111</f>
        <v>0</v>
      </c>
      <c r="Q111" s="15">
        <f t="shared" si="6"/>
        <v>2500</v>
      </c>
    </row>
    <row r="112" spans="1:17" ht="13.5" customHeight="1">
      <c r="A112" s="100"/>
      <c r="B112" s="100"/>
      <c r="C112" s="244"/>
      <c r="D112" s="320" t="s">
        <v>385</v>
      </c>
      <c r="E112" s="302">
        <v>2</v>
      </c>
      <c r="F112" s="113">
        <v>171943</v>
      </c>
      <c r="G112" s="15">
        <f>0+'táj.2'!G112</f>
        <v>0</v>
      </c>
      <c r="H112" s="15">
        <f>0+'táj.2'!H112</f>
        <v>0</v>
      </c>
      <c r="I112" s="15">
        <f>0+'táj.2'!I112</f>
        <v>0</v>
      </c>
      <c r="J112" s="15">
        <f>0+'táj.2'!J112</f>
        <v>0</v>
      </c>
      <c r="K112" s="15">
        <f>400+'táj.2'!K112</f>
        <v>400</v>
      </c>
      <c r="L112" s="15">
        <f>0+'táj.2'!L112</f>
        <v>0</v>
      </c>
      <c r="M112" s="15">
        <f>0+'táj.2'!M112</f>
        <v>0</v>
      </c>
      <c r="N112" s="15">
        <f>0+'táj.2'!N112</f>
        <v>0</v>
      </c>
      <c r="O112" s="15">
        <f>0+'táj.2'!O112</f>
        <v>0</v>
      </c>
      <c r="P112" s="15">
        <f>0+'táj.2'!P112</f>
        <v>0</v>
      </c>
      <c r="Q112" s="15">
        <f t="shared" si="6"/>
        <v>400</v>
      </c>
    </row>
    <row r="113" spans="1:17" ht="13.5" customHeight="1">
      <c r="A113" s="100"/>
      <c r="B113" s="100"/>
      <c r="C113" s="244"/>
      <c r="D113" s="193" t="s">
        <v>945</v>
      </c>
      <c r="E113" s="304">
        <v>2</v>
      </c>
      <c r="F113" s="326">
        <v>131301</v>
      </c>
      <c r="G113" s="15">
        <f>0+'táj.2'!G113</f>
        <v>0</v>
      </c>
      <c r="H113" s="15">
        <f>0+'táj.2'!H113</f>
        <v>0</v>
      </c>
      <c r="I113" s="15">
        <f>0+'táj.2'!I113</f>
        <v>0</v>
      </c>
      <c r="J113" s="15">
        <f>0+'táj.2'!J113</f>
        <v>0</v>
      </c>
      <c r="K113" s="15">
        <f>4142+'táj.2'!K113</f>
        <v>4142</v>
      </c>
      <c r="L113" s="15">
        <f>0+'táj.2'!L113</f>
        <v>0</v>
      </c>
      <c r="M113" s="15">
        <f>0+'táj.2'!M113</f>
        <v>0</v>
      </c>
      <c r="N113" s="15">
        <f>50+'táj.2'!N113</f>
        <v>50</v>
      </c>
      <c r="O113" s="15">
        <f>0+'táj.2'!O113</f>
        <v>0</v>
      </c>
      <c r="P113" s="15">
        <f>0+'táj.2'!P113</f>
        <v>0</v>
      </c>
      <c r="Q113" s="15">
        <f t="shared" si="6"/>
        <v>4192</v>
      </c>
    </row>
    <row r="114" spans="1:17" ht="13.5" customHeight="1">
      <c r="A114" s="100"/>
      <c r="B114" s="100"/>
      <c r="C114" s="244"/>
      <c r="D114" s="193" t="s">
        <v>113</v>
      </c>
      <c r="E114" s="303"/>
      <c r="F114" s="534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3.5" customHeight="1">
      <c r="A115" s="100"/>
      <c r="B115" s="100"/>
      <c r="C115" s="244"/>
      <c r="D115" s="193" t="s">
        <v>811</v>
      </c>
      <c r="E115" s="304">
        <v>2</v>
      </c>
      <c r="F115" s="326">
        <v>131502</v>
      </c>
      <c r="G115" s="15">
        <f>0+'táj.2'!G115</f>
        <v>0</v>
      </c>
      <c r="H115" s="15">
        <f>0+'táj.2'!H115</f>
        <v>0</v>
      </c>
      <c r="I115" s="15">
        <f>0+'táj.2'!I115</f>
        <v>0</v>
      </c>
      <c r="J115" s="15">
        <f>753+'táj.2'!J115</f>
        <v>753</v>
      </c>
      <c r="K115" s="15">
        <f>0+'táj.2'!K115</f>
        <v>0</v>
      </c>
      <c r="L115" s="15">
        <f>0+'táj.2'!L115</f>
        <v>0</v>
      </c>
      <c r="M115" s="15">
        <f>0+'táj.2'!M115</f>
        <v>0</v>
      </c>
      <c r="N115" s="15">
        <f>0+'táj.2'!N115</f>
        <v>0</v>
      </c>
      <c r="O115" s="15">
        <f>0+'táj.2'!O115</f>
        <v>0</v>
      </c>
      <c r="P115" s="15">
        <f>0+'táj.2'!P115</f>
        <v>0</v>
      </c>
      <c r="Q115" s="15">
        <f>SUM(G115:P115)</f>
        <v>753</v>
      </c>
    </row>
    <row r="116" spans="1:17" ht="13.5" customHeight="1">
      <c r="A116" s="100"/>
      <c r="B116" s="100"/>
      <c r="C116" s="244"/>
      <c r="D116" s="183" t="s">
        <v>439</v>
      </c>
      <c r="E116" s="305"/>
      <c r="F116" s="53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ht="13.5" customHeight="1">
      <c r="A117" s="100"/>
      <c r="B117" s="100"/>
      <c r="C117" s="244"/>
      <c r="D117" s="16" t="s">
        <v>59</v>
      </c>
      <c r="E117" s="302"/>
      <c r="F117" s="522"/>
      <c r="G117" s="15"/>
      <c r="H117" s="15"/>
      <c r="I117" s="15"/>
      <c r="J117" s="155"/>
      <c r="K117" s="15"/>
      <c r="L117" s="155"/>
      <c r="M117" s="155"/>
      <c r="N117" s="155"/>
      <c r="O117" s="155"/>
      <c r="P117" s="155"/>
      <c r="Q117" s="11"/>
    </row>
    <row r="118" spans="1:17" ht="13.5" customHeight="1">
      <c r="A118" s="100"/>
      <c r="B118" s="100"/>
      <c r="C118" s="244"/>
      <c r="D118" s="16" t="s">
        <v>128</v>
      </c>
      <c r="E118" s="15">
        <v>2</v>
      </c>
      <c r="F118" s="100">
        <v>131701</v>
      </c>
      <c r="G118" s="15">
        <f>0+'táj.2'!G118</f>
        <v>0</v>
      </c>
      <c r="H118" s="15">
        <f>0+'táj.2'!H118</f>
        <v>0</v>
      </c>
      <c r="I118" s="15">
        <f>191+'táj.2'!I118</f>
        <v>191</v>
      </c>
      <c r="J118" s="15">
        <f>0+'táj.2'!J118</f>
        <v>0</v>
      </c>
      <c r="K118" s="15">
        <f>0+'táj.2'!K118</f>
        <v>0</v>
      </c>
      <c r="L118" s="15">
        <f>0+'táj.2'!L118</f>
        <v>0</v>
      </c>
      <c r="M118" s="15">
        <f>0+'táj.2'!M118</f>
        <v>0</v>
      </c>
      <c r="N118" s="15">
        <f>0+'táj.2'!N118</f>
        <v>0</v>
      </c>
      <c r="O118" s="15">
        <f>0+'táj.2'!O118</f>
        <v>0</v>
      </c>
      <c r="P118" s="15">
        <f>0+'táj.2'!P118</f>
        <v>0</v>
      </c>
      <c r="Q118" s="11">
        <f>SUM(G118:P118)</f>
        <v>191</v>
      </c>
    </row>
    <row r="119" spans="1:17" ht="13.5" customHeight="1">
      <c r="A119" s="100"/>
      <c r="B119" s="100"/>
      <c r="C119" s="244"/>
      <c r="D119" s="16" t="s">
        <v>970</v>
      </c>
      <c r="E119" s="179"/>
      <c r="F119" s="172"/>
      <c r="G119" s="15"/>
      <c r="H119" s="15"/>
      <c r="I119" s="15"/>
      <c r="J119" s="155"/>
      <c r="K119" s="15"/>
      <c r="L119" s="155"/>
      <c r="M119" s="155"/>
      <c r="N119" s="155"/>
      <c r="O119" s="155"/>
      <c r="P119" s="155"/>
      <c r="Q119" s="11"/>
    </row>
    <row r="120" spans="1:17" ht="13.5" customHeight="1">
      <c r="A120" s="100"/>
      <c r="B120" s="100"/>
      <c r="C120" s="244"/>
      <c r="D120" s="224" t="s">
        <v>455</v>
      </c>
      <c r="E120" s="306">
        <v>2</v>
      </c>
      <c r="F120" s="326">
        <v>131708</v>
      </c>
      <c r="G120" s="15">
        <f>0+'táj.2'!G120</f>
        <v>0</v>
      </c>
      <c r="H120" s="15">
        <f>0+'táj.2'!H120</f>
        <v>0</v>
      </c>
      <c r="I120" s="15">
        <f>0+'táj.2'!I120</f>
        <v>0</v>
      </c>
      <c r="J120" s="15">
        <f>0+'táj.2'!J120</f>
        <v>0</v>
      </c>
      <c r="K120" s="15">
        <f>1000+'táj.2'!K120</f>
        <v>1000</v>
      </c>
      <c r="L120" s="15">
        <f>0+'táj.2'!L120</f>
        <v>0</v>
      </c>
      <c r="M120" s="15">
        <f>0+'táj.2'!M120</f>
        <v>0</v>
      </c>
      <c r="N120" s="15">
        <f>0+'táj.2'!N120</f>
        <v>0</v>
      </c>
      <c r="O120" s="15">
        <f>0+'táj.2'!O120</f>
        <v>0</v>
      </c>
      <c r="P120" s="15">
        <f>0+'táj.2'!P120</f>
        <v>0</v>
      </c>
      <c r="Q120" s="11">
        <f>SUM(G120:P120)</f>
        <v>1000</v>
      </c>
    </row>
    <row r="121" spans="1:17" ht="13.5" customHeight="1">
      <c r="A121" s="100"/>
      <c r="B121" s="100"/>
      <c r="C121" s="244"/>
      <c r="D121" s="14" t="s">
        <v>60</v>
      </c>
      <c r="E121" s="302"/>
      <c r="F121" s="522"/>
      <c r="G121" s="15"/>
      <c r="H121" s="15"/>
      <c r="I121" s="15"/>
      <c r="J121" s="155"/>
      <c r="K121" s="15"/>
      <c r="L121" s="155"/>
      <c r="M121" s="155"/>
      <c r="N121" s="155"/>
      <c r="O121" s="155"/>
      <c r="P121" s="155"/>
      <c r="Q121" s="11"/>
    </row>
    <row r="122" spans="1:17" ht="13.5" customHeight="1">
      <c r="A122" s="100"/>
      <c r="B122" s="100"/>
      <c r="C122" s="244"/>
      <c r="D122" s="14" t="s">
        <v>1504</v>
      </c>
      <c r="E122" s="302">
        <v>1</v>
      </c>
      <c r="F122" s="113">
        <v>131703</v>
      </c>
      <c r="G122" s="15">
        <f>0+'táj.2'!G122</f>
        <v>0</v>
      </c>
      <c r="H122" s="15">
        <f>0+'táj.2'!H122</f>
        <v>0</v>
      </c>
      <c r="I122" s="15">
        <f>20962+'táj.2'!I122</f>
        <v>20962</v>
      </c>
      <c r="J122" s="15">
        <f>0+'táj.2'!J122</f>
        <v>0</v>
      </c>
      <c r="K122" s="15">
        <f>0+'táj.2'!K122</f>
        <v>0</v>
      </c>
      <c r="L122" s="15">
        <f>0+'táj.2'!L122</f>
        <v>0</v>
      </c>
      <c r="M122" s="15">
        <f>0+'táj.2'!M122</f>
        <v>0</v>
      </c>
      <c r="N122" s="15">
        <f>0+'táj.2'!N122</f>
        <v>0</v>
      </c>
      <c r="O122" s="15">
        <f>0+'táj.2'!O122</f>
        <v>0</v>
      </c>
      <c r="P122" s="15">
        <f>0+'táj.2'!P122</f>
        <v>0</v>
      </c>
      <c r="Q122" s="11">
        <f>SUM(G122:P122)</f>
        <v>20962</v>
      </c>
    </row>
    <row r="123" spans="1:17" ht="15" customHeight="1">
      <c r="A123" s="100"/>
      <c r="B123" s="100"/>
      <c r="C123" s="244"/>
      <c r="D123" s="101" t="s">
        <v>24</v>
      </c>
      <c r="E123" s="302">
        <v>1</v>
      </c>
      <c r="F123" s="113">
        <v>121319</v>
      </c>
      <c r="G123" s="15">
        <f>0+'táj.2'!G123</f>
        <v>0</v>
      </c>
      <c r="H123" s="15">
        <f>0+'táj.2'!H123</f>
        <v>0</v>
      </c>
      <c r="I123" s="15">
        <f>2465+'táj.2'!I123</f>
        <v>2465</v>
      </c>
      <c r="J123" s="15">
        <f>0+'táj.2'!J123</f>
        <v>0</v>
      </c>
      <c r="K123" s="15">
        <f>0+'táj.2'!K123</f>
        <v>0</v>
      </c>
      <c r="L123" s="15">
        <f>0+'táj.2'!L123</f>
        <v>0</v>
      </c>
      <c r="M123" s="15">
        <f>0+'táj.2'!M123</f>
        <v>0</v>
      </c>
      <c r="N123" s="15">
        <f>0+'táj.2'!N123</f>
        <v>0</v>
      </c>
      <c r="O123" s="15">
        <f>0+'táj.2'!O123</f>
        <v>0</v>
      </c>
      <c r="P123" s="155"/>
      <c r="Q123" s="11">
        <f>SUM(G123:P123)</f>
        <v>2465</v>
      </c>
    </row>
    <row r="124" spans="1:18" ht="15" customHeight="1">
      <c r="A124" s="100"/>
      <c r="B124" s="100"/>
      <c r="C124" s="244"/>
      <c r="D124" s="321" t="s">
        <v>393</v>
      </c>
      <c r="E124" s="302">
        <v>2</v>
      </c>
      <c r="F124" s="522">
        <v>131711</v>
      </c>
      <c r="G124" s="15">
        <f>0+'táj.2'!G124</f>
        <v>0</v>
      </c>
      <c r="H124" s="15">
        <f>0+'táj.2'!H124</f>
        <v>0</v>
      </c>
      <c r="I124" s="15">
        <f>0+'táj.2'!I124</f>
        <v>0</v>
      </c>
      <c r="J124" s="15">
        <f>0+'táj.2'!J124</f>
        <v>0</v>
      </c>
      <c r="K124" s="15">
        <f>1200+'táj.2'!K124</f>
        <v>1200</v>
      </c>
      <c r="L124" s="15">
        <f>0+'táj.2'!L124</f>
        <v>0</v>
      </c>
      <c r="M124" s="15">
        <f>0+'táj.2'!M124</f>
        <v>0</v>
      </c>
      <c r="N124" s="15">
        <f>0+'táj.2'!N124</f>
        <v>0</v>
      </c>
      <c r="O124" s="15">
        <f>0+'táj.2'!O124</f>
        <v>0</v>
      </c>
      <c r="P124" s="15">
        <f>0+'táj.2'!P124</f>
        <v>0</v>
      </c>
      <c r="Q124" s="11">
        <f>SUM(G124:P124)</f>
        <v>1200</v>
      </c>
      <c r="R124" s="4" t="s">
        <v>577</v>
      </c>
    </row>
    <row r="125" spans="1:17" ht="27" customHeight="1">
      <c r="A125" s="100"/>
      <c r="B125" s="100"/>
      <c r="C125" s="244"/>
      <c r="D125" s="225" t="s">
        <v>189</v>
      </c>
      <c r="E125" s="15"/>
      <c r="F125" s="100"/>
      <c r="G125" s="15"/>
      <c r="H125" s="15"/>
      <c r="I125" s="11"/>
      <c r="J125" s="11"/>
      <c r="K125" s="99"/>
      <c r="L125" s="154"/>
      <c r="M125" s="154"/>
      <c r="N125" s="154"/>
      <c r="O125" s="154"/>
      <c r="P125" s="153"/>
      <c r="Q125" s="11"/>
    </row>
    <row r="126" spans="1:17" ht="16.5" customHeight="1">
      <c r="A126" s="100"/>
      <c r="B126" s="100"/>
      <c r="C126" s="244"/>
      <c r="D126" s="225" t="s">
        <v>900</v>
      </c>
      <c r="E126" s="15">
        <v>2</v>
      </c>
      <c r="F126" s="100">
        <v>131506</v>
      </c>
      <c r="G126" s="15">
        <f>654+'táj.2'!G126</f>
        <v>654</v>
      </c>
      <c r="H126" s="15">
        <f>295+'táj.2'!H126</f>
        <v>358</v>
      </c>
      <c r="I126" s="15">
        <f>751+'táj.2'!I126</f>
        <v>688</v>
      </c>
      <c r="J126" s="15">
        <f>0+'táj.2'!J126</f>
        <v>0</v>
      </c>
      <c r="K126" s="15">
        <f>0+'táj.2'!K126</f>
        <v>0</v>
      </c>
      <c r="L126" s="15">
        <f>0+'táj.2'!L126</f>
        <v>0</v>
      </c>
      <c r="M126" s="15">
        <f>0+'táj.2'!M126</f>
        <v>0</v>
      </c>
      <c r="N126" s="15">
        <f>0+'táj.2'!N126</f>
        <v>0</v>
      </c>
      <c r="O126" s="15">
        <f>0+'táj.2'!O126</f>
        <v>0</v>
      </c>
      <c r="P126" s="15">
        <f>0+'táj.2'!P126</f>
        <v>0</v>
      </c>
      <c r="Q126" s="11">
        <f aca="true" t="shared" si="7" ref="Q126:Q133">SUM(G126:P126)</f>
        <v>1700</v>
      </c>
    </row>
    <row r="127" spans="1:17" ht="15" customHeight="1">
      <c r="A127" s="100"/>
      <c r="B127" s="100"/>
      <c r="C127" s="244"/>
      <c r="D127" s="16" t="s">
        <v>62</v>
      </c>
      <c r="E127" s="15"/>
      <c r="F127" s="100"/>
      <c r="G127" s="15"/>
      <c r="H127" s="15"/>
      <c r="I127" s="11"/>
      <c r="J127" s="11"/>
      <c r="K127" s="99"/>
      <c r="L127" s="154"/>
      <c r="M127" s="154"/>
      <c r="N127" s="154"/>
      <c r="O127" s="154"/>
      <c r="P127" s="153"/>
      <c r="Q127" s="11">
        <f t="shared" si="7"/>
        <v>0</v>
      </c>
    </row>
    <row r="128" spans="1:17" ht="15" customHeight="1">
      <c r="A128" s="100"/>
      <c r="B128" s="100"/>
      <c r="C128" s="244"/>
      <c r="D128" s="16" t="s">
        <v>792</v>
      </c>
      <c r="E128" s="15">
        <v>2</v>
      </c>
      <c r="F128" s="100">
        <v>131707</v>
      </c>
      <c r="G128" s="15">
        <f>0+'táj.2'!G128</f>
        <v>0</v>
      </c>
      <c r="H128" s="15">
        <f>0+'táj.2'!H128</f>
        <v>0</v>
      </c>
      <c r="I128" s="15">
        <f>0+'táj.2'!I128</f>
        <v>0</v>
      </c>
      <c r="J128" s="15">
        <f>0+'táj.2'!J128</f>
        <v>0</v>
      </c>
      <c r="K128" s="15">
        <f>11500+'táj.2'!K128</f>
        <v>11500</v>
      </c>
      <c r="L128" s="15">
        <f>0+'táj.2'!L128</f>
        <v>0</v>
      </c>
      <c r="M128" s="15">
        <f>0+'táj.2'!M128</f>
        <v>0</v>
      </c>
      <c r="N128" s="15">
        <f>0+'táj.2'!N128</f>
        <v>0</v>
      </c>
      <c r="O128" s="15">
        <f>0+'táj.2'!O128</f>
        <v>0</v>
      </c>
      <c r="P128" s="15">
        <f>0+'táj.2'!P128</f>
        <v>0</v>
      </c>
      <c r="Q128" s="11">
        <f t="shared" si="7"/>
        <v>11500</v>
      </c>
    </row>
    <row r="129" spans="1:17" ht="16.5" customHeight="1">
      <c r="A129" s="100"/>
      <c r="B129" s="100"/>
      <c r="C129" s="244"/>
      <c r="D129" s="224" t="s">
        <v>114</v>
      </c>
      <c r="E129" s="181"/>
      <c r="F129" s="536"/>
      <c r="G129" s="15"/>
      <c r="H129" s="15"/>
      <c r="I129" s="15"/>
      <c r="J129" s="155"/>
      <c r="K129" s="15"/>
      <c r="L129" s="155"/>
      <c r="M129" s="155"/>
      <c r="N129" s="155"/>
      <c r="O129" s="155"/>
      <c r="P129" s="15"/>
      <c r="Q129" s="11">
        <f t="shared" si="7"/>
        <v>0</v>
      </c>
    </row>
    <row r="130" spans="1:17" ht="15" customHeight="1">
      <c r="A130" s="100"/>
      <c r="B130" s="100"/>
      <c r="C130" s="244"/>
      <c r="D130" s="16" t="s">
        <v>556</v>
      </c>
      <c r="E130" s="180">
        <v>2</v>
      </c>
      <c r="F130" s="521">
        <v>131706</v>
      </c>
      <c r="G130" s="15">
        <f>267+'táj.2'!G130</f>
        <v>267</v>
      </c>
      <c r="H130" s="15">
        <f>0+'táj.2'!H130</f>
        <v>134</v>
      </c>
      <c r="I130" s="15">
        <f>1023+'táj.2'!I130</f>
        <v>889</v>
      </c>
      <c r="J130" s="15">
        <f>0+'táj.2'!J130</f>
        <v>0</v>
      </c>
      <c r="K130" s="15">
        <f>610+'táj.2'!K130</f>
        <v>610</v>
      </c>
      <c r="L130" s="15">
        <f>0+'táj.2'!L130</f>
        <v>0</v>
      </c>
      <c r="M130" s="15">
        <f>0+'táj.2'!M130</f>
        <v>0</v>
      </c>
      <c r="N130" s="15">
        <f>0+'táj.2'!N130</f>
        <v>0</v>
      </c>
      <c r="O130" s="15">
        <f>0+'táj.2'!O130</f>
        <v>0</v>
      </c>
      <c r="P130" s="15">
        <f>0+'táj.2'!P130</f>
        <v>0</v>
      </c>
      <c r="Q130" s="11">
        <f t="shared" si="7"/>
        <v>1900</v>
      </c>
    </row>
    <row r="131" spans="1:17" ht="15" customHeight="1">
      <c r="A131" s="100"/>
      <c r="B131" s="100"/>
      <c r="C131" s="244"/>
      <c r="D131" s="16" t="s">
        <v>946</v>
      </c>
      <c r="E131" s="179">
        <v>2</v>
      </c>
      <c r="F131" s="172">
        <v>131712</v>
      </c>
      <c r="G131" s="15">
        <f>0+'táj.2'!G131</f>
        <v>0</v>
      </c>
      <c r="H131" s="15">
        <f>0+'táj.2'!H131</f>
        <v>0</v>
      </c>
      <c r="I131" s="15">
        <f>270+'táj.2'!I131</f>
        <v>270</v>
      </c>
      <c r="J131" s="15">
        <f>0+'táj.2'!J131</f>
        <v>0</v>
      </c>
      <c r="K131" s="15">
        <f>0+'táj.2'!K131</f>
        <v>0</v>
      </c>
      <c r="L131" s="15">
        <f>0+'táj.2'!L131</f>
        <v>0</v>
      </c>
      <c r="M131" s="15">
        <f>0+'táj.2'!M131</f>
        <v>0</v>
      </c>
      <c r="N131" s="15">
        <f>0+'táj.2'!N131</f>
        <v>0</v>
      </c>
      <c r="O131" s="15">
        <f>0+'táj.2'!O131</f>
        <v>0</v>
      </c>
      <c r="P131" s="15">
        <f>0+'táj.2'!P131</f>
        <v>0</v>
      </c>
      <c r="Q131" s="11">
        <f t="shared" si="7"/>
        <v>270</v>
      </c>
    </row>
    <row r="132" spans="1:17" ht="15" customHeight="1">
      <c r="A132" s="100"/>
      <c r="B132" s="100"/>
      <c r="C132" s="244"/>
      <c r="D132" s="16" t="s">
        <v>970</v>
      </c>
      <c r="E132" s="179"/>
      <c r="F132" s="172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1"/>
    </row>
    <row r="133" spans="1:17" ht="15" customHeight="1">
      <c r="A133" s="100"/>
      <c r="B133" s="100"/>
      <c r="C133" s="244"/>
      <c r="D133" s="16" t="s">
        <v>947</v>
      </c>
      <c r="E133" s="179">
        <v>2</v>
      </c>
      <c r="F133" s="172">
        <v>128901</v>
      </c>
      <c r="G133" s="15">
        <f>0+'táj.2'!G133</f>
        <v>0</v>
      </c>
      <c r="H133" s="15">
        <f>0+'táj.2'!H133</f>
        <v>0</v>
      </c>
      <c r="I133" s="15">
        <f>0+'táj.2'!I133</f>
        <v>0</v>
      </c>
      <c r="J133" s="15">
        <f>0+'táj.2'!J133</f>
        <v>0</v>
      </c>
      <c r="K133" s="15">
        <f>3855+'táj.2'!K133</f>
        <v>3855</v>
      </c>
      <c r="L133" s="15">
        <f>0+'táj.2'!L133</f>
        <v>0</v>
      </c>
      <c r="M133" s="15">
        <f>0+'táj.2'!M133</f>
        <v>0</v>
      </c>
      <c r="N133" s="15">
        <f>0+'táj.2'!N133</f>
        <v>0</v>
      </c>
      <c r="O133" s="15">
        <f>0+'táj.2'!O133</f>
        <v>0</v>
      </c>
      <c r="P133" s="15">
        <f>0+'táj.2'!P133</f>
        <v>0</v>
      </c>
      <c r="Q133" s="11">
        <f t="shared" si="7"/>
        <v>3855</v>
      </c>
    </row>
    <row r="134" spans="1:17" ht="15" customHeight="1">
      <c r="A134" s="100"/>
      <c r="B134" s="100"/>
      <c r="C134" s="244"/>
      <c r="D134" s="14" t="s">
        <v>1263</v>
      </c>
      <c r="E134" s="180"/>
      <c r="F134" s="537"/>
      <c r="G134" s="15"/>
      <c r="H134" s="15"/>
      <c r="I134" s="15"/>
      <c r="J134" s="155"/>
      <c r="K134" s="15"/>
      <c r="L134" s="155"/>
      <c r="M134" s="155"/>
      <c r="N134" s="155"/>
      <c r="O134" s="155"/>
      <c r="P134" s="15"/>
      <c r="Q134" s="11"/>
    </row>
    <row r="135" spans="1:17" ht="15" customHeight="1">
      <c r="A135" s="100"/>
      <c r="B135" s="100"/>
      <c r="C135" s="244"/>
      <c r="D135" s="16" t="s">
        <v>420</v>
      </c>
      <c r="E135" s="180">
        <v>1</v>
      </c>
      <c r="F135" s="521">
        <v>131710</v>
      </c>
      <c r="G135" s="15">
        <f>0+'táj.2'!G135</f>
        <v>0</v>
      </c>
      <c r="H135" s="15">
        <f>0+'táj.2'!H135</f>
        <v>0</v>
      </c>
      <c r="I135" s="15">
        <f>0+'táj.2'!I135</f>
        <v>0</v>
      </c>
      <c r="J135" s="15">
        <f>0+'táj.2'!J135</f>
        <v>0</v>
      </c>
      <c r="K135" s="15">
        <f>0+'táj.2'!K135</f>
        <v>0</v>
      </c>
      <c r="L135" s="15">
        <f>0+'táj.2'!L135</f>
        <v>0</v>
      </c>
      <c r="M135" s="15">
        <f>0+'táj.2'!M135</f>
        <v>0</v>
      </c>
      <c r="N135" s="15">
        <f>0+'táj.2'!N135</f>
        <v>0</v>
      </c>
      <c r="O135" s="15">
        <f>0+'táj.2'!O135</f>
        <v>0</v>
      </c>
      <c r="P135" s="15">
        <f>0+'táj.2'!P135</f>
        <v>0</v>
      </c>
      <c r="Q135" s="11">
        <f>SUM(G135:P135)</f>
        <v>0</v>
      </c>
    </row>
    <row r="136" spans="1:17" ht="15" customHeight="1">
      <c r="A136" s="100"/>
      <c r="B136" s="100"/>
      <c r="C136" s="244"/>
      <c r="D136" s="183" t="s">
        <v>1065</v>
      </c>
      <c r="E136" s="15"/>
      <c r="F136" s="100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1:17" ht="15" customHeight="1">
      <c r="A137" s="100"/>
      <c r="B137" s="100"/>
      <c r="C137" s="244"/>
      <c r="D137" s="101" t="s">
        <v>63</v>
      </c>
      <c r="E137" s="302"/>
      <c r="F137" s="522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ht="15" customHeight="1">
      <c r="A138" s="100"/>
      <c r="B138" s="100"/>
      <c r="C138" s="244"/>
      <c r="D138" s="16" t="s">
        <v>904</v>
      </c>
      <c r="E138" s="15">
        <v>2</v>
      </c>
      <c r="F138" s="100">
        <v>131803</v>
      </c>
      <c r="G138" s="15">
        <f>0+'táj.2'!G138</f>
        <v>0</v>
      </c>
      <c r="H138" s="15">
        <f>0+'táj.2'!H138</f>
        <v>0</v>
      </c>
      <c r="I138" s="15">
        <f>0+'táj.2'!I138</f>
        <v>0</v>
      </c>
      <c r="J138" s="15">
        <f>0+'táj.2'!J138</f>
        <v>0</v>
      </c>
      <c r="K138" s="15">
        <f>150641+'táj.2'!K138</f>
        <v>150641</v>
      </c>
      <c r="L138" s="15">
        <f>0+'táj.2'!L138</f>
        <v>0</v>
      </c>
      <c r="M138" s="15">
        <f>0+'táj.2'!M138</f>
        <v>0</v>
      </c>
      <c r="N138" s="15">
        <f>0+'táj.2'!N138</f>
        <v>0</v>
      </c>
      <c r="O138" s="15">
        <f>0+'táj.2'!O138</f>
        <v>0</v>
      </c>
      <c r="P138" s="15">
        <f>0+'táj.2'!P138</f>
        <v>0</v>
      </c>
      <c r="Q138" s="15">
        <f>SUM(G138:P138)</f>
        <v>150641</v>
      </c>
    </row>
    <row r="139" spans="1:17" ht="15" customHeight="1">
      <c r="A139" s="100"/>
      <c r="B139" s="100"/>
      <c r="C139" s="244"/>
      <c r="D139" s="16" t="s">
        <v>490</v>
      </c>
      <c r="E139" s="15">
        <v>2</v>
      </c>
      <c r="F139" s="100">
        <v>131804</v>
      </c>
      <c r="G139" s="15">
        <f>0+'táj.2'!G139</f>
        <v>0</v>
      </c>
      <c r="H139" s="15">
        <f>0+'táj.2'!H139</f>
        <v>0</v>
      </c>
      <c r="I139" s="15">
        <f>0+'táj.2'!I139</f>
        <v>0</v>
      </c>
      <c r="J139" s="15">
        <f>0+'táj.2'!J139</f>
        <v>0</v>
      </c>
      <c r="K139" s="15">
        <f>74510+'táj.2'!K139</f>
        <v>74510</v>
      </c>
      <c r="L139" s="15">
        <f>0+'táj.2'!L139</f>
        <v>0</v>
      </c>
      <c r="M139" s="15">
        <f>0+'táj.2'!M139</f>
        <v>0</v>
      </c>
      <c r="N139" s="15">
        <f>0+'táj.2'!N139</f>
        <v>0</v>
      </c>
      <c r="O139" s="15">
        <f>0+'táj.2'!O139</f>
        <v>0</v>
      </c>
      <c r="P139" s="15">
        <f>0+'táj.2'!P139</f>
        <v>0</v>
      </c>
      <c r="Q139" s="15">
        <f>SUM(G139:P139)</f>
        <v>74510</v>
      </c>
    </row>
    <row r="140" spans="1:17" ht="15" customHeight="1">
      <c r="A140" s="100"/>
      <c r="B140" s="100"/>
      <c r="C140" s="244"/>
      <c r="D140" s="16" t="s">
        <v>1066</v>
      </c>
      <c r="E140" s="15">
        <v>2</v>
      </c>
      <c r="F140" s="100">
        <v>131805</v>
      </c>
      <c r="G140" s="15">
        <f>0+'táj.2'!G140</f>
        <v>0</v>
      </c>
      <c r="H140" s="15">
        <f>0+'táj.2'!H140</f>
        <v>0</v>
      </c>
      <c r="I140" s="15">
        <f>0+'táj.2'!I140</f>
        <v>0</v>
      </c>
      <c r="J140" s="15">
        <f>0+'táj.2'!J140</f>
        <v>0</v>
      </c>
      <c r="K140" s="15">
        <f>10000+'táj.2'!K140</f>
        <v>10000</v>
      </c>
      <c r="L140" s="15">
        <f>0+'táj.2'!L140</f>
        <v>0</v>
      </c>
      <c r="M140" s="15">
        <f>0+'táj.2'!M140</f>
        <v>0</v>
      </c>
      <c r="N140" s="15">
        <f>0+'táj.2'!N140</f>
        <v>0</v>
      </c>
      <c r="O140" s="15">
        <f>0+'táj.2'!O140</f>
        <v>0</v>
      </c>
      <c r="P140" s="15">
        <f>0+'táj.2'!P140</f>
        <v>0</v>
      </c>
      <c r="Q140" s="15">
        <f>SUM(G140:P140)</f>
        <v>10000</v>
      </c>
    </row>
    <row r="141" spans="1:17" ht="15" customHeight="1">
      <c r="A141" s="100"/>
      <c r="B141" s="100"/>
      <c r="C141" s="244"/>
      <c r="D141" s="101" t="s">
        <v>64</v>
      </c>
      <c r="E141" s="302"/>
      <c r="F141" s="522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7" ht="15" customHeight="1">
      <c r="A142" s="100"/>
      <c r="B142" s="100"/>
      <c r="C142" s="244"/>
      <c r="D142" s="17" t="s">
        <v>1067</v>
      </c>
      <c r="E142" s="302">
        <v>1</v>
      </c>
      <c r="F142" s="113">
        <v>131808</v>
      </c>
      <c r="G142" s="15">
        <f>500+'táj.2'!G142</f>
        <v>500</v>
      </c>
      <c r="H142" s="15">
        <f>122+'táj.2'!H142</f>
        <v>122</v>
      </c>
      <c r="I142" s="15">
        <f>878+'táj.2'!I142</f>
        <v>878</v>
      </c>
      <c r="J142" s="15">
        <f>0+'táj.2'!J142</f>
        <v>0</v>
      </c>
      <c r="K142" s="15">
        <f>0+'táj.2'!K142</f>
        <v>0</v>
      </c>
      <c r="L142" s="15">
        <f>0+'táj.2'!L142</f>
        <v>0</v>
      </c>
      <c r="M142" s="15">
        <f>0+'táj.2'!M142</f>
        <v>0</v>
      </c>
      <c r="N142" s="15">
        <f>0+'táj.2'!N142</f>
        <v>0</v>
      </c>
      <c r="O142" s="15">
        <f>0+'táj.2'!O142</f>
        <v>0</v>
      </c>
      <c r="P142" s="15">
        <f>0+'táj.2'!P142</f>
        <v>0</v>
      </c>
      <c r="Q142" s="15">
        <f>SUM(G142:P142)</f>
        <v>1500</v>
      </c>
    </row>
    <row r="143" spans="1:17" ht="15" customHeight="1">
      <c r="A143" s="100"/>
      <c r="B143" s="100"/>
      <c r="C143" s="244"/>
      <c r="D143" s="17" t="s">
        <v>14</v>
      </c>
      <c r="E143" s="18">
        <v>1</v>
      </c>
      <c r="F143" s="113">
        <v>131807</v>
      </c>
      <c r="G143" s="15">
        <f>100+'táj.2'!G143</f>
        <v>21</v>
      </c>
      <c r="H143" s="15">
        <f>25+'táj.2'!H143</f>
        <v>25</v>
      </c>
      <c r="I143" s="15">
        <f>522+'táj.2'!I143</f>
        <v>701</v>
      </c>
      <c r="J143" s="15">
        <f>0+'táj.2'!J143</f>
        <v>0</v>
      </c>
      <c r="K143" s="15">
        <f>600+'táj.2'!K143</f>
        <v>500</v>
      </c>
      <c r="L143" s="15">
        <f>0+'táj.2'!L143</f>
        <v>0</v>
      </c>
      <c r="M143" s="15">
        <f>0+'táj.2'!M143</f>
        <v>0</v>
      </c>
      <c r="N143" s="15">
        <f>0+'táj.2'!N143</f>
        <v>0</v>
      </c>
      <c r="O143" s="15">
        <f>0+'táj.2'!O143</f>
        <v>0</v>
      </c>
      <c r="P143" s="15">
        <f>0+'táj.2'!P143</f>
        <v>0</v>
      </c>
      <c r="Q143" s="15">
        <f>SUM(G143:P143)</f>
        <v>1247</v>
      </c>
    </row>
    <row r="144" spans="1:17" ht="15" customHeight="1">
      <c r="A144" s="100"/>
      <c r="B144" s="100"/>
      <c r="C144" s="244"/>
      <c r="D144" s="17" t="s">
        <v>1293</v>
      </c>
      <c r="E144" s="302">
        <v>1</v>
      </c>
      <c r="F144" s="113">
        <v>131809</v>
      </c>
      <c r="G144" s="15">
        <f>0+'táj.2'!G144</f>
        <v>0</v>
      </c>
      <c r="H144" s="15">
        <f>0+'táj.2'!H144</f>
        <v>0</v>
      </c>
      <c r="I144" s="15">
        <f>0+'táj.2'!I144</f>
        <v>0</v>
      </c>
      <c r="J144" s="15">
        <f>0+'táj.2'!J144</f>
        <v>0</v>
      </c>
      <c r="K144" s="15">
        <f>450+'táj.2'!K144</f>
        <v>450</v>
      </c>
      <c r="L144" s="15">
        <f>0+'táj.2'!L144</f>
        <v>0</v>
      </c>
      <c r="M144" s="15">
        <f>0+'táj.2'!M144</f>
        <v>0</v>
      </c>
      <c r="N144" s="15">
        <f>0+'táj.2'!N144</f>
        <v>0</v>
      </c>
      <c r="O144" s="15">
        <f>0+'táj.2'!O144</f>
        <v>0</v>
      </c>
      <c r="P144" s="15">
        <f>0+'táj.2'!P144</f>
        <v>0</v>
      </c>
      <c r="Q144" s="15">
        <f>SUM(G144:P144)</f>
        <v>450</v>
      </c>
    </row>
    <row r="145" spans="1:17" ht="15" customHeight="1">
      <c r="A145" s="100"/>
      <c r="B145" s="100"/>
      <c r="C145" s="244"/>
      <c r="D145" s="193" t="s">
        <v>998</v>
      </c>
      <c r="E145" s="15">
        <v>2</v>
      </c>
      <c r="F145" s="100">
        <v>131835</v>
      </c>
      <c r="G145" s="15">
        <f>0+'táj.2'!G145</f>
        <v>0</v>
      </c>
      <c r="H145" s="15">
        <f>0+'táj.2'!H145</f>
        <v>0</v>
      </c>
      <c r="I145" s="15">
        <f>0+'táj.2'!I145</f>
        <v>0</v>
      </c>
      <c r="J145" s="15">
        <f>0+'táj.2'!J145</f>
        <v>0</v>
      </c>
      <c r="K145" s="15">
        <f>6500+'táj.2'!K145</f>
        <v>6500</v>
      </c>
      <c r="L145" s="15">
        <f>0+'táj.2'!L145</f>
        <v>0</v>
      </c>
      <c r="M145" s="15">
        <f>0+'táj.2'!M145</f>
        <v>0</v>
      </c>
      <c r="N145" s="15">
        <f>0+'táj.2'!N145</f>
        <v>0</v>
      </c>
      <c r="O145" s="15">
        <f>0+'táj.2'!O145</f>
        <v>0</v>
      </c>
      <c r="P145" s="15">
        <f>0+'táj.2'!P145</f>
        <v>0</v>
      </c>
      <c r="Q145" s="15">
        <f>SUM(G145:P145)</f>
        <v>6500</v>
      </c>
    </row>
    <row r="146" spans="1:17" ht="15" customHeight="1">
      <c r="A146" s="100"/>
      <c r="B146" s="100"/>
      <c r="C146" s="244"/>
      <c r="D146" s="115" t="s">
        <v>65</v>
      </c>
      <c r="E146" s="302"/>
      <c r="F146" s="522"/>
      <c r="G146" s="15"/>
      <c r="H146" s="18"/>
      <c r="I146" s="18"/>
      <c r="J146" s="18"/>
      <c r="K146" s="18"/>
      <c r="L146" s="18"/>
      <c r="M146" s="18"/>
      <c r="N146" s="18"/>
      <c r="O146" s="18"/>
      <c r="P146" s="18"/>
      <c r="Q146" s="15"/>
    </row>
    <row r="147" spans="1:17" ht="15" customHeight="1">
      <c r="A147" s="100"/>
      <c r="B147" s="100"/>
      <c r="C147" s="244"/>
      <c r="D147" s="17" t="s">
        <v>21</v>
      </c>
      <c r="E147" s="18">
        <v>1</v>
      </c>
      <c r="F147" s="113">
        <v>131811</v>
      </c>
      <c r="G147" s="15">
        <f>0+'táj.2'!G147</f>
        <v>0</v>
      </c>
      <c r="H147" s="15">
        <f>0+'táj.2'!H147</f>
        <v>0</v>
      </c>
      <c r="I147" s="15">
        <f>0+'táj.2'!I147</f>
        <v>0</v>
      </c>
      <c r="J147" s="15">
        <f>0+'táj.2'!J147</f>
        <v>0</v>
      </c>
      <c r="K147" s="15">
        <f>18000+'táj.2'!K147</f>
        <v>18000</v>
      </c>
      <c r="L147" s="15">
        <f>0+'táj.2'!L147</f>
        <v>0</v>
      </c>
      <c r="M147" s="15">
        <f>0+'táj.2'!M147</f>
        <v>0</v>
      </c>
      <c r="N147" s="15">
        <f>0+'táj.2'!N147</f>
        <v>0</v>
      </c>
      <c r="O147" s="15">
        <f>0+'táj.2'!O147</f>
        <v>0</v>
      </c>
      <c r="P147" s="15">
        <f>0+'táj.2'!P147</f>
        <v>0</v>
      </c>
      <c r="Q147" s="15">
        <f>SUM(G147:P147)</f>
        <v>18000</v>
      </c>
    </row>
    <row r="148" spans="1:17" ht="15" customHeight="1">
      <c r="A148" s="100"/>
      <c r="B148" s="100"/>
      <c r="C148" s="244"/>
      <c r="D148" s="17" t="s">
        <v>30</v>
      </c>
      <c r="E148" s="18">
        <v>1</v>
      </c>
      <c r="F148" s="113">
        <v>131812</v>
      </c>
      <c r="G148" s="15">
        <f>0+'táj.2'!G148</f>
        <v>0</v>
      </c>
      <c r="H148" s="15">
        <f>0+'táj.2'!H148</f>
        <v>0</v>
      </c>
      <c r="I148" s="15">
        <f>0+'táj.2'!I148</f>
        <v>0</v>
      </c>
      <c r="J148" s="15">
        <f>0+'táj.2'!J148</f>
        <v>0</v>
      </c>
      <c r="K148" s="15">
        <f>5000+'táj.2'!K148</f>
        <v>5000</v>
      </c>
      <c r="L148" s="15">
        <f>0+'táj.2'!L148</f>
        <v>0</v>
      </c>
      <c r="M148" s="15">
        <f>0+'táj.2'!M148</f>
        <v>0</v>
      </c>
      <c r="N148" s="15">
        <f>0+'táj.2'!N148</f>
        <v>0</v>
      </c>
      <c r="O148" s="15">
        <f>0+'táj.2'!O148</f>
        <v>0</v>
      </c>
      <c r="P148" s="15">
        <f>0+'táj.2'!P148</f>
        <v>0</v>
      </c>
      <c r="Q148" s="15">
        <f aca="true" t="shared" si="8" ref="Q148:Q177">SUM(G148:P148)</f>
        <v>5000</v>
      </c>
    </row>
    <row r="149" spans="1:17" ht="15" customHeight="1">
      <c r="A149" s="100"/>
      <c r="B149" s="100"/>
      <c r="C149" s="244"/>
      <c r="D149" s="17" t="s">
        <v>432</v>
      </c>
      <c r="E149" s="18">
        <v>1</v>
      </c>
      <c r="F149" s="113">
        <v>131813</v>
      </c>
      <c r="G149" s="15">
        <f>0+'táj.2'!G149</f>
        <v>0</v>
      </c>
      <c r="H149" s="15">
        <f>0+'táj.2'!H149</f>
        <v>0</v>
      </c>
      <c r="I149" s="15">
        <f>0+'táj.2'!I149</f>
        <v>0</v>
      </c>
      <c r="J149" s="15">
        <f>0+'táj.2'!J149</f>
        <v>0</v>
      </c>
      <c r="K149" s="15">
        <f>2000+'táj.2'!K149</f>
        <v>2000</v>
      </c>
      <c r="L149" s="15">
        <f>0+'táj.2'!L149</f>
        <v>0</v>
      </c>
      <c r="M149" s="15">
        <f>0+'táj.2'!M149</f>
        <v>0</v>
      </c>
      <c r="N149" s="15">
        <f>0+'táj.2'!N149</f>
        <v>0</v>
      </c>
      <c r="O149" s="15">
        <f>0+'táj.2'!O149</f>
        <v>0</v>
      </c>
      <c r="P149" s="15">
        <f>0+'táj.2'!P149</f>
        <v>0</v>
      </c>
      <c r="Q149" s="15">
        <f t="shared" si="8"/>
        <v>2000</v>
      </c>
    </row>
    <row r="150" spans="1:17" ht="15" customHeight="1">
      <c r="A150" s="100"/>
      <c r="B150" s="100"/>
      <c r="C150" s="244"/>
      <c r="D150" s="17" t="s">
        <v>119</v>
      </c>
      <c r="E150" s="18">
        <v>1</v>
      </c>
      <c r="F150" s="113">
        <v>131815</v>
      </c>
      <c r="G150" s="15">
        <f>0+'táj.2'!G150</f>
        <v>0</v>
      </c>
      <c r="H150" s="15">
        <f>0+'táj.2'!H150</f>
        <v>0</v>
      </c>
      <c r="I150" s="15">
        <f>0+'táj.2'!I150</f>
        <v>0</v>
      </c>
      <c r="J150" s="15">
        <f>0+'táj.2'!J150</f>
        <v>0</v>
      </c>
      <c r="K150" s="15">
        <f>0+'táj.2'!K150</f>
        <v>0</v>
      </c>
      <c r="L150" s="15">
        <f>0+'táj.2'!L150</f>
        <v>0</v>
      </c>
      <c r="M150" s="15">
        <f>0+'táj.2'!M150</f>
        <v>0</v>
      </c>
      <c r="N150" s="15">
        <f>0+'táj.2'!N150</f>
        <v>0</v>
      </c>
      <c r="O150" s="15">
        <f>0+'táj.2'!O150</f>
        <v>0</v>
      </c>
      <c r="P150" s="15">
        <f>0+'táj.2'!P150</f>
        <v>0</v>
      </c>
      <c r="Q150" s="15">
        <f t="shared" si="8"/>
        <v>0</v>
      </c>
    </row>
    <row r="151" spans="1:17" ht="15" customHeight="1">
      <c r="A151" s="100"/>
      <c r="B151" s="100"/>
      <c r="C151" s="244"/>
      <c r="D151" s="17" t="s">
        <v>800</v>
      </c>
      <c r="E151" s="18">
        <v>1</v>
      </c>
      <c r="F151" s="113">
        <v>131816</v>
      </c>
      <c r="G151" s="15">
        <f>0+'táj.2'!G151</f>
        <v>0</v>
      </c>
      <c r="H151" s="15">
        <f>0+'táj.2'!H151</f>
        <v>0</v>
      </c>
      <c r="I151" s="15">
        <f>0+'táj.2'!I151</f>
        <v>0</v>
      </c>
      <c r="J151" s="15">
        <f>0+'táj.2'!J151</f>
        <v>0</v>
      </c>
      <c r="K151" s="15">
        <f>1000+'táj.2'!K151</f>
        <v>1000</v>
      </c>
      <c r="L151" s="15">
        <f>0+'táj.2'!L151</f>
        <v>0</v>
      </c>
      <c r="M151" s="15">
        <f>0+'táj.2'!M151</f>
        <v>0</v>
      </c>
      <c r="N151" s="15">
        <f>0+'táj.2'!N151</f>
        <v>0</v>
      </c>
      <c r="O151" s="15">
        <f>0+'táj.2'!O151</f>
        <v>0</v>
      </c>
      <c r="P151" s="15">
        <f>0+'táj.2'!P151</f>
        <v>0</v>
      </c>
      <c r="Q151" s="15">
        <f t="shared" si="8"/>
        <v>1000</v>
      </c>
    </row>
    <row r="152" spans="1:17" ht="15" customHeight="1">
      <c r="A152" s="100"/>
      <c r="B152" s="100"/>
      <c r="C152" s="244"/>
      <c r="D152" s="17" t="s">
        <v>798</v>
      </c>
      <c r="E152" s="18">
        <v>1</v>
      </c>
      <c r="F152" s="113">
        <v>131817</v>
      </c>
      <c r="G152" s="15">
        <f>0+'táj.2'!G152</f>
        <v>0</v>
      </c>
      <c r="H152" s="15">
        <f>0+'táj.2'!H152</f>
        <v>0</v>
      </c>
      <c r="I152" s="15">
        <f>0+'táj.2'!I152</f>
        <v>0</v>
      </c>
      <c r="J152" s="15">
        <f>0+'táj.2'!J152</f>
        <v>0</v>
      </c>
      <c r="K152" s="15">
        <f>1100+'táj.2'!K152</f>
        <v>1100</v>
      </c>
      <c r="L152" s="15">
        <f>0+'táj.2'!L152</f>
        <v>0</v>
      </c>
      <c r="M152" s="15">
        <f>0+'táj.2'!M152</f>
        <v>0</v>
      </c>
      <c r="N152" s="15">
        <f>0+'táj.2'!N152</f>
        <v>0</v>
      </c>
      <c r="O152" s="15">
        <f>0+'táj.2'!O152</f>
        <v>0</v>
      </c>
      <c r="P152" s="15">
        <f>0+'táj.2'!P152</f>
        <v>0</v>
      </c>
      <c r="Q152" s="15">
        <f t="shared" si="8"/>
        <v>1100</v>
      </c>
    </row>
    <row r="153" spans="1:17" ht="15" customHeight="1">
      <c r="A153" s="100"/>
      <c r="B153" s="100"/>
      <c r="C153" s="244"/>
      <c r="D153" s="17" t="s">
        <v>799</v>
      </c>
      <c r="E153" s="18">
        <v>1</v>
      </c>
      <c r="F153" s="113">
        <v>131818</v>
      </c>
      <c r="G153" s="15">
        <f>0+'táj.2'!G153</f>
        <v>0</v>
      </c>
      <c r="H153" s="15">
        <f>0+'táj.2'!H153</f>
        <v>0</v>
      </c>
      <c r="I153" s="15">
        <f>0+'táj.2'!I153</f>
        <v>0</v>
      </c>
      <c r="J153" s="15">
        <f>0+'táj.2'!J153</f>
        <v>0</v>
      </c>
      <c r="K153" s="15">
        <f>500+'táj.2'!K153</f>
        <v>500</v>
      </c>
      <c r="L153" s="15">
        <f>0+'táj.2'!L153</f>
        <v>0</v>
      </c>
      <c r="M153" s="15">
        <f>0+'táj.2'!M153</f>
        <v>0</v>
      </c>
      <c r="N153" s="15">
        <f>0+'táj.2'!N153</f>
        <v>0</v>
      </c>
      <c r="O153" s="15">
        <f>0+'táj.2'!O153</f>
        <v>0</v>
      </c>
      <c r="P153" s="15">
        <f>0+'táj.2'!P153</f>
        <v>0</v>
      </c>
      <c r="Q153" s="15">
        <f t="shared" si="8"/>
        <v>500</v>
      </c>
    </row>
    <row r="154" spans="1:17" ht="15" customHeight="1">
      <c r="A154" s="100"/>
      <c r="B154" s="100"/>
      <c r="C154" s="244"/>
      <c r="D154" s="17" t="s">
        <v>1402</v>
      </c>
      <c r="E154" s="18">
        <v>1</v>
      </c>
      <c r="F154" s="113">
        <v>131819</v>
      </c>
      <c r="G154" s="15">
        <f>0+'táj.2'!G154</f>
        <v>0</v>
      </c>
      <c r="H154" s="15">
        <f>0+'táj.2'!H154</f>
        <v>0</v>
      </c>
      <c r="I154" s="15">
        <f>0+'táj.2'!I154</f>
        <v>0</v>
      </c>
      <c r="J154" s="15">
        <f>0+'táj.2'!J154</f>
        <v>0</v>
      </c>
      <c r="K154" s="15">
        <f>600+'táj.2'!K154</f>
        <v>600</v>
      </c>
      <c r="L154" s="15">
        <f>0+'táj.2'!L154</f>
        <v>0</v>
      </c>
      <c r="M154" s="15">
        <f>0+'táj.2'!M154</f>
        <v>0</v>
      </c>
      <c r="N154" s="15">
        <f>0+'táj.2'!N154</f>
        <v>0</v>
      </c>
      <c r="O154" s="15">
        <f>0+'táj.2'!O154</f>
        <v>0</v>
      </c>
      <c r="P154" s="15">
        <f>0+'táj.2'!P154</f>
        <v>0</v>
      </c>
      <c r="Q154" s="15">
        <f t="shared" si="8"/>
        <v>600</v>
      </c>
    </row>
    <row r="155" spans="1:17" ht="15" customHeight="1">
      <c r="A155" s="100"/>
      <c r="B155" s="100"/>
      <c r="C155" s="244"/>
      <c r="D155" s="17" t="s">
        <v>43</v>
      </c>
      <c r="E155" s="18">
        <v>1</v>
      </c>
      <c r="F155" s="113">
        <v>131832</v>
      </c>
      <c r="G155" s="15">
        <f>0+'táj.2'!G155</f>
        <v>0</v>
      </c>
      <c r="H155" s="15">
        <f>0+'táj.2'!H155</f>
        <v>0</v>
      </c>
      <c r="I155" s="15">
        <f>0+'táj.2'!I155</f>
        <v>0</v>
      </c>
      <c r="J155" s="15">
        <f>0+'táj.2'!J155</f>
        <v>0</v>
      </c>
      <c r="K155" s="15">
        <f>300+'táj.2'!K155</f>
        <v>300</v>
      </c>
      <c r="L155" s="15">
        <f>0+'táj.2'!L155</f>
        <v>0</v>
      </c>
      <c r="M155" s="15">
        <f>0+'táj.2'!M155</f>
        <v>0</v>
      </c>
      <c r="N155" s="15">
        <f>0+'táj.2'!N155</f>
        <v>0</v>
      </c>
      <c r="O155" s="15">
        <f>0+'táj.2'!O155</f>
        <v>0</v>
      </c>
      <c r="P155" s="15">
        <f>0+'táj.2'!P155</f>
        <v>0</v>
      </c>
      <c r="Q155" s="15">
        <f t="shared" si="8"/>
        <v>300</v>
      </c>
    </row>
    <row r="156" spans="1:17" ht="15" customHeight="1">
      <c r="A156" s="100"/>
      <c r="B156" s="100"/>
      <c r="C156" s="244"/>
      <c r="D156" s="17" t="s">
        <v>1036</v>
      </c>
      <c r="E156" s="18">
        <v>1</v>
      </c>
      <c r="F156" s="113">
        <v>131820</v>
      </c>
      <c r="G156" s="15">
        <f>207+'táj.2'!G156</f>
        <v>135</v>
      </c>
      <c r="H156" s="15">
        <f>57+'táj.2'!H156</f>
        <v>57</v>
      </c>
      <c r="I156" s="15">
        <f>57+'táj.2'!I156</f>
        <v>59</v>
      </c>
      <c r="J156" s="15">
        <f>0+'táj.2'!J156</f>
        <v>0</v>
      </c>
      <c r="K156" s="15">
        <f>1499+'táj.2'!K156</f>
        <v>1569</v>
      </c>
      <c r="L156" s="15">
        <f>0+'táj.2'!L156</f>
        <v>0</v>
      </c>
      <c r="M156" s="15">
        <f>0+'táj.2'!M156</f>
        <v>0</v>
      </c>
      <c r="N156" s="15">
        <f>100+'táj.2'!N156</f>
        <v>100</v>
      </c>
      <c r="O156" s="15">
        <f>0+'táj.2'!O156</f>
        <v>0</v>
      </c>
      <c r="P156" s="15">
        <f>0+'táj.2'!P156</f>
        <v>0</v>
      </c>
      <c r="Q156" s="15">
        <f t="shared" si="8"/>
        <v>1920</v>
      </c>
    </row>
    <row r="157" spans="1:17" ht="15" customHeight="1">
      <c r="A157" s="100"/>
      <c r="B157" s="100"/>
      <c r="C157" s="244"/>
      <c r="D157" s="17" t="s">
        <v>187</v>
      </c>
      <c r="E157" s="18"/>
      <c r="F157" s="113"/>
      <c r="G157" s="15">
        <f>0+'táj.2'!G157</f>
        <v>0</v>
      </c>
      <c r="H157" s="18"/>
      <c r="I157" s="18"/>
      <c r="J157" s="18"/>
      <c r="K157" s="18"/>
      <c r="L157" s="18"/>
      <c r="M157" s="18"/>
      <c r="N157" s="18"/>
      <c r="O157" s="18"/>
      <c r="P157" s="18"/>
      <c r="Q157" s="15"/>
    </row>
    <row r="158" spans="1:17" ht="15" customHeight="1">
      <c r="A158" s="100"/>
      <c r="B158" s="100"/>
      <c r="C158" s="244"/>
      <c r="D158" s="17" t="s">
        <v>796</v>
      </c>
      <c r="E158" s="302">
        <v>2</v>
      </c>
      <c r="F158" s="113">
        <v>131821</v>
      </c>
      <c r="G158" s="15">
        <f>0+'táj.2'!G158</f>
        <v>0</v>
      </c>
      <c r="H158" s="15">
        <f>0+'táj.2'!H158</f>
        <v>0</v>
      </c>
      <c r="I158" s="15">
        <f>0+'táj.2'!I158</f>
        <v>0</v>
      </c>
      <c r="J158" s="15">
        <f>0+'táj.2'!J158</f>
        <v>0</v>
      </c>
      <c r="K158" s="15">
        <f>6500+'táj.2'!K158</f>
        <v>6500</v>
      </c>
      <c r="L158" s="15">
        <f>0+'táj.2'!L158</f>
        <v>0</v>
      </c>
      <c r="M158" s="15">
        <f>0+'táj.2'!M158</f>
        <v>0</v>
      </c>
      <c r="N158" s="15">
        <f>0+'táj.2'!N158</f>
        <v>0</v>
      </c>
      <c r="O158" s="15">
        <f>0+'táj.2'!O158</f>
        <v>0</v>
      </c>
      <c r="P158" s="15">
        <f>0+'táj.2'!P158</f>
        <v>0</v>
      </c>
      <c r="Q158" s="15">
        <f t="shared" si="8"/>
        <v>6500</v>
      </c>
    </row>
    <row r="159" spans="1:17" ht="15" customHeight="1">
      <c r="A159" s="100"/>
      <c r="B159" s="100"/>
      <c r="C159" s="244"/>
      <c r="D159" s="17" t="s">
        <v>797</v>
      </c>
      <c r="E159" s="302">
        <v>2</v>
      </c>
      <c r="F159" s="113">
        <v>131822</v>
      </c>
      <c r="G159" s="15">
        <f>0+'táj.2'!G159</f>
        <v>0</v>
      </c>
      <c r="H159" s="15">
        <f>0+'táj.2'!H159</f>
        <v>0</v>
      </c>
      <c r="I159" s="15">
        <f>0+'táj.2'!I159</f>
        <v>0</v>
      </c>
      <c r="J159" s="15">
        <f>0+'táj.2'!J159</f>
        <v>0</v>
      </c>
      <c r="K159" s="15">
        <f>500+'táj.2'!K159</f>
        <v>500</v>
      </c>
      <c r="L159" s="15">
        <f>0+'táj.2'!L159</f>
        <v>0</v>
      </c>
      <c r="M159" s="15">
        <f>0+'táj.2'!M159</f>
        <v>0</v>
      </c>
      <c r="N159" s="15">
        <f>0+'táj.2'!N159</f>
        <v>0</v>
      </c>
      <c r="O159" s="15">
        <f>0+'táj.2'!O159</f>
        <v>0</v>
      </c>
      <c r="P159" s="15">
        <f>0+'táj.2'!P159</f>
        <v>0</v>
      </c>
      <c r="Q159" s="15">
        <f t="shared" si="8"/>
        <v>500</v>
      </c>
    </row>
    <row r="160" spans="1:17" ht="15" customHeight="1">
      <c r="A160" s="100"/>
      <c r="B160" s="100"/>
      <c r="C160" s="244"/>
      <c r="D160" s="232" t="s">
        <v>3</v>
      </c>
      <c r="E160" s="307">
        <v>2</v>
      </c>
      <c r="F160" s="113">
        <v>131823</v>
      </c>
      <c r="G160" s="15">
        <f>0+'táj.2'!G160</f>
        <v>0</v>
      </c>
      <c r="H160" s="15">
        <f>0+'táj.2'!H160</f>
        <v>0</v>
      </c>
      <c r="I160" s="15">
        <f>0+'táj.2'!I160</f>
        <v>0</v>
      </c>
      <c r="J160" s="15">
        <f>0+'táj.2'!J160</f>
        <v>0</v>
      </c>
      <c r="K160" s="15">
        <f>20200+'táj.2'!K160</f>
        <v>20200</v>
      </c>
      <c r="L160" s="15">
        <f>0+'táj.2'!L160</f>
        <v>0</v>
      </c>
      <c r="M160" s="15">
        <f>0+'táj.2'!M160</f>
        <v>0</v>
      </c>
      <c r="N160" s="15">
        <f>0+'táj.2'!N160</f>
        <v>0</v>
      </c>
      <c r="O160" s="15">
        <f>0+'táj.2'!O160</f>
        <v>0</v>
      </c>
      <c r="P160" s="15">
        <f>0+'táj.2'!P160</f>
        <v>0</v>
      </c>
      <c r="Q160" s="15">
        <f t="shared" si="8"/>
        <v>20200</v>
      </c>
    </row>
    <row r="161" spans="1:17" ht="15" customHeight="1">
      <c r="A161" s="100"/>
      <c r="B161" s="100"/>
      <c r="C161" s="244"/>
      <c r="D161" s="232" t="s">
        <v>4</v>
      </c>
      <c r="E161" s="188">
        <v>2</v>
      </c>
      <c r="F161" s="113">
        <v>131824</v>
      </c>
      <c r="G161" s="15">
        <f>0+'táj.2'!G161</f>
        <v>0</v>
      </c>
      <c r="H161" s="15">
        <f>0+'táj.2'!H161</f>
        <v>0</v>
      </c>
      <c r="I161" s="15">
        <f>0+'táj.2'!I161</f>
        <v>0</v>
      </c>
      <c r="J161" s="15">
        <f>0+'táj.2'!J161</f>
        <v>0</v>
      </c>
      <c r="K161" s="15">
        <f>2500+'táj.2'!K161</f>
        <v>2500</v>
      </c>
      <c r="L161" s="15">
        <f>0+'táj.2'!L161</f>
        <v>0</v>
      </c>
      <c r="M161" s="15">
        <f>0+'táj.2'!M161</f>
        <v>0</v>
      </c>
      <c r="N161" s="15">
        <f>0+'táj.2'!N161</f>
        <v>0</v>
      </c>
      <c r="O161" s="15">
        <f>0+'táj.2'!O161</f>
        <v>0</v>
      </c>
      <c r="P161" s="15">
        <f>0+'táj.2'!P161</f>
        <v>0</v>
      </c>
      <c r="Q161" s="15">
        <f t="shared" si="8"/>
        <v>2500</v>
      </c>
    </row>
    <row r="162" spans="1:17" ht="15" customHeight="1">
      <c r="A162" s="100"/>
      <c r="B162" s="100"/>
      <c r="C162" s="244"/>
      <c r="D162" s="232" t="s">
        <v>44</v>
      </c>
      <c r="E162" s="188">
        <v>2</v>
      </c>
      <c r="F162" s="538">
        <v>131833</v>
      </c>
      <c r="G162" s="15">
        <f>0+'táj.2'!G162</f>
        <v>0</v>
      </c>
      <c r="H162" s="15">
        <f>0+'táj.2'!H162</f>
        <v>0</v>
      </c>
      <c r="I162" s="15">
        <f>0+'táj.2'!I162</f>
        <v>0</v>
      </c>
      <c r="J162" s="15">
        <f>0+'táj.2'!J162</f>
        <v>0</v>
      </c>
      <c r="K162" s="15">
        <f>2500+'táj.2'!K162</f>
        <v>2500</v>
      </c>
      <c r="L162" s="15">
        <f>0+'táj.2'!L162</f>
        <v>0</v>
      </c>
      <c r="M162" s="15">
        <f>0+'táj.2'!M162</f>
        <v>0</v>
      </c>
      <c r="N162" s="15">
        <f>0+'táj.2'!N162</f>
        <v>0</v>
      </c>
      <c r="O162" s="15">
        <f>0+'táj.2'!O162</f>
        <v>0</v>
      </c>
      <c r="P162" s="15">
        <f>0+'táj.2'!P162</f>
        <v>0</v>
      </c>
      <c r="Q162" s="15">
        <f t="shared" si="8"/>
        <v>2500</v>
      </c>
    </row>
    <row r="163" spans="1:17" ht="15" customHeight="1">
      <c r="A163" s="100"/>
      <c r="B163" s="100"/>
      <c r="C163" s="244"/>
      <c r="D163" s="232" t="s">
        <v>5</v>
      </c>
      <c r="E163" s="188">
        <v>2</v>
      </c>
      <c r="F163" s="538">
        <v>131834</v>
      </c>
      <c r="G163" s="15">
        <f>0+'táj.2'!G163</f>
        <v>0</v>
      </c>
      <c r="H163" s="15">
        <f>0+'táj.2'!H163</f>
        <v>0</v>
      </c>
      <c r="I163" s="15">
        <f>0+'táj.2'!I163</f>
        <v>0</v>
      </c>
      <c r="J163" s="15">
        <f>0+'táj.2'!J163</f>
        <v>0</v>
      </c>
      <c r="K163" s="15">
        <f>4000+'táj.2'!K163</f>
        <v>4000</v>
      </c>
      <c r="L163" s="15">
        <f>0+'táj.2'!L163</f>
        <v>0</v>
      </c>
      <c r="M163" s="15">
        <f>0+'táj.2'!M163</f>
        <v>0</v>
      </c>
      <c r="N163" s="15">
        <f>0+'táj.2'!N163</f>
        <v>0</v>
      </c>
      <c r="O163" s="15">
        <f>0+'táj.2'!O163</f>
        <v>0</v>
      </c>
      <c r="P163" s="15">
        <f>0+'táj.2'!P163</f>
        <v>0</v>
      </c>
      <c r="Q163" s="15">
        <f t="shared" si="8"/>
        <v>4000</v>
      </c>
    </row>
    <row r="164" spans="1:17" ht="15" customHeight="1">
      <c r="A164" s="100"/>
      <c r="B164" s="100"/>
      <c r="C164" s="244"/>
      <c r="D164" s="232" t="s">
        <v>778</v>
      </c>
      <c r="E164" s="188">
        <v>2</v>
      </c>
      <c r="F164" s="538">
        <v>131836</v>
      </c>
      <c r="G164" s="15">
        <f>0+'táj.2'!G164</f>
        <v>0</v>
      </c>
      <c r="H164" s="15">
        <f>0+'táj.2'!H164</f>
        <v>0</v>
      </c>
      <c r="I164" s="15">
        <f>0+'táj.2'!I164</f>
        <v>0</v>
      </c>
      <c r="J164" s="15">
        <f>0+'táj.2'!J164</f>
        <v>0</v>
      </c>
      <c r="K164" s="15">
        <f>8000+'táj.2'!K164</f>
        <v>8000</v>
      </c>
      <c r="L164" s="15">
        <f>0+'táj.2'!L164</f>
        <v>0</v>
      </c>
      <c r="M164" s="15">
        <f>0+'táj.2'!M164</f>
        <v>0</v>
      </c>
      <c r="N164" s="15">
        <f>0+'táj.2'!N164</f>
        <v>0</v>
      </c>
      <c r="O164" s="15">
        <f>0+'táj.2'!O164</f>
        <v>0</v>
      </c>
      <c r="P164" s="15">
        <f>0+'táj.2'!P164</f>
        <v>0</v>
      </c>
      <c r="Q164" s="15">
        <f t="shared" si="8"/>
        <v>8000</v>
      </c>
    </row>
    <row r="165" spans="1:17" ht="15" customHeight="1">
      <c r="A165" s="100"/>
      <c r="B165" s="100"/>
      <c r="C165" s="244"/>
      <c r="D165" s="232" t="s">
        <v>972</v>
      </c>
      <c r="E165" s="188">
        <v>2</v>
      </c>
      <c r="F165" s="538">
        <v>131837</v>
      </c>
      <c r="G165" s="15">
        <f>0+'táj.2'!G165</f>
        <v>0</v>
      </c>
      <c r="H165" s="15">
        <f>0+'táj.2'!H165</f>
        <v>0</v>
      </c>
      <c r="I165" s="15">
        <f>0+'táj.2'!I165</f>
        <v>0</v>
      </c>
      <c r="J165" s="15">
        <f>0+'táj.2'!J165</f>
        <v>0</v>
      </c>
      <c r="K165" s="15">
        <f>7000+'táj.2'!K165</f>
        <v>7000</v>
      </c>
      <c r="L165" s="15">
        <f>0+'táj.2'!L165</f>
        <v>0</v>
      </c>
      <c r="M165" s="15">
        <f>0+'táj.2'!M165</f>
        <v>0</v>
      </c>
      <c r="N165" s="15">
        <f>0+'táj.2'!N165</f>
        <v>0</v>
      </c>
      <c r="O165" s="15">
        <f>0+'táj.2'!O165</f>
        <v>0</v>
      </c>
      <c r="P165" s="15">
        <f>0+'táj.2'!P165</f>
        <v>0</v>
      </c>
      <c r="Q165" s="15">
        <f t="shared" si="8"/>
        <v>7000</v>
      </c>
    </row>
    <row r="166" spans="1:17" ht="15" customHeight="1">
      <c r="A166" s="100"/>
      <c r="B166" s="100"/>
      <c r="C166" s="244"/>
      <c r="D166" s="232" t="s">
        <v>973</v>
      </c>
      <c r="E166" s="188">
        <v>2</v>
      </c>
      <c r="F166" s="538">
        <v>131838</v>
      </c>
      <c r="G166" s="15">
        <f>0+'táj.2'!G166</f>
        <v>0</v>
      </c>
      <c r="H166" s="15">
        <f>0+'táj.2'!H166</f>
        <v>0</v>
      </c>
      <c r="I166" s="15">
        <f>0+'táj.2'!I166</f>
        <v>0</v>
      </c>
      <c r="J166" s="15">
        <f>0+'táj.2'!J166</f>
        <v>0</v>
      </c>
      <c r="K166" s="15">
        <f>10000+'táj.2'!K166</f>
        <v>10000</v>
      </c>
      <c r="L166" s="15">
        <f>0+'táj.2'!L166</f>
        <v>0</v>
      </c>
      <c r="M166" s="15">
        <f>0+'táj.2'!M166</f>
        <v>0</v>
      </c>
      <c r="N166" s="15">
        <f>0+'táj.2'!N166</f>
        <v>0</v>
      </c>
      <c r="O166" s="15">
        <f>0+'táj.2'!O166</f>
        <v>0</v>
      </c>
      <c r="P166" s="15">
        <f>0+'táj.2'!P166</f>
        <v>0</v>
      </c>
      <c r="Q166" s="15">
        <f t="shared" si="8"/>
        <v>10000</v>
      </c>
    </row>
    <row r="167" spans="1:17" ht="15" customHeight="1">
      <c r="A167" s="100"/>
      <c r="B167" s="100"/>
      <c r="C167" s="244"/>
      <c r="D167" s="232" t="s">
        <v>954</v>
      </c>
      <c r="E167" s="188">
        <v>2</v>
      </c>
      <c r="F167" s="538">
        <v>131839</v>
      </c>
      <c r="G167" s="15">
        <f>0+'táj.2'!G167</f>
        <v>0</v>
      </c>
      <c r="H167" s="15">
        <f>0+'táj.2'!H167</f>
        <v>0</v>
      </c>
      <c r="I167" s="15">
        <f>0+'táj.2'!I167</f>
        <v>0</v>
      </c>
      <c r="J167" s="15">
        <f>0+'táj.2'!J167</f>
        <v>0</v>
      </c>
      <c r="K167" s="15">
        <f>1500+'táj.2'!K167</f>
        <v>1500</v>
      </c>
      <c r="L167" s="15">
        <f>0+'táj.2'!L167</f>
        <v>0</v>
      </c>
      <c r="M167" s="15">
        <f>0+'táj.2'!M167</f>
        <v>0</v>
      </c>
      <c r="N167" s="15">
        <f>0+'táj.2'!N167</f>
        <v>0</v>
      </c>
      <c r="O167" s="15">
        <f>0+'táj.2'!O167</f>
        <v>0</v>
      </c>
      <c r="P167" s="15">
        <f>0+'táj.2'!P167</f>
        <v>0</v>
      </c>
      <c r="Q167" s="15">
        <f t="shared" si="8"/>
        <v>1500</v>
      </c>
    </row>
    <row r="168" spans="1:17" ht="15" customHeight="1">
      <c r="A168" s="100"/>
      <c r="B168" s="100"/>
      <c r="C168" s="244"/>
      <c r="D168" s="232" t="s">
        <v>974</v>
      </c>
      <c r="E168" s="188">
        <v>2</v>
      </c>
      <c r="F168" s="538">
        <v>131840</v>
      </c>
      <c r="G168" s="15">
        <f>0+'táj.2'!G168</f>
        <v>0</v>
      </c>
      <c r="H168" s="15">
        <f>0+'táj.2'!H168</f>
        <v>0</v>
      </c>
      <c r="I168" s="15">
        <f>0+'táj.2'!I168</f>
        <v>0</v>
      </c>
      <c r="J168" s="15">
        <f>0+'táj.2'!J168</f>
        <v>0</v>
      </c>
      <c r="K168" s="15">
        <f>1500+'táj.2'!K168</f>
        <v>1500</v>
      </c>
      <c r="L168" s="15">
        <f>0+'táj.2'!L168</f>
        <v>0</v>
      </c>
      <c r="M168" s="15">
        <f>0+'táj.2'!M168</f>
        <v>0</v>
      </c>
      <c r="N168" s="15">
        <f>0+'táj.2'!N168</f>
        <v>0</v>
      </c>
      <c r="O168" s="15">
        <f>0+'táj.2'!O168</f>
        <v>0</v>
      </c>
      <c r="P168" s="15">
        <f>0+'táj.2'!P168</f>
        <v>0</v>
      </c>
      <c r="Q168" s="15">
        <f t="shared" si="8"/>
        <v>1500</v>
      </c>
    </row>
    <row r="169" spans="1:17" ht="15" customHeight="1">
      <c r="A169" s="100"/>
      <c r="B169" s="100"/>
      <c r="C169" s="244"/>
      <c r="D169" s="232" t="s">
        <v>975</v>
      </c>
      <c r="E169" s="188">
        <v>2</v>
      </c>
      <c r="F169" s="538">
        <v>131841</v>
      </c>
      <c r="G169" s="15">
        <f>0+'táj.2'!G169</f>
        <v>0</v>
      </c>
      <c r="H169" s="15">
        <f>0+'táj.2'!H169</f>
        <v>0</v>
      </c>
      <c r="I169" s="15">
        <f>0+'táj.2'!I169</f>
        <v>0</v>
      </c>
      <c r="J169" s="15">
        <f>0+'táj.2'!J169</f>
        <v>0</v>
      </c>
      <c r="K169" s="15">
        <f>500+'táj.2'!K169</f>
        <v>500</v>
      </c>
      <c r="L169" s="15">
        <f>0+'táj.2'!L169</f>
        <v>0</v>
      </c>
      <c r="M169" s="15">
        <f>0+'táj.2'!M169</f>
        <v>0</v>
      </c>
      <c r="N169" s="15">
        <f>0+'táj.2'!N169</f>
        <v>0</v>
      </c>
      <c r="O169" s="15">
        <f>0+'táj.2'!O169</f>
        <v>0</v>
      </c>
      <c r="P169" s="15">
        <f>0+'táj.2'!P169</f>
        <v>0</v>
      </c>
      <c r="Q169" s="15">
        <f t="shared" si="8"/>
        <v>500</v>
      </c>
    </row>
    <row r="170" spans="1:17" ht="15" customHeight="1">
      <c r="A170" s="100"/>
      <c r="B170" s="100"/>
      <c r="C170" s="244"/>
      <c r="D170" s="232" t="s">
        <v>971</v>
      </c>
      <c r="E170" s="188">
        <v>2</v>
      </c>
      <c r="F170" s="538">
        <v>131842</v>
      </c>
      <c r="G170" s="15">
        <f>0+'táj.2'!G170</f>
        <v>0</v>
      </c>
      <c r="H170" s="15">
        <f>0+'táj.2'!H170</f>
        <v>0</v>
      </c>
      <c r="I170" s="15">
        <f>0+'táj.2'!I170</f>
        <v>0</v>
      </c>
      <c r="J170" s="15">
        <f>0+'táj.2'!J170</f>
        <v>0</v>
      </c>
      <c r="K170" s="15">
        <f>3000+'táj.2'!K170</f>
        <v>3000</v>
      </c>
      <c r="L170" s="15">
        <f>0+'táj.2'!L170</f>
        <v>0</v>
      </c>
      <c r="M170" s="15">
        <f>0+'táj.2'!M170</f>
        <v>0</v>
      </c>
      <c r="N170" s="15">
        <f>0+'táj.2'!N170</f>
        <v>0</v>
      </c>
      <c r="O170" s="15">
        <f>0+'táj.2'!O170</f>
        <v>0</v>
      </c>
      <c r="P170" s="15">
        <f>0+'táj.2'!P170</f>
        <v>0</v>
      </c>
      <c r="Q170" s="15">
        <f t="shared" si="8"/>
        <v>3000</v>
      </c>
    </row>
    <row r="171" spans="1:17" ht="15" customHeight="1">
      <c r="A171" s="100"/>
      <c r="B171" s="100"/>
      <c r="C171" s="244"/>
      <c r="D171" s="232" t="s">
        <v>572</v>
      </c>
      <c r="E171" s="188">
        <v>2</v>
      </c>
      <c r="F171" s="538">
        <v>131843</v>
      </c>
      <c r="G171" s="15">
        <f>0+'táj.2'!G171</f>
        <v>0</v>
      </c>
      <c r="H171" s="15">
        <f>0+'táj.2'!H171</f>
        <v>0</v>
      </c>
      <c r="I171" s="15">
        <f>0+'táj.2'!I171</f>
        <v>0</v>
      </c>
      <c r="J171" s="15">
        <f>0+'táj.2'!J171</f>
        <v>0</v>
      </c>
      <c r="K171" s="15">
        <f>2000+'táj.2'!K171</f>
        <v>2000</v>
      </c>
      <c r="L171" s="15">
        <f>0+'táj.2'!L171</f>
        <v>0</v>
      </c>
      <c r="M171" s="15">
        <f>0+'táj.2'!M171</f>
        <v>0</v>
      </c>
      <c r="N171" s="15">
        <f>0+'táj.2'!N171</f>
        <v>0</v>
      </c>
      <c r="O171" s="15">
        <f>0+'táj.2'!O171</f>
        <v>0</v>
      </c>
      <c r="P171" s="15">
        <f>0+'táj.2'!P171</f>
        <v>0</v>
      </c>
      <c r="Q171" s="15">
        <f t="shared" si="8"/>
        <v>2000</v>
      </c>
    </row>
    <row r="172" spans="1:17" ht="15" customHeight="1">
      <c r="A172" s="100"/>
      <c r="B172" s="100"/>
      <c r="C172" s="100"/>
      <c r="D172" s="18" t="s">
        <v>394</v>
      </c>
      <c r="E172" s="188">
        <v>2</v>
      </c>
      <c r="F172" s="538">
        <v>131847</v>
      </c>
      <c r="G172" s="15">
        <f>0+'táj.2'!G172</f>
        <v>0</v>
      </c>
      <c r="H172" s="15">
        <f>0+'táj.2'!H172</f>
        <v>0</v>
      </c>
      <c r="I172" s="15">
        <f>0+'táj.2'!I172</f>
        <v>0</v>
      </c>
      <c r="J172" s="15">
        <f>0+'táj.2'!J172</f>
        <v>0</v>
      </c>
      <c r="K172" s="15">
        <f>1000+'táj.2'!K172</f>
        <v>1000</v>
      </c>
      <c r="L172" s="15">
        <f>0+'táj.2'!L172</f>
        <v>0</v>
      </c>
      <c r="M172" s="15">
        <f>0+'táj.2'!M172</f>
        <v>0</v>
      </c>
      <c r="N172" s="15">
        <f>0+'táj.2'!N172</f>
        <v>0</v>
      </c>
      <c r="O172" s="15">
        <f>0+'táj.2'!O172</f>
        <v>0</v>
      </c>
      <c r="P172" s="15">
        <f>0+'táj.2'!P172</f>
        <v>0</v>
      </c>
      <c r="Q172" s="15">
        <f t="shared" si="8"/>
        <v>1000</v>
      </c>
    </row>
    <row r="173" spans="1:17" ht="15" customHeight="1">
      <c r="A173" s="100"/>
      <c r="B173" s="100"/>
      <c r="C173" s="100"/>
      <c r="D173" s="322" t="s">
        <v>395</v>
      </c>
      <c r="E173" s="188">
        <v>2</v>
      </c>
      <c r="F173" s="538">
        <v>131848</v>
      </c>
      <c r="G173" s="15">
        <f>0+'táj.2'!G173</f>
        <v>0</v>
      </c>
      <c r="H173" s="15">
        <f>0+'táj.2'!H173</f>
        <v>0</v>
      </c>
      <c r="I173" s="15">
        <f>0+'táj.2'!I173</f>
        <v>0</v>
      </c>
      <c r="J173" s="15">
        <f>0+'táj.2'!J173</f>
        <v>0</v>
      </c>
      <c r="K173" s="15">
        <f>300+'táj.2'!K173</f>
        <v>300</v>
      </c>
      <c r="L173" s="15">
        <f>0+'táj.2'!L173</f>
        <v>0</v>
      </c>
      <c r="M173" s="15">
        <f>0+'táj.2'!M173</f>
        <v>0</v>
      </c>
      <c r="N173" s="15">
        <f>0+'táj.2'!N173</f>
        <v>0</v>
      </c>
      <c r="O173" s="15">
        <f>0+'táj.2'!O173</f>
        <v>0</v>
      </c>
      <c r="P173" s="15">
        <f>0+'táj.2'!P173</f>
        <v>0</v>
      </c>
      <c r="Q173" s="15">
        <f t="shared" si="8"/>
        <v>300</v>
      </c>
    </row>
    <row r="174" spans="1:17" ht="15" customHeight="1">
      <c r="A174" s="100"/>
      <c r="B174" s="100"/>
      <c r="C174" s="100"/>
      <c r="D174" s="322" t="s">
        <v>396</v>
      </c>
      <c r="E174" s="188">
        <v>2</v>
      </c>
      <c r="F174" s="538">
        <v>131849</v>
      </c>
      <c r="G174" s="15">
        <f>0+'táj.2'!G174</f>
        <v>0</v>
      </c>
      <c r="H174" s="15">
        <f>0+'táj.2'!H174</f>
        <v>0</v>
      </c>
      <c r="I174" s="15">
        <f>0+'táj.2'!I174</f>
        <v>0</v>
      </c>
      <c r="J174" s="15">
        <f>0+'táj.2'!J174</f>
        <v>0</v>
      </c>
      <c r="K174" s="15">
        <f>1500+'táj.2'!K174</f>
        <v>1500</v>
      </c>
      <c r="L174" s="15">
        <f>0+'táj.2'!L174</f>
        <v>0</v>
      </c>
      <c r="M174" s="15">
        <f>0+'táj.2'!M174</f>
        <v>0</v>
      </c>
      <c r="N174" s="15">
        <f>0+'táj.2'!N174</f>
        <v>0</v>
      </c>
      <c r="O174" s="15">
        <f>0+'táj.2'!O174</f>
        <v>0</v>
      </c>
      <c r="P174" s="15">
        <f>0+'táj.2'!P174</f>
        <v>0</v>
      </c>
      <c r="Q174" s="15">
        <f t="shared" si="8"/>
        <v>1500</v>
      </c>
    </row>
    <row r="175" spans="1:17" ht="15" customHeight="1">
      <c r="A175" s="100"/>
      <c r="B175" s="100"/>
      <c r="C175" s="100"/>
      <c r="D175" s="322" t="s">
        <v>397</v>
      </c>
      <c r="E175" s="188">
        <v>2</v>
      </c>
      <c r="F175" s="538">
        <v>131850</v>
      </c>
      <c r="G175" s="15">
        <f>0+'táj.2'!G175</f>
        <v>0</v>
      </c>
      <c r="H175" s="15">
        <f>0+'táj.2'!H175</f>
        <v>0</v>
      </c>
      <c r="I175" s="15">
        <f>0+'táj.2'!I175</f>
        <v>0</v>
      </c>
      <c r="J175" s="15">
        <f>0+'táj.2'!J175</f>
        <v>0</v>
      </c>
      <c r="K175" s="15">
        <f>800+'táj.2'!K175</f>
        <v>800</v>
      </c>
      <c r="L175" s="15">
        <f>0+'táj.2'!L175</f>
        <v>0</v>
      </c>
      <c r="M175" s="15">
        <f>0+'táj.2'!M175</f>
        <v>0</v>
      </c>
      <c r="N175" s="15">
        <f>0+'táj.2'!N175</f>
        <v>0</v>
      </c>
      <c r="O175" s="15">
        <f>0+'táj.2'!O175</f>
        <v>0</v>
      </c>
      <c r="P175" s="15">
        <f>0+'táj.2'!P175</f>
        <v>0</v>
      </c>
      <c r="Q175" s="15">
        <f t="shared" si="8"/>
        <v>800</v>
      </c>
    </row>
    <row r="176" spans="1:17" ht="15" customHeight="1">
      <c r="A176" s="100"/>
      <c r="B176" s="100"/>
      <c r="C176" s="100"/>
      <c r="D176" s="322" t="s">
        <v>398</v>
      </c>
      <c r="E176" s="188">
        <v>2</v>
      </c>
      <c r="F176" s="538">
        <v>131851</v>
      </c>
      <c r="G176" s="15">
        <f>0+'táj.2'!G176</f>
        <v>0</v>
      </c>
      <c r="H176" s="15">
        <f>0+'táj.2'!H176</f>
        <v>0</v>
      </c>
      <c r="I176" s="15">
        <f>0+'táj.2'!I176</f>
        <v>0</v>
      </c>
      <c r="J176" s="15">
        <f>0+'táj.2'!J176</f>
        <v>0</v>
      </c>
      <c r="K176" s="15">
        <f>1000+'táj.2'!K176</f>
        <v>1000</v>
      </c>
      <c r="L176" s="15">
        <f>0+'táj.2'!L176</f>
        <v>0</v>
      </c>
      <c r="M176" s="15">
        <f>0+'táj.2'!M176</f>
        <v>0</v>
      </c>
      <c r="N176" s="15">
        <f>0+'táj.2'!N176</f>
        <v>0</v>
      </c>
      <c r="O176" s="15">
        <f>0+'táj.2'!O176</f>
        <v>0</v>
      </c>
      <c r="P176" s="15">
        <f>0+'táj.2'!P176</f>
        <v>0</v>
      </c>
      <c r="Q176" s="15">
        <f t="shared" si="8"/>
        <v>1000</v>
      </c>
    </row>
    <row r="177" spans="1:17" ht="15" customHeight="1">
      <c r="A177" s="100"/>
      <c r="B177" s="100"/>
      <c r="C177" s="100"/>
      <c r="D177" s="322" t="s">
        <v>399</v>
      </c>
      <c r="E177" s="188">
        <v>2</v>
      </c>
      <c r="F177" s="538">
        <v>131852</v>
      </c>
      <c r="G177" s="15">
        <f>0+'táj.2'!G177</f>
        <v>0</v>
      </c>
      <c r="H177" s="15">
        <f>0+'táj.2'!H177</f>
        <v>0</v>
      </c>
      <c r="I177" s="15">
        <f>0+'táj.2'!I177</f>
        <v>0</v>
      </c>
      <c r="J177" s="15">
        <f>0+'táj.2'!J177</f>
        <v>0</v>
      </c>
      <c r="K177" s="15">
        <f>5000+'táj.2'!K177</f>
        <v>5000</v>
      </c>
      <c r="L177" s="15">
        <f>0+'táj.2'!L177</f>
        <v>0</v>
      </c>
      <c r="M177" s="15">
        <f>0+'táj.2'!M177</f>
        <v>0</v>
      </c>
      <c r="N177" s="15">
        <f>0+'táj.2'!N177</f>
        <v>0</v>
      </c>
      <c r="O177" s="15">
        <f>0+'táj.2'!O177</f>
        <v>0</v>
      </c>
      <c r="P177" s="15">
        <f>0+'táj.2'!P177</f>
        <v>0</v>
      </c>
      <c r="Q177" s="15">
        <f t="shared" si="8"/>
        <v>5000</v>
      </c>
    </row>
    <row r="178" spans="1:17" ht="15" customHeight="1">
      <c r="A178" s="100"/>
      <c r="B178" s="100"/>
      <c r="C178" s="100"/>
      <c r="D178" s="18" t="s">
        <v>66</v>
      </c>
      <c r="E178" s="302"/>
      <c r="F178" s="113"/>
      <c r="G178" s="15"/>
      <c r="H178" s="18"/>
      <c r="I178" s="18"/>
      <c r="J178" s="18"/>
      <c r="K178" s="18"/>
      <c r="L178" s="18"/>
      <c r="M178" s="18"/>
      <c r="N178" s="18"/>
      <c r="O178" s="18"/>
      <c r="P178" s="18"/>
      <c r="Q178" s="15"/>
    </row>
    <row r="179" spans="1:17" ht="15" customHeight="1">
      <c r="A179" s="100"/>
      <c r="B179" s="100"/>
      <c r="C179" s="244"/>
      <c r="D179" s="17" t="s">
        <v>169</v>
      </c>
      <c r="E179" s="302">
        <v>1</v>
      </c>
      <c r="F179" s="113">
        <v>131827</v>
      </c>
      <c r="G179" s="15">
        <f>0+'táj.2'!G179</f>
        <v>0</v>
      </c>
      <c r="H179" s="15">
        <f>0+'táj.2'!H179</f>
        <v>0</v>
      </c>
      <c r="I179" s="15">
        <f>26490+'táj.2'!I179</f>
        <v>26490</v>
      </c>
      <c r="J179" s="15">
        <f>0+'táj.2'!J179</f>
        <v>0</v>
      </c>
      <c r="K179" s="15">
        <f>0+'táj.2'!K179</f>
        <v>0</v>
      </c>
      <c r="L179" s="15">
        <f>0+'táj.2'!L179</f>
        <v>0</v>
      </c>
      <c r="M179" s="15">
        <f>0+'táj.2'!M179</f>
        <v>0</v>
      </c>
      <c r="N179" s="15">
        <f>0+'táj.2'!N179</f>
        <v>0</v>
      </c>
      <c r="O179" s="15">
        <f>0+'táj.2'!O179</f>
        <v>0</v>
      </c>
      <c r="P179" s="15">
        <f>0+'táj.2'!P179</f>
        <v>0</v>
      </c>
      <c r="Q179" s="15">
        <f>SUM(G179:P179)</f>
        <v>26490</v>
      </c>
    </row>
    <row r="180" spans="1:17" ht="15" customHeight="1">
      <c r="A180" s="100"/>
      <c r="B180" s="100"/>
      <c r="C180" s="244"/>
      <c r="D180" s="101" t="s">
        <v>948</v>
      </c>
      <c r="E180" s="161">
        <v>2</v>
      </c>
      <c r="F180" s="100">
        <v>131829</v>
      </c>
      <c r="G180" s="15">
        <f>0+'táj.2'!G180</f>
        <v>0</v>
      </c>
      <c r="H180" s="15">
        <f>16+'táj.2'!H180</f>
        <v>16</v>
      </c>
      <c r="I180" s="15">
        <f>604+'táj.2'!I180</f>
        <v>660</v>
      </c>
      <c r="J180" s="15">
        <f>0+'táj.2'!J180</f>
        <v>0</v>
      </c>
      <c r="K180" s="15">
        <f>1980+'táj.2'!K180</f>
        <v>1924</v>
      </c>
      <c r="L180" s="15">
        <f>0+'táj.2'!L180</f>
        <v>0</v>
      </c>
      <c r="M180" s="15">
        <f>0+'táj.2'!M180</f>
        <v>0</v>
      </c>
      <c r="N180" s="15">
        <f>0+'táj.2'!N180</f>
        <v>0</v>
      </c>
      <c r="O180" s="15">
        <f>0+'táj.2'!O180</f>
        <v>0</v>
      </c>
      <c r="P180" s="15">
        <f>0+'táj.2'!P180</f>
        <v>0</v>
      </c>
      <c r="Q180" s="15">
        <f>SUM(G180:P180)</f>
        <v>2600</v>
      </c>
    </row>
    <row r="181" spans="1:17" ht="15" customHeight="1">
      <c r="A181" s="100"/>
      <c r="B181" s="100"/>
      <c r="C181" s="244"/>
      <c r="D181" s="322" t="s">
        <v>400</v>
      </c>
      <c r="E181" s="158">
        <v>1</v>
      </c>
      <c r="F181" s="331">
        <v>131826</v>
      </c>
      <c r="G181" s="15">
        <f>0+'táj.2'!G181</f>
        <v>0</v>
      </c>
      <c r="H181" s="15">
        <f>0+'táj.2'!H181</f>
        <v>0</v>
      </c>
      <c r="I181" s="15">
        <f>0+'táj.2'!I181</f>
        <v>0</v>
      </c>
      <c r="J181" s="15">
        <f>0+'táj.2'!J181</f>
        <v>0</v>
      </c>
      <c r="K181" s="15">
        <f>0+'táj.2'!K181</f>
        <v>0</v>
      </c>
      <c r="L181" s="15">
        <f>0+'táj.2'!L181</f>
        <v>0</v>
      </c>
      <c r="M181" s="15">
        <f>0+'táj.2'!M181</f>
        <v>0</v>
      </c>
      <c r="N181" s="15">
        <f>0+'táj.2'!N181</f>
        <v>0</v>
      </c>
      <c r="O181" s="15">
        <f>0+'táj.2'!O181</f>
        <v>0</v>
      </c>
      <c r="P181" s="15">
        <f>0+'táj.2'!P181</f>
        <v>0</v>
      </c>
      <c r="Q181" s="15">
        <f>SUM(G181:P181)</f>
        <v>0</v>
      </c>
    </row>
    <row r="182" spans="1:18" ht="12">
      <c r="A182" s="104"/>
      <c r="B182" s="104"/>
      <c r="C182" s="245"/>
      <c r="D182" s="106" t="s">
        <v>1487</v>
      </c>
      <c r="E182" s="107"/>
      <c r="F182" s="532"/>
      <c r="G182" s="111">
        <f>SUM(G52:G181)</f>
        <v>3631</v>
      </c>
      <c r="H182" s="111">
        <f aca="true" t="shared" si="9" ref="H182:Q182">SUM(H52:H181)</f>
        <v>1549</v>
      </c>
      <c r="I182" s="111">
        <f t="shared" si="9"/>
        <v>66505</v>
      </c>
      <c r="J182" s="111">
        <f t="shared" si="9"/>
        <v>47253</v>
      </c>
      <c r="K182" s="111">
        <f t="shared" si="9"/>
        <v>602085</v>
      </c>
      <c r="L182" s="111">
        <f t="shared" si="9"/>
        <v>0</v>
      </c>
      <c r="M182" s="111">
        <f t="shared" si="9"/>
        <v>0</v>
      </c>
      <c r="N182" s="111">
        <f t="shared" si="9"/>
        <v>150</v>
      </c>
      <c r="O182" s="111">
        <f t="shared" si="9"/>
        <v>0</v>
      </c>
      <c r="P182" s="111">
        <f t="shared" si="9"/>
        <v>0</v>
      </c>
      <c r="Q182" s="111">
        <f t="shared" si="9"/>
        <v>721173</v>
      </c>
      <c r="R182" s="23"/>
    </row>
    <row r="183" spans="1:17" ht="12">
      <c r="A183" s="112"/>
      <c r="B183" s="112"/>
      <c r="C183" s="247"/>
      <c r="D183" s="183" t="s">
        <v>231</v>
      </c>
      <c r="E183" s="102"/>
      <c r="F183" s="328"/>
      <c r="G183" s="105"/>
      <c r="H183" s="105"/>
      <c r="I183" s="105"/>
      <c r="J183" s="15"/>
      <c r="K183" s="15"/>
      <c r="L183" s="105"/>
      <c r="M183" s="105"/>
      <c r="N183" s="15"/>
      <c r="O183" s="15"/>
      <c r="P183" s="105"/>
      <c r="Q183" s="15"/>
    </row>
    <row r="184" spans="1:17" ht="13.5">
      <c r="A184" s="112"/>
      <c r="B184" s="112"/>
      <c r="C184" s="557" t="s">
        <v>1288</v>
      </c>
      <c r="D184" s="369" t="s">
        <v>1114</v>
      </c>
      <c r="E184" s="102"/>
      <c r="F184" s="328"/>
      <c r="G184" s="105"/>
      <c r="H184" s="105"/>
      <c r="I184" s="105"/>
      <c r="J184" s="15"/>
      <c r="K184" s="15"/>
      <c r="L184" s="105"/>
      <c r="M184" s="105"/>
      <c r="N184" s="15"/>
      <c r="O184" s="15"/>
      <c r="P184" s="105"/>
      <c r="Q184" s="15"/>
    </row>
    <row r="185" spans="1:17" ht="13.5">
      <c r="A185" s="112"/>
      <c r="B185" s="112"/>
      <c r="C185" s="557" t="s">
        <v>1338</v>
      </c>
      <c r="D185" s="559" t="s">
        <v>500</v>
      </c>
      <c r="E185" s="102"/>
      <c r="F185" s="328"/>
      <c r="G185" s="105"/>
      <c r="H185" s="105"/>
      <c r="I185" s="105"/>
      <c r="J185" s="15"/>
      <c r="K185" s="15"/>
      <c r="L185" s="105"/>
      <c r="M185" s="105"/>
      <c r="N185" s="15"/>
      <c r="O185" s="15"/>
      <c r="P185" s="105"/>
      <c r="Q185" s="15"/>
    </row>
    <row r="186" spans="1:17" ht="12">
      <c r="A186" s="112"/>
      <c r="B186" s="112"/>
      <c r="C186" s="247" t="s">
        <v>1339</v>
      </c>
      <c r="D186" s="341" t="s">
        <v>26</v>
      </c>
      <c r="E186" s="102"/>
      <c r="F186" s="328">
        <v>134903</v>
      </c>
      <c r="G186" s="15">
        <f>0+'táj.2'!G186</f>
        <v>0</v>
      </c>
      <c r="H186" s="15">
        <f>0+'táj.2'!H186</f>
        <v>0</v>
      </c>
      <c r="I186" s="15">
        <f>0+'táj.2'!I186</f>
        <v>0</v>
      </c>
      <c r="J186" s="15">
        <f>0+'táj.2'!J186</f>
        <v>0</v>
      </c>
      <c r="K186" s="15">
        <f>0+'táj.2'!K186</f>
        <v>0</v>
      </c>
      <c r="L186" s="15">
        <f>0+'táj.2'!L186</f>
        <v>0</v>
      </c>
      <c r="M186" s="15">
        <f>18155+'táj.2'!M186</f>
        <v>18155</v>
      </c>
      <c r="N186" s="15">
        <f>0+'táj.2'!N186</f>
        <v>0</v>
      </c>
      <c r="O186" s="15">
        <f>0+'táj.2'!O186</f>
        <v>0</v>
      </c>
      <c r="P186" s="15">
        <f>0+'táj.2'!P186</f>
        <v>0</v>
      </c>
      <c r="Q186" s="15">
        <f aca="true" t="shared" si="10" ref="Q186:Q192">SUM(G186:P186)</f>
        <v>18155</v>
      </c>
    </row>
    <row r="187" spans="1:17" ht="12">
      <c r="A187" s="112"/>
      <c r="B187" s="112"/>
      <c r="C187" s="247" t="s">
        <v>1339</v>
      </c>
      <c r="D187" s="341" t="s">
        <v>293</v>
      </c>
      <c r="E187" s="102"/>
      <c r="F187" s="328">
        <v>134906</v>
      </c>
      <c r="G187" s="15">
        <f>0+'táj.2'!G187</f>
        <v>0</v>
      </c>
      <c r="H187" s="15">
        <f>0+'táj.2'!H187</f>
        <v>0</v>
      </c>
      <c r="I187" s="15">
        <f>0+'táj.2'!I187</f>
        <v>0</v>
      </c>
      <c r="J187" s="15">
        <f>0+'táj.2'!J187</f>
        <v>0</v>
      </c>
      <c r="K187" s="15">
        <f>0+'táj.2'!K187</f>
        <v>0</v>
      </c>
      <c r="L187" s="15">
        <f>0+'táj.2'!L187</f>
        <v>0</v>
      </c>
      <c r="M187" s="15">
        <f>0+'táj.2'!M187</f>
        <v>0</v>
      </c>
      <c r="N187" s="15">
        <f>500+'táj.2'!N187</f>
        <v>500</v>
      </c>
      <c r="O187" s="15">
        <f>0+'táj.2'!O187</f>
        <v>0</v>
      </c>
      <c r="P187" s="15">
        <f>0+'táj.2'!P187</f>
        <v>0</v>
      </c>
      <c r="Q187" s="15">
        <f t="shared" si="10"/>
        <v>500</v>
      </c>
    </row>
    <row r="188" spans="1:17" ht="12">
      <c r="A188" s="112"/>
      <c r="B188" s="112"/>
      <c r="C188" s="247" t="s">
        <v>1342</v>
      </c>
      <c r="D188" s="341" t="s">
        <v>294</v>
      </c>
      <c r="E188" s="102"/>
      <c r="F188" s="328">
        <v>134958</v>
      </c>
      <c r="G188" s="15">
        <f>0+'táj.2'!G188</f>
        <v>0</v>
      </c>
      <c r="H188" s="15">
        <f>0+'táj.2'!H188</f>
        <v>0</v>
      </c>
      <c r="I188" s="15">
        <f>0+'táj.2'!I188</f>
        <v>0</v>
      </c>
      <c r="J188" s="15">
        <f>0+'táj.2'!J188</f>
        <v>0</v>
      </c>
      <c r="K188" s="15">
        <f>0+'táj.2'!K188</f>
        <v>0</v>
      </c>
      <c r="L188" s="15">
        <f>0+'táj.2'!L188</f>
        <v>0</v>
      </c>
      <c r="M188" s="15">
        <f>0+'táj.2'!M188</f>
        <v>0</v>
      </c>
      <c r="N188" s="15">
        <f>500+'táj.2'!N188</f>
        <v>500</v>
      </c>
      <c r="O188" s="15">
        <f>0+'táj.2'!O188</f>
        <v>0</v>
      </c>
      <c r="P188" s="15">
        <f>0+'táj.2'!P188</f>
        <v>0</v>
      </c>
      <c r="Q188" s="15">
        <f t="shared" si="10"/>
        <v>500</v>
      </c>
    </row>
    <row r="189" spans="1:17" ht="12">
      <c r="A189" s="112"/>
      <c r="B189" s="112"/>
      <c r="C189" s="247" t="s">
        <v>1343</v>
      </c>
      <c r="D189" s="341" t="s">
        <v>295</v>
      </c>
      <c r="E189" s="102"/>
      <c r="F189" s="328">
        <v>134949</v>
      </c>
      <c r="G189" s="15">
        <f>0+'táj.2'!G189</f>
        <v>0</v>
      </c>
      <c r="H189" s="15">
        <f>0+'táj.2'!H189</f>
        <v>0</v>
      </c>
      <c r="I189" s="15">
        <f>0+'táj.2'!I189</f>
        <v>0</v>
      </c>
      <c r="J189" s="15">
        <f>0+'táj.2'!J189</f>
        <v>0</v>
      </c>
      <c r="K189" s="15">
        <f>0+'táj.2'!K189</f>
        <v>0</v>
      </c>
      <c r="L189" s="15">
        <f>0+'táj.2'!L189</f>
        <v>0</v>
      </c>
      <c r="M189" s="15">
        <f>1619+'táj.2'!M189</f>
        <v>1619</v>
      </c>
      <c r="N189" s="15">
        <f>0+'táj.2'!N189</f>
        <v>0</v>
      </c>
      <c r="O189" s="15">
        <f>0+'táj.2'!O189</f>
        <v>0</v>
      </c>
      <c r="P189" s="15">
        <f>0+'táj.2'!P189</f>
        <v>0</v>
      </c>
      <c r="Q189" s="15">
        <f t="shared" si="10"/>
        <v>1619</v>
      </c>
    </row>
    <row r="190" spans="1:17" ht="12">
      <c r="A190" s="112"/>
      <c r="B190" s="112"/>
      <c r="C190" s="247" t="s">
        <v>367</v>
      </c>
      <c r="D190" s="341" t="s">
        <v>296</v>
      </c>
      <c r="E190" s="102"/>
      <c r="F190" s="328">
        <v>134973</v>
      </c>
      <c r="G190" s="15">
        <f>0+'táj.2'!G190</f>
        <v>0</v>
      </c>
      <c r="H190" s="15">
        <f>0+'táj.2'!H190</f>
        <v>0</v>
      </c>
      <c r="I190" s="15">
        <f>0+'táj.2'!I190</f>
        <v>0</v>
      </c>
      <c r="J190" s="15">
        <f>0+'táj.2'!J190</f>
        <v>0</v>
      </c>
      <c r="K190" s="15">
        <f>0+'táj.2'!K190</f>
        <v>0</v>
      </c>
      <c r="L190" s="15">
        <f>0+'táj.2'!L190</f>
        <v>0</v>
      </c>
      <c r="M190" s="15">
        <f>1250+'táj.2'!M190</f>
        <v>1250</v>
      </c>
      <c r="N190" s="15">
        <f>0+'táj.2'!N190</f>
        <v>0</v>
      </c>
      <c r="O190" s="15">
        <f>0+'táj.2'!O190</f>
        <v>0</v>
      </c>
      <c r="P190" s="15">
        <f>0+'táj.2'!P190</f>
        <v>0</v>
      </c>
      <c r="Q190" s="15">
        <f t="shared" si="10"/>
        <v>1250</v>
      </c>
    </row>
    <row r="191" spans="1:17" ht="48">
      <c r="A191" s="112"/>
      <c r="B191" s="112"/>
      <c r="C191" s="247" t="s">
        <v>1344</v>
      </c>
      <c r="D191" s="341" t="s">
        <v>72</v>
      </c>
      <c r="E191" s="102"/>
      <c r="F191" s="328">
        <v>132940</v>
      </c>
      <c r="G191" s="15">
        <f>0+'táj.2'!G191</f>
        <v>0</v>
      </c>
      <c r="H191" s="15">
        <f>0+'táj.2'!H191</f>
        <v>0</v>
      </c>
      <c r="I191" s="15">
        <f>117+'táj.2'!I191</f>
        <v>117</v>
      </c>
      <c r="J191" s="15">
        <f>0+'táj.2'!J191</f>
        <v>0</v>
      </c>
      <c r="K191" s="15">
        <f>0+'táj.2'!K191</f>
        <v>0</v>
      </c>
      <c r="L191" s="15">
        <f>0+'táj.2'!L191</f>
        <v>0</v>
      </c>
      <c r="M191" s="15">
        <f>0+'táj.2'!M191</f>
        <v>0</v>
      </c>
      <c r="N191" s="15">
        <f>6042+'táj.2'!N191</f>
        <v>6042</v>
      </c>
      <c r="O191" s="15">
        <f>0+'táj.2'!O191</f>
        <v>0</v>
      </c>
      <c r="P191" s="15">
        <f>0+'táj.2'!P191</f>
        <v>0</v>
      </c>
      <c r="Q191" s="15">
        <f t="shared" si="10"/>
        <v>6159</v>
      </c>
    </row>
    <row r="192" spans="1:17" ht="12">
      <c r="A192" s="112"/>
      <c r="B192" s="112"/>
      <c r="C192" s="247" t="s">
        <v>831</v>
      </c>
      <c r="D192" s="340" t="s">
        <v>832</v>
      </c>
      <c r="E192" s="102"/>
      <c r="F192" s="328">
        <v>132980</v>
      </c>
      <c r="G192" s="15">
        <f>0+'táj.2'!G192</f>
        <v>0</v>
      </c>
      <c r="H192" s="15">
        <f>0+'táj.2'!H192</f>
        <v>0</v>
      </c>
      <c r="I192" s="15">
        <f>0+'táj.2'!I192</f>
        <v>0</v>
      </c>
      <c r="J192" s="15">
        <f>0+'táj.2'!J192</f>
        <v>0</v>
      </c>
      <c r="K192" s="15">
        <f>0+'táj.2'!K192</f>
        <v>0</v>
      </c>
      <c r="L192" s="15">
        <f>620+'táj.2'!L192</f>
        <v>41</v>
      </c>
      <c r="M192" s="15">
        <f>0+'táj.2'!M192</f>
        <v>579</v>
      </c>
      <c r="N192" s="15">
        <f>0+'táj.2'!N192</f>
        <v>0</v>
      </c>
      <c r="O192" s="15">
        <f>0+'táj.2'!O192</f>
        <v>0</v>
      </c>
      <c r="P192" s="15">
        <f>0+'táj.2'!P192</f>
        <v>0</v>
      </c>
      <c r="Q192" s="15">
        <f t="shared" si="10"/>
        <v>620</v>
      </c>
    </row>
    <row r="193" spans="1:17" ht="13.5">
      <c r="A193" s="112"/>
      <c r="B193" s="112"/>
      <c r="C193" s="247" t="s">
        <v>1341</v>
      </c>
      <c r="D193" s="558" t="s">
        <v>1340</v>
      </c>
      <c r="E193" s="102"/>
      <c r="F193" s="328"/>
      <c r="G193" s="15"/>
      <c r="H193" s="105"/>
      <c r="I193" s="105"/>
      <c r="J193" s="15"/>
      <c r="K193" s="15"/>
      <c r="L193" s="105"/>
      <c r="M193" s="105"/>
      <c r="N193" s="15"/>
      <c r="O193" s="15"/>
      <c r="P193" s="105"/>
      <c r="Q193" s="15"/>
    </row>
    <row r="194" spans="1:17" ht="12">
      <c r="A194" s="112"/>
      <c r="B194" s="112"/>
      <c r="C194" s="247" t="s">
        <v>1345</v>
      </c>
      <c r="D194" s="343" t="s">
        <v>894</v>
      </c>
      <c r="E194" s="102"/>
      <c r="F194" s="328">
        <v>134911</v>
      </c>
      <c r="G194" s="15">
        <f>0+'táj.2'!G194</f>
        <v>0</v>
      </c>
      <c r="H194" s="15">
        <f>0+'táj.2'!H194</f>
        <v>0</v>
      </c>
      <c r="I194" s="15">
        <f>0+'táj.2'!I194</f>
        <v>0</v>
      </c>
      <c r="J194" s="15">
        <f>0+'táj.2'!J194</f>
        <v>0</v>
      </c>
      <c r="K194" s="15">
        <f>0+'táj.2'!K194</f>
        <v>0</v>
      </c>
      <c r="L194" s="15">
        <f>0+'táj.2'!L194</f>
        <v>0</v>
      </c>
      <c r="M194" s="15">
        <f>14678+'táj.2'!M194</f>
        <v>14678</v>
      </c>
      <c r="N194" s="15">
        <f>0+'táj.2'!N194</f>
        <v>0</v>
      </c>
      <c r="O194" s="15">
        <f>0+'táj.2'!O194</f>
        <v>0</v>
      </c>
      <c r="P194" s="15">
        <f>0+'táj.2'!P194</f>
        <v>0</v>
      </c>
      <c r="Q194" s="15">
        <f>SUM(G194:P194)</f>
        <v>14678</v>
      </c>
    </row>
    <row r="195" spans="1:17" ht="12">
      <c r="A195" s="112"/>
      <c r="B195" s="112"/>
      <c r="C195" s="247" t="s">
        <v>1346</v>
      </c>
      <c r="D195" s="480" t="s">
        <v>297</v>
      </c>
      <c r="E195" s="102"/>
      <c r="F195" s="328">
        <v>134914</v>
      </c>
      <c r="G195" s="15">
        <f>0+'táj.2'!G195</f>
        <v>0</v>
      </c>
      <c r="H195" s="15">
        <f>0+'táj.2'!H195</f>
        <v>0</v>
      </c>
      <c r="I195" s="15">
        <f>0+'táj.2'!I195</f>
        <v>0</v>
      </c>
      <c r="J195" s="15">
        <f>0+'táj.2'!J195</f>
        <v>0</v>
      </c>
      <c r="K195" s="15">
        <f>402+'táj.2'!K195</f>
        <v>402</v>
      </c>
      <c r="L195" s="15">
        <f>0+'táj.2'!L195</f>
        <v>0</v>
      </c>
      <c r="M195" s="15">
        <f>598+'táj.2'!M195</f>
        <v>598</v>
      </c>
      <c r="N195" s="15">
        <f>0+'táj.2'!N195</f>
        <v>0</v>
      </c>
      <c r="O195" s="15">
        <f>0+'táj.2'!O195</f>
        <v>0</v>
      </c>
      <c r="P195" s="15">
        <f>0+'táj.2'!P195</f>
        <v>0</v>
      </c>
      <c r="Q195" s="15">
        <f>SUM(G195:P195)</f>
        <v>1000</v>
      </c>
    </row>
    <row r="196" spans="1:17" ht="12">
      <c r="A196" s="112"/>
      <c r="B196" s="112"/>
      <c r="C196" s="247" t="s">
        <v>1347</v>
      </c>
      <c r="D196" s="340" t="s">
        <v>893</v>
      </c>
      <c r="E196" s="102"/>
      <c r="F196" s="328">
        <v>134960</v>
      </c>
      <c r="G196" s="15">
        <f>0+'táj.2'!G196</f>
        <v>0</v>
      </c>
      <c r="H196" s="15">
        <f>0+'táj.2'!H196</f>
        <v>0</v>
      </c>
      <c r="I196" s="15">
        <f>0+'táj.2'!I196</f>
        <v>0</v>
      </c>
      <c r="J196" s="15">
        <f>0+'táj.2'!J196</f>
        <v>0</v>
      </c>
      <c r="K196" s="15">
        <f>0+'táj.2'!K196</f>
        <v>0</v>
      </c>
      <c r="L196" s="15">
        <f>2018+'táj.2'!L196</f>
        <v>2018</v>
      </c>
      <c r="M196" s="15">
        <f>0+'táj.2'!M196</f>
        <v>0</v>
      </c>
      <c r="N196" s="15">
        <f>0+'táj.2'!N196</f>
        <v>0</v>
      </c>
      <c r="O196" s="15">
        <f>0+'táj.2'!O196</f>
        <v>0</v>
      </c>
      <c r="P196" s="15">
        <f>0+'táj.2'!P196</f>
        <v>0</v>
      </c>
      <c r="Q196" s="15">
        <f aca="true" t="shared" si="11" ref="Q196:Q207">SUM(G196:P196)</f>
        <v>2018</v>
      </c>
    </row>
    <row r="197" spans="1:17" ht="12">
      <c r="A197" s="112"/>
      <c r="B197" s="112"/>
      <c r="C197" s="247" t="s">
        <v>1348</v>
      </c>
      <c r="D197" s="341" t="s">
        <v>298</v>
      </c>
      <c r="E197" s="102"/>
      <c r="F197" s="328">
        <v>134915</v>
      </c>
      <c r="G197" s="15">
        <f>0+'táj.2'!G197</f>
        <v>0</v>
      </c>
      <c r="H197" s="15">
        <f>0+'táj.2'!H197</f>
        <v>0</v>
      </c>
      <c r="I197" s="15">
        <f>0+'táj.2'!I197</f>
        <v>0</v>
      </c>
      <c r="J197" s="15">
        <f>0+'táj.2'!J197</f>
        <v>0</v>
      </c>
      <c r="K197" s="15">
        <f>0+'táj.2'!K197</f>
        <v>0</v>
      </c>
      <c r="L197" s="15">
        <f>0+'táj.2'!L197</f>
        <v>0</v>
      </c>
      <c r="M197" s="15">
        <f>0+'táj.2'!M197</f>
        <v>0</v>
      </c>
      <c r="N197" s="15">
        <f>1000+'táj.2'!N197</f>
        <v>1000</v>
      </c>
      <c r="O197" s="15">
        <f>0+'táj.2'!O197</f>
        <v>0</v>
      </c>
      <c r="P197" s="15">
        <f>0+'táj.2'!P197</f>
        <v>0</v>
      </c>
      <c r="Q197" s="15">
        <f t="shared" si="11"/>
        <v>1000</v>
      </c>
    </row>
    <row r="198" spans="1:17" ht="12">
      <c r="A198" s="112"/>
      <c r="B198" s="112"/>
      <c r="C198" s="247" t="s">
        <v>1349</v>
      </c>
      <c r="D198" s="341" t="s">
        <v>299</v>
      </c>
      <c r="E198" s="102"/>
      <c r="F198" s="328">
        <v>134961</v>
      </c>
      <c r="G198" s="15">
        <f>0+'táj.2'!G198</f>
        <v>0</v>
      </c>
      <c r="H198" s="15">
        <f>0+'táj.2'!H198</f>
        <v>0</v>
      </c>
      <c r="I198" s="15">
        <f>0+'táj.2'!I198</f>
        <v>0</v>
      </c>
      <c r="J198" s="15">
        <f>0+'táj.2'!J198</f>
        <v>0</v>
      </c>
      <c r="K198" s="15">
        <f>0+'táj.2'!K198</f>
        <v>0</v>
      </c>
      <c r="L198" s="15">
        <f>0+'táj.2'!L198</f>
        <v>0</v>
      </c>
      <c r="M198" s="15">
        <f>0+'táj.2'!M198</f>
        <v>0</v>
      </c>
      <c r="N198" s="15">
        <f>600+'táj.2'!N198</f>
        <v>600</v>
      </c>
      <c r="O198" s="15">
        <f>0+'táj.2'!O198</f>
        <v>0</v>
      </c>
      <c r="P198" s="15">
        <f>0+'táj.2'!P198</f>
        <v>0</v>
      </c>
      <c r="Q198" s="15">
        <f t="shared" si="11"/>
        <v>600</v>
      </c>
    </row>
    <row r="199" spans="1:17" ht="12">
      <c r="A199" s="112"/>
      <c r="B199" s="112"/>
      <c r="C199" s="247" t="s">
        <v>1350</v>
      </c>
      <c r="D199" s="341" t="s">
        <v>300</v>
      </c>
      <c r="E199" s="102"/>
      <c r="F199" s="328">
        <v>132912</v>
      </c>
      <c r="G199" s="15">
        <f>0+'táj.2'!G199</f>
        <v>0</v>
      </c>
      <c r="H199" s="15">
        <f>0+'táj.2'!H199</f>
        <v>0</v>
      </c>
      <c r="I199" s="15">
        <f>0+'táj.2'!I199</f>
        <v>0</v>
      </c>
      <c r="J199" s="15">
        <f>0+'táj.2'!J199</f>
        <v>0</v>
      </c>
      <c r="K199" s="15">
        <f>0+'táj.2'!K199</f>
        <v>0</v>
      </c>
      <c r="L199" s="15">
        <f>0+'táj.2'!L199</f>
        <v>0</v>
      </c>
      <c r="M199" s="15">
        <f>0+'táj.2'!M199</f>
        <v>0</v>
      </c>
      <c r="N199" s="15">
        <f>2000+'táj.2'!N199</f>
        <v>2000</v>
      </c>
      <c r="O199" s="15">
        <f>0+'táj.2'!O199</f>
        <v>0</v>
      </c>
      <c r="P199" s="15">
        <f>0+'táj.2'!P199</f>
        <v>0</v>
      </c>
      <c r="Q199" s="15">
        <f t="shared" si="11"/>
        <v>2000</v>
      </c>
    </row>
    <row r="200" spans="1:17" ht="12">
      <c r="A200" s="112"/>
      <c r="B200" s="112"/>
      <c r="C200" s="247" t="s">
        <v>662</v>
      </c>
      <c r="D200" s="654" t="s">
        <v>661</v>
      </c>
      <c r="E200" s="102"/>
      <c r="F200" s="328">
        <v>132950</v>
      </c>
      <c r="G200" s="15">
        <f>0+'táj.2'!G200</f>
        <v>0</v>
      </c>
      <c r="H200" s="15">
        <f>0+'táj.2'!H200</f>
        <v>0</v>
      </c>
      <c r="I200" s="15">
        <f>0+'táj.2'!I200</f>
        <v>0</v>
      </c>
      <c r="J200" s="15">
        <f>0+'táj.2'!J200</f>
        <v>0</v>
      </c>
      <c r="K200" s="15">
        <f>0+'táj.2'!K200</f>
        <v>0</v>
      </c>
      <c r="L200" s="15">
        <f>0+'táj.2'!L200</f>
        <v>0</v>
      </c>
      <c r="M200" s="15">
        <f>2848+'táj.2'!M200</f>
        <v>2848</v>
      </c>
      <c r="N200" s="15">
        <f>0+'táj.2'!N200</f>
        <v>0</v>
      </c>
      <c r="O200" s="15">
        <f>0+'táj.2'!O200</f>
        <v>0</v>
      </c>
      <c r="P200" s="15">
        <f>0+'táj.2'!P200</f>
        <v>0</v>
      </c>
      <c r="Q200" s="15">
        <f t="shared" si="11"/>
        <v>2848</v>
      </c>
    </row>
    <row r="201" spans="1:17" ht="24">
      <c r="A201" s="112"/>
      <c r="B201" s="112"/>
      <c r="C201" s="247" t="s">
        <v>306</v>
      </c>
      <c r="D201" s="654" t="s">
        <v>307</v>
      </c>
      <c r="E201" s="102"/>
      <c r="F201" s="328">
        <v>134951</v>
      </c>
      <c r="G201" s="15">
        <f>0+'táj.2'!G201</f>
        <v>0</v>
      </c>
      <c r="H201" s="15">
        <f>0+'táj.2'!H201</f>
        <v>0</v>
      </c>
      <c r="I201" s="15">
        <f>450+'táj.2'!I201</f>
        <v>450</v>
      </c>
      <c r="J201" s="15">
        <f>0+'táj.2'!J201</f>
        <v>0</v>
      </c>
      <c r="K201" s="15">
        <f>0+'táj.2'!K201</f>
        <v>0</v>
      </c>
      <c r="L201" s="15">
        <f>0+'táj.2'!L201</f>
        <v>0</v>
      </c>
      <c r="M201" s="15">
        <f>0+'táj.2'!M201</f>
        <v>0</v>
      </c>
      <c r="N201" s="15">
        <f>0+'táj.2'!N201</f>
        <v>0</v>
      </c>
      <c r="O201" s="15">
        <f>0+'táj.2'!O201</f>
        <v>0</v>
      </c>
      <c r="P201" s="15">
        <f>0+'táj.2'!P201</f>
        <v>0</v>
      </c>
      <c r="Q201" s="15">
        <f t="shared" si="11"/>
        <v>450</v>
      </c>
    </row>
    <row r="202" spans="1:17" ht="24">
      <c r="A202" s="112"/>
      <c r="B202" s="112"/>
      <c r="C202" s="247" t="s">
        <v>1181</v>
      </c>
      <c r="D202" s="678" t="s">
        <v>1182</v>
      </c>
      <c r="E202" s="102"/>
      <c r="F202" s="328">
        <v>134979</v>
      </c>
      <c r="G202" s="15">
        <f>0+'táj.2'!G202</f>
        <v>0</v>
      </c>
      <c r="H202" s="15">
        <f>0+'táj.2'!H202</f>
        <v>0</v>
      </c>
      <c r="I202" s="15">
        <f>0+'táj.2'!I202</f>
        <v>0</v>
      </c>
      <c r="J202" s="15">
        <f>0+'táj.2'!J202</f>
        <v>0</v>
      </c>
      <c r="K202" s="15">
        <f>0+'táj.2'!K202</f>
        <v>0</v>
      </c>
      <c r="L202" s="15">
        <f>0+'táj.2'!L202</f>
        <v>0</v>
      </c>
      <c r="M202" s="15">
        <f>7695+'táj.2'!M202</f>
        <v>7695</v>
      </c>
      <c r="N202" s="15">
        <f>0+'táj.2'!N202</f>
        <v>0</v>
      </c>
      <c r="O202" s="15">
        <f>0+'táj.2'!O202</f>
        <v>0</v>
      </c>
      <c r="P202" s="15">
        <f>0+'táj.2'!P202</f>
        <v>0</v>
      </c>
      <c r="Q202" s="15">
        <f t="shared" si="11"/>
        <v>7695</v>
      </c>
    </row>
    <row r="203" spans="1:17" ht="13.5">
      <c r="A203" s="112"/>
      <c r="B203" s="112"/>
      <c r="C203" s="247" t="s">
        <v>1351</v>
      </c>
      <c r="D203" s="342" t="s">
        <v>491</v>
      </c>
      <c r="E203" s="102"/>
      <c r="F203" s="328"/>
      <c r="G203" s="15"/>
      <c r="H203" s="105"/>
      <c r="I203" s="105"/>
      <c r="J203" s="15"/>
      <c r="K203" s="15"/>
      <c r="L203" s="15"/>
      <c r="M203" s="105"/>
      <c r="N203" s="15"/>
      <c r="O203" s="105"/>
      <c r="P203" s="105"/>
      <c r="Q203" s="15"/>
    </row>
    <row r="204" spans="1:17" ht="12.75">
      <c r="A204" s="112"/>
      <c r="B204" s="112"/>
      <c r="C204" s="247" t="s">
        <v>1352</v>
      </c>
      <c r="D204" s="344" t="s">
        <v>1297</v>
      </c>
      <c r="E204" s="102"/>
      <c r="F204" s="328">
        <v>132970</v>
      </c>
      <c r="G204" s="15">
        <f>0+'táj.2'!G204</f>
        <v>0</v>
      </c>
      <c r="H204" s="15">
        <f>0+'táj.2'!H204</f>
        <v>0</v>
      </c>
      <c r="I204" s="15">
        <f>0+'táj.2'!I204</f>
        <v>0</v>
      </c>
      <c r="J204" s="15">
        <f>0+'táj.2'!J204</f>
        <v>0</v>
      </c>
      <c r="K204" s="15">
        <f>0+'táj.2'!K204</f>
        <v>0</v>
      </c>
      <c r="L204" s="15">
        <f>0+'táj.2'!L204</f>
        <v>0</v>
      </c>
      <c r="M204" s="15">
        <f>0+'táj.2'!M204</f>
        <v>0</v>
      </c>
      <c r="N204" s="15">
        <f>1000+'táj.2'!N204</f>
        <v>1000</v>
      </c>
      <c r="O204" s="15">
        <f>0+'táj.2'!O204</f>
        <v>0</v>
      </c>
      <c r="P204" s="15">
        <f>0+'táj.2'!P204</f>
        <v>0</v>
      </c>
      <c r="Q204" s="15">
        <f t="shared" si="11"/>
        <v>1000</v>
      </c>
    </row>
    <row r="205" spans="1:17" ht="25.5">
      <c r="A205" s="112"/>
      <c r="B205" s="112"/>
      <c r="C205" s="247" t="s">
        <v>1353</v>
      </c>
      <c r="D205" s="344" t="s">
        <v>636</v>
      </c>
      <c r="E205" s="102"/>
      <c r="F205" s="328">
        <v>132971</v>
      </c>
      <c r="G205" s="15">
        <f>0+'táj.2'!G205</f>
        <v>0</v>
      </c>
      <c r="H205" s="15">
        <f>0+'táj.2'!H205</f>
        <v>0</v>
      </c>
      <c r="I205" s="15">
        <f>0+'táj.2'!I205</f>
        <v>0</v>
      </c>
      <c r="J205" s="15">
        <f>0+'táj.2'!J205</f>
        <v>0</v>
      </c>
      <c r="K205" s="15">
        <f>0+'táj.2'!K205</f>
        <v>0</v>
      </c>
      <c r="L205" s="15">
        <f>0+'táj.2'!L205</f>
        <v>0</v>
      </c>
      <c r="M205" s="15">
        <f>0+'táj.2'!M205</f>
        <v>0</v>
      </c>
      <c r="N205" s="15">
        <f>1000+'táj.2'!N205</f>
        <v>1000</v>
      </c>
      <c r="O205" s="15">
        <f>0+'táj.2'!O205</f>
        <v>0</v>
      </c>
      <c r="P205" s="15">
        <f>0+'táj.2'!P205</f>
        <v>0</v>
      </c>
      <c r="Q205" s="15">
        <f t="shared" si="11"/>
        <v>1000</v>
      </c>
    </row>
    <row r="206" spans="1:17" ht="12.75">
      <c r="A206" s="112"/>
      <c r="B206" s="112"/>
      <c r="C206" s="247" t="s">
        <v>425</v>
      </c>
      <c r="D206" s="481" t="s">
        <v>660</v>
      </c>
      <c r="E206" s="102"/>
      <c r="F206" s="328">
        <v>132972</v>
      </c>
      <c r="G206" s="15">
        <f>0+'táj.2'!G206</f>
        <v>0</v>
      </c>
      <c r="H206" s="15">
        <f>0+'táj.2'!H206</f>
        <v>0</v>
      </c>
      <c r="I206" s="15">
        <f>0+'táj.2'!I206</f>
        <v>0</v>
      </c>
      <c r="J206" s="15">
        <f>0+'táj.2'!J206</f>
        <v>0</v>
      </c>
      <c r="K206" s="15">
        <f>0+'táj.2'!K206</f>
        <v>0</v>
      </c>
      <c r="L206" s="15">
        <f>0+'táj.2'!L206</f>
        <v>0</v>
      </c>
      <c r="M206" s="15">
        <f>0+'táj.2'!M206</f>
        <v>0</v>
      </c>
      <c r="N206" s="15">
        <f>500+'táj.2'!N206</f>
        <v>500</v>
      </c>
      <c r="O206" s="15">
        <f>0+'táj.2'!O206</f>
        <v>0</v>
      </c>
      <c r="P206" s="15">
        <f>0+'táj.2'!P206</f>
        <v>0</v>
      </c>
      <c r="Q206" s="15">
        <f t="shared" si="11"/>
        <v>500</v>
      </c>
    </row>
    <row r="207" spans="1:17" ht="25.5">
      <c r="A207" s="112"/>
      <c r="B207" s="112"/>
      <c r="C207" s="247" t="s">
        <v>201</v>
      </c>
      <c r="D207" s="666" t="s">
        <v>202</v>
      </c>
      <c r="E207" s="102"/>
      <c r="F207" s="328">
        <v>134978</v>
      </c>
      <c r="G207" s="15">
        <f>0+'táj.2'!G207</f>
        <v>0</v>
      </c>
      <c r="H207" s="15">
        <f>0+'táj.2'!H207</f>
        <v>0</v>
      </c>
      <c r="I207" s="15">
        <f>0+'táj.2'!I207</f>
        <v>0</v>
      </c>
      <c r="J207" s="15">
        <f>0+'táj.2'!J207</f>
        <v>0</v>
      </c>
      <c r="K207" s="15">
        <f>0+'táj.2'!K207</f>
        <v>0</v>
      </c>
      <c r="L207" s="15">
        <f>0+'táj.2'!L207</f>
        <v>0</v>
      </c>
      <c r="M207" s="15">
        <f>387+'táj.2'!M207</f>
        <v>387</v>
      </c>
      <c r="N207" s="15">
        <f>0+'táj.2'!N207</f>
        <v>0</v>
      </c>
      <c r="O207" s="15">
        <f>0+'táj.2'!O207</f>
        <v>0</v>
      </c>
      <c r="P207" s="15">
        <f>0+'táj.2'!P207</f>
        <v>0</v>
      </c>
      <c r="Q207" s="15">
        <f t="shared" si="11"/>
        <v>387</v>
      </c>
    </row>
    <row r="208" spans="1:17" ht="13.5">
      <c r="A208" s="112"/>
      <c r="B208" s="112"/>
      <c r="C208" s="254" t="s">
        <v>1287</v>
      </c>
      <c r="D208" s="557" t="s">
        <v>1115</v>
      </c>
      <c r="E208" s="102"/>
      <c r="F208" s="328"/>
      <c r="G208" s="15"/>
      <c r="H208" s="105"/>
      <c r="I208" s="105"/>
      <c r="J208" s="15"/>
      <c r="K208" s="15"/>
      <c r="L208" s="105"/>
      <c r="M208" s="105"/>
      <c r="N208" s="15"/>
      <c r="O208" s="15"/>
      <c r="P208" s="105"/>
      <c r="Q208" s="15"/>
    </row>
    <row r="209" spans="1:17" ht="12.75">
      <c r="A209" s="112"/>
      <c r="B209" s="112"/>
      <c r="C209" s="247" t="s">
        <v>1053</v>
      </c>
      <c r="D209" s="255" t="s">
        <v>1037</v>
      </c>
      <c r="E209" s="102"/>
      <c r="F209" s="328">
        <v>132973</v>
      </c>
      <c r="G209" s="15">
        <f>0+'táj.2'!G209</f>
        <v>0</v>
      </c>
      <c r="H209" s="15">
        <f>0+'táj.2'!H209</f>
        <v>0</v>
      </c>
      <c r="I209" s="15">
        <f>0+'táj.2'!I209</f>
        <v>0</v>
      </c>
      <c r="J209" s="15">
        <f>0+'táj.2'!J209</f>
        <v>0</v>
      </c>
      <c r="K209" s="15">
        <f>0+'táj.2'!K209</f>
        <v>0</v>
      </c>
      <c r="L209" s="15">
        <f>15240+'táj.2'!L209</f>
        <v>15240</v>
      </c>
      <c r="M209" s="15">
        <f>0+'táj.2'!M209</f>
        <v>0</v>
      </c>
      <c r="N209" s="15">
        <f>0+'táj.2'!N209</f>
        <v>0</v>
      </c>
      <c r="O209" s="15">
        <f>0+'táj.2'!O209</f>
        <v>0</v>
      </c>
      <c r="P209" s="15">
        <f>0+'táj.2'!P209</f>
        <v>0</v>
      </c>
      <c r="Q209" s="15">
        <f>SUM(G209:P209)</f>
        <v>15240</v>
      </c>
    </row>
    <row r="210" spans="1:17" ht="12.75">
      <c r="A210" s="112"/>
      <c r="B210" s="112"/>
      <c r="C210" s="247" t="s">
        <v>308</v>
      </c>
      <c r="D210" s="255" t="s">
        <v>309</v>
      </c>
      <c r="E210" s="102"/>
      <c r="F210" s="328">
        <v>132976</v>
      </c>
      <c r="G210" s="15">
        <f>0+'táj.2'!G210</f>
        <v>0</v>
      </c>
      <c r="H210" s="15">
        <f>0+'táj.2'!H210</f>
        <v>0</v>
      </c>
      <c r="I210" s="15">
        <f>0+'táj.2'!I210</f>
        <v>0</v>
      </c>
      <c r="J210" s="15">
        <f>0+'táj.2'!J210</f>
        <v>0</v>
      </c>
      <c r="K210" s="15">
        <f>0+'táj.2'!K210</f>
        <v>0</v>
      </c>
      <c r="L210" s="15">
        <f>180+'táj.2'!L210</f>
        <v>180</v>
      </c>
      <c r="M210" s="15">
        <f>0+'táj.2'!M210</f>
        <v>0</v>
      </c>
      <c r="N210" s="15">
        <f>0+'táj.2'!N210</f>
        <v>0</v>
      </c>
      <c r="O210" s="15">
        <f>0+'táj.2'!O210</f>
        <v>0</v>
      </c>
      <c r="P210" s="15">
        <f>0+'táj.2'!P210</f>
        <v>0</v>
      </c>
      <c r="Q210" s="15">
        <f>SUM(G210:P210)</f>
        <v>180</v>
      </c>
    </row>
    <row r="211" spans="1:17" ht="13.5">
      <c r="A211" s="112"/>
      <c r="B211" s="112"/>
      <c r="C211" s="254" t="s">
        <v>1289</v>
      </c>
      <c r="D211" s="369" t="s">
        <v>501</v>
      </c>
      <c r="E211" s="102"/>
      <c r="F211" s="328"/>
      <c r="G211" s="15"/>
      <c r="H211" s="105"/>
      <c r="I211" s="105"/>
      <c r="J211" s="15"/>
      <c r="K211" s="15"/>
      <c r="L211" s="15"/>
      <c r="M211" s="105"/>
      <c r="N211" s="15"/>
      <c r="O211" s="15"/>
      <c r="P211" s="105"/>
      <c r="Q211" s="15"/>
    </row>
    <row r="212" spans="1:17" ht="12.75">
      <c r="A212" s="112"/>
      <c r="B212" s="112"/>
      <c r="C212" s="247" t="s">
        <v>1354</v>
      </c>
      <c r="D212" s="655" t="s">
        <v>1356</v>
      </c>
      <c r="E212" s="102"/>
      <c r="F212" s="328">
        <v>134926</v>
      </c>
      <c r="G212" s="15">
        <f>0+'táj.2'!G212</f>
        <v>0</v>
      </c>
      <c r="H212" s="15">
        <f>0+'táj.2'!H212</f>
        <v>0</v>
      </c>
      <c r="I212" s="15">
        <f>0+'táj.2'!I212</f>
        <v>0</v>
      </c>
      <c r="J212" s="15">
        <f>0+'táj.2'!J212</f>
        <v>0</v>
      </c>
      <c r="K212" s="15">
        <f>0+'táj.2'!K212</f>
        <v>0</v>
      </c>
      <c r="L212" s="15">
        <f>0+'táj.2'!L212</f>
        <v>0</v>
      </c>
      <c r="M212" s="15">
        <f>0+'táj.2'!M212</f>
        <v>0</v>
      </c>
      <c r="N212" s="15">
        <f>10000+'táj.2'!N212</f>
        <v>10000</v>
      </c>
      <c r="O212" s="15">
        <f>0+'táj.2'!O212</f>
        <v>0</v>
      </c>
      <c r="P212" s="15">
        <f>0+'táj.2'!P212</f>
        <v>0</v>
      </c>
      <c r="Q212" s="15">
        <f>SUM(G212:P212)</f>
        <v>10000</v>
      </c>
    </row>
    <row r="213" spans="1:17" ht="12.75">
      <c r="A213" s="112"/>
      <c r="B213" s="112"/>
      <c r="C213" s="247" t="s">
        <v>1355</v>
      </c>
      <c r="D213" s="345" t="s">
        <v>301</v>
      </c>
      <c r="E213" s="102"/>
      <c r="F213" s="328">
        <v>134974</v>
      </c>
      <c r="G213" s="15">
        <f>0+'táj.2'!G213</f>
        <v>0</v>
      </c>
      <c r="H213" s="15">
        <f>0+'táj.2'!H213</f>
        <v>0</v>
      </c>
      <c r="I213" s="15">
        <f>0+'táj.2'!I213</f>
        <v>0</v>
      </c>
      <c r="J213" s="15">
        <f>0+'táj.2'!J213</f>
        <v>0</v>
      </c>
      <c r="K213" s="15">
        <f>0+'táj.2'!K213</f>
        <v>0</v>
      </c>
      <c r="L213" s="15">
        <f>0+'táj.2'!L213</f>
        <v>0</v>
      </c>
      <c r="M213" s="15">
        <f>0+'táj.2'!M213</f>
        <v>0</v>
      </c>
      <c r="N213" s="15">
        <f>500+'táj.2'!N213</f>
        <v>500</v>
      </c>
      <c r="O213" s="15">
        <f>0+'táj.2'!O213</f>
        <v>0</v>
      </c>
      <c r="P213" s="15">
        <f>0+'táj.2'!P213</f>
        <v>0</v>
      </c>
      <c r="Q213" s="15">
        <f>SUM(G213:P213)</f>
        <v>500</v>
      </c>
    </row>
    <row r="214" spans="1:17" ht="12.75">
      <c r="A214" s="112"/>
      <c r="B214" s="112"/>
      <c r="C214" s="247" t="s">
        <v>427</v>
      </c>
      <c r="D214" s="345" t="s">
        <v>302</v>
      </c>
      <c r="E214" s="102"/>
      <c r="F214" s="328">
        <v>134975</v>
      </c>
      <c r="G214" s="15">
        <f>0+'táj.2'!G214</f>
        <v>0</v>
      </c>
      <c r="H214" s="15">
        <f>0+'táj.2'!H214</f>
        <v>0</v>
      </c>
      <c r="I214" s="15">
        <f>0+'táj.2'!I214</f>
        <v>0</v>
      </c>
      <c r="J214" s="15">
        <f>0+'táj.2'!J214</f>
        <v>0</v>
      </c>
      <c r="K214" s="15">
        <f>0+'táj.2'!K214</f>
        <v>0</v>
      </c>
      <c r="L214" s="15">
        <f>0+'táj.2'!L214</f>
        <v>0</v>
      </c>
      <c r="M214" s="15">
        <f>0+'táj.2'!M214</f>
        <v>0</v>
      </c>
      <c r="N214" s="15">
        <f>1500+'táj.2'!N214</f>
        <v>1500</v>
      </c>
      <c r="O214" s="15">
        <f>0+'táj.2'!O214</f>
        <v>0</v>
      </c>
      <c r="P214" s="15">
        <f>0+'táj.2'!P214</f>
        <v>0</v>
      </c>
      <c r="Q214" s="15">
        <f>SUM(G214:P214)</f>
        <v>1500</v>
      </c>
    </row>
    <row r="215" spans="1:17" ht="13.5">
      <c r="A215" s="112"/>
      <c r="B215" s="112"/>
      <c r="C215" s="254" t="s">
        <v>1290</v>
      </c>
      <c r="D215" s="369" t="s">
        <v>502</v>
      </c>
      <c r="E215" s="102"/>
      <c r="F215" s="328"/>
      <c r="G215" s="15"/>
      <c r="H215" s="105"/>
      <c r="I215" s="105"/>
      <c r="J215" s="15"/>
      <c r="K215" s="15"/>
      <c r="L215" s="15"/>
      <c r="M215" s="105"/>
      <c r="N215" s="15"/>
      <c r="O215" s="15"/>
      <c r="P215" s="105"/>
      <c r="Q215" s="15"/>
    </row>
    <row r="216" spans="1:17" ht="12.75">
      <c r="A216" s="112"/>
      <c r="B216" s="112"/>
      <c r="C216" s="247" t="s">
        <v>1292</v>
      </c>
      <c r="D216" s="346" t="s">
        <v>774</v>
      </c>
      <c r="E216" s="102"/>
      <c r="F216" s="328">
        <v>134964</v>
      </c>
      <c r="G216" s="15">
        <f>0+'táj.2'!G216</f>
        <v>0</v>
      </c>
      <c r="H216" s="15">
        <f>0+'táj.2'!H216</f>
        <v>0</v>
      </c>
      <c r="I216" s="15">
        <f>0+'táj.2'!I216</f>
        <v>0</v>
      </c>
      <c r="J216" s="15">
        <f>0+'táj.2'!J216</f>
        <v>0</v>
      </c>
      <c r="K216" s="15">
        <f>0+'táj.2'!K216</f>
        <v>0</v>
      </c>
      <c r="L216" s="15">
        <f>0+'táj.2'!L216</f>
        <v>0</v>
      </c>
      <c r="M216" s="15">
        <f>1580+'táj.2'!M216</f>
        <v>1580</v>
      </c>
      <c r="N216" s="15">
        <f>0+'táj.2'!N216</f>
        <v>0</v>
      </c>
      <c r="O216" s="15">
        <f>0+'táj.2'!O216</f>
        <v>0</v>
      </c>
      <c r="P216" s="15">
        <f>0+'táj.2'!P216</f>
        <v>0</v>
      </c>
      <c r="Q216" s="15">
        <f>SUM(G216:P216)</f>
        <v>1580</v>
      </c>
    </row>
    <row r="217" spans="1:17" ht="25.5">
      <c r="A217" s="112"/>
      <c r="B217" s="112"/>
      <c r="C217" s="247" t="s">
        <v>806</v>
      </c>
      <c r="D217" s="346" t="s">
        <v>1003</v>
      </c>
      <c r="E217" s="102"/>
      <c r="F217" s="328">
        <v>132974</v>
      </c>
      <c r="G217" s="15">
        <f>0+'táj.2'!G217</f>
        <v>0</v>
      </c>
      <c r="H217" s="15">
        <f>0+'táj.2'!H217</f>
        <v>0</v>
      </c>
      <c r="I217" s="15">
        <f>0+'táj.2'!I217</f>
        <v>0</v>
      </c>
      <c r="J217" s="15">
        <f>0+'táj.2'!J217</f>
        <v>0</v>
      </c>
      <c r="K217" s="15">
        <f>0+'táj.2'!K217</f>
        <v>0</v>
      </c>
      <c r="L217" s="15">
        <f>0+'táj.2'!L217</f>
        <v>0</v>
      </c>
      <c r="M217" s="15">
        <f>0+'táj.2'!M217</f>
        <v>0</v>
      </c>
      <c r="N217" s="15">
        <f>37039+'táj.2'!N217</f>
        <v>37039</v>
      </c>
      <c r="O217" s="15">
        <f>0+'táj.2'!O217</f>
        <v>0</v>
      </c>
      <c r="P217" s="15">
        <f>0+'táj.2'!P217</f>
        <v>0</v>
      </c>
      <c r="Q217" s="15">
        <f>SUM(G217:P217)</f>
        <v>37039</v>
      </c>
    </row>
    <row r="218" spans="1:17" ht="25.5">
      <c r="A218" s="112"/>
      <c r="B218" s="112"/>
      <c r="C218" s="247" t="s">
        <v>310</v>
      </c>
      <c r="D218" s="657" t="s">
        <v>311</v>
      </c>
      <c r="E218" s="102"/>
      <c r="F218" s="328">
        <v>132975</v>
      </c>
      <c r="G218" s="15">
        <f>0+'táj.2'!G218</f>
        <v>0</v>
      </c>
      <c r="H218" s="15">
        <f>0+'táj.2'!H218</f>
        <v>0</v>
      </c>
      <c r="I218" s="15">
        <f>0+'táj.2'!I218</f>
        <v>0</v>
      </c>
      <c r="J218" s="15">
        <f>0+'táj.2'!J218</f>
        <v>0</v>
      </c>
      <c r="K218" s="15">
        <f>0+'táj.2'!K218</f>
        <v>0</v>
      </c>
      <c r="L218" s="15">
        <f>3200+'táj.2'!L218</f>
        <v>3200</v>
      </c>
      <c r="M218" s="15">
        <f>0+'táj.2'!M218</f>
        <v>0</v>
      </c>
      <c r="N218" s="15">
        <f>0+'táj.2'!N218</f>
        <v>0</v>
      </c>
      <c r="O218" s="15">
        <f>0+'táj.2'!O218</f>
        <v>0</v>
      </c>
      <c r="P218" s="15">
        <f>0+'táj.2'!P218</f>
        <v>0</v>
      </c>
      <c r="Q218" s="15">
        <f>SUM(G218:P218)</f>
        <v>3200</v>
      </c>
    </row>
    <row r="219" spans="1:17" ht="12.75">
      <c r="A219" s="112"/>
      <c r="B219" s="112"/>
      <c r="C219" s="247" t="s">
        <v>1183</v>
      </c>
      <c r="D219" s="679" t="s">
        <v>1184</v>
      </c>
      <c r="E219" s="102"/>
      <c r="F219" s="328">
        <v>132977</v>
      </c>
      <c r="G219" s="15">
        <f>0+'táj.2'!G219</f>
        <v>0</v>
      </c>
      <c r="H219" s="15">
        <f>0+'táj.2'!H219</f>
        <v>0</v>
      </c>
      <c r="I219" s="15">
        <f>0+'táj.2'!I219</f>
        <v>0</v>
      </c>
      <c r="J219" s="15">
        <f>0+'táj.2'!J219</f>
        <v>0</v>
      </c>
      <c r="K219" s="15">
        <f>0+'táj.2'!K219</f>
        <v>0</v>
      </c>
      <c r="L219" s="15">
        <f>0+'táj.2'!L219</f>
        <v>0</v>
      </c>
      <c r="M219" s="15">
        <f>4000+'táj.2'!M219</f>
        <v>4000</v>
      </c>
      <c r="N219" s="15">
        <f>0+'táj.2'!N219</f>
        <v>0</v>
      </c>
      <c r="O219" s="15">
        <f>0+'táj.2'!O219</f>
        <v>0</v>
      </c>
      <c r="P219" s="15">
        <f>0+'táj.2'!P219</f>
        <v>0</v>
      </c>
      <c r="Q219" s="15">
        <f>SUM(G219:P219)</f>
        <v>4000</v>
      </c>
    </row>
    <row r="220" spans="1:17" ht="12.75">
      <c r="A220" s="112"/>
      <c r="B220" s="112"/>
      <c r="C220" s="247" t="s">
        <v>833</v>
      </c>
      <c r="D220" s="679" t="s">
        <v>834</v>
      </c>
      <c r="E220" s="102"/>
      <c r="F220" s="328">
        <v>132979</v>
      </c>
      <c r="G220" s="15">
        <f>0+'táj.2'!G220</f>
        <v>0</v>
      </c>
      <c r="H220" s="15">
        <f>0+'táj.2'!H220</f>
        <v>0</v>
      </c>
      <c r="I220" s="15">
        <f>0+'táj.2'!I220</f>
        <v>0</v>
      </c>
      <c r="J220" s="15">
        <f>0+'táj.2'!J220</f>
        <v>0</v>
      </c>
      <c r="K220" s="15">
        <f>0+'táj.2'!K220</f>
        <v>0</v>
      </c>
      <c r="L220" s="15">
        <f>0+'táj.2'!L220</f>
        <v>0</v>
      </c>
      <c r="M220" s="15">
        <f>353+'táj.2'!M220</f>
        <v>353</v>
      </c>
      <c r="N220" s="15">
        <f>0+'táj.2'!N220</f>
        <v>0</v>
      </c>
      <c r="O220" s="15">
        <f>0+'táj.2'!O220</f>
        <v>0</v>
      </c>
      <c r="P220" s="15">
        <f>0+'táj.2'!P220</f>
        <v>0</v>
      </c>
      <c r="Q220" s="15">
        <f>SUM(G220:P220)</f>
        <v>353</v>
      </c>
    </row>
    <row r="221" spans="1:17" ht="13.5">
      <c r="A221" s="112"/>
      <c r="B221" s="112"/>
      <c r="C221" s="112" t="s">
        <v>1252</v>
      </c>
      <c r="D221" s="560" t="s">
        <v>602</v>
      </c>
      <c r="E221" s="102"/>
      <c r="F221" s="328"/>
      <c r="G221" s="15"/>
      <c r="H221" s="105"/>
      <c r="I221" s="105"/>
      <c r="J221" s="15"/>
      <c r="K221" s="15"/>
      <c r="L221" s="15"/>
      <c r="M221" s="15"/>
      <c r="N221" s="15"/>
      <c r="O221" s="105"/>
      <c r="P221" s="105"/>
      <c r="Q221" s="15"/>
    </row>
    <row r="222" spans="1:17" ht="12">
      <c r="A222" s="112"/>
      <c r="B222" s="112"/>
      <c r="C222" s="100" t="s">
        <v>1249</v>
      </c>
      <c r="D222" s="340" t="s">
        <v>336</v>
      </c>
      <c r="E222" s="114"/>
      <c r="F222" s="113">
        <v>134976</v>
      </c>
      <c r="G222" s="15">
        <f>0+'táj.2'!G222</f>
        <v>0</v>
      </c>
      <c r="H222" s="15">
        <f>0+'táj.2'!H222</f>
        <v>0</v>
      </c>
      <c r="I222" s="15">
        <f>0+'táj.2'!I222</f>
        <v>0</v>
      </c>
      <c r="J222" s="15">
        <f>0+'táj.2'!J222</f>
        <v>0</v>
      </c>
      <c r="K222" s="15">
        <f>0+'táj.2'!K222</f>
        <v>0</v>
      </c>
      <c r="L222" s="15">
        <f>0+'táj.2'!L222</f>
        <v>0</v>
      </c>
      <c r="M222" s="15">
        <f>0+'táj.2'!M222</f>
        <v>0</v>
      </c>
      <c r="N222" s="15">
        <f>10000+'táj.2'!N222</f>
        <v>10000</v>
      </c>
      <c r="O222" s="15">
        <f>0+'táj.2'!O222</f>
        <v>0</v>
      </c>
      <c r="P222" s="15">
        <f>0+'táj.2'!P222</f>
        <v>0</v>
      </c>
      <c r="Q222" s="123">
        <f>SUM(G222:P222)</f>
        <v>10000</v>
      </c>
    </row>
    <row r="223" spans="1:17" ht="25.5">
      <c r="A223" s="112"/>
      <c r="B223" s="112"/>
      <c r="C223" s="100" t="s">
        <v>142</v>
      </c>
      <c r="D223" s="294" t="s">
        <v>629</v>
      </c>
      <c r="E223" s="114"/>
      <c r="F223" s="331">
        <v>134977</v>
      </c>
      <c r="G223" s="15">
        <f>0+'táj.2'!G223</f>
        <v>0</v>
      </c>
      <c r="H223" s="15">
        <f>0+'táj.2'!H223</f>
        <v>0</v>
      </c>
      <c r="I223" s="15">
        <f>0+'táj.2'!I223</f>
        <v>0</v>
      </c>
      <c r="J223" s="15">
        <f>0+'táj.2'!J223</f>
        <v>0</v>
      </c>
      <c r="K223" s="15">
        <f>0+'táj.2'!K223</f>
        <v>0</v>
      </c>
      <c r="L223" s="15">
        <f>0+'táj.2'!L223</f>
        <v>0</v>
      </c>
      <c r="M223" s="15">
        <f>0+'táj.2'!M223</f>
        <v>0</v>
      </c>
      <c r="N223" s="15">
        <f>500+'táj.2'!N223</f>
        <v>500</v>
      </c>
      <c r="O223" s="15">
        <f>0+'táj.2'!O223</f>
        <v>0</v>
      </c>
      <c r="P223" s="15">
        <f>0+'táj.2'!P223</f>
        <v>0</v>
      </c>
      <c r="Q223" s="123">
        <f>SUM(G223:P223)</f>
        <v>500</v>
      </c>
    </row>
    <row r="224" spans="1:17" ht="12">
      <c r="A224" s="112"/>
      <c r="B224" s="112"/>
      <c r="C224" s="247"/>
      <c r="D224" s="183" t="s">
        <v>421</v>
      </c>
      <c r="E224" s="102"/>
      <c r="F224" s="328"/>
      <c r="G224" s="15"/>
      <c r="H224" s="105"/>
      <c r="I224" s="105"/>
      <c r="J224" s="15"/>
      <c r="K224" s="15"/>
      <c r="L224" s="15"/>
      <c r="M224" s="105"/>
      <c r="N224" s="15"/>
      <c r="O224" s="15"/>
      <c r="P224" s="105"/>
      <c r="Q224" s="123">
        <f aca="true" t="shared" si="12" ref="Q224:Q230">SUM(G224:P224)</f>
        <v>0</v>
      </c>
    </row>
    <row r="225" spans="1:17" ht="25.5">
      <c r="A225" s="112"/>
      <c r="B225" s="112"/>
      <c r="C225" s="244" t="s">
        <v>987</v>
      </c>
      <c r="D225" s="327" t="s">
        <v>422</v>
      </c>
      <c r="E225" s="102"/>
      <c r="F225" s="328">
        <v>132919</v>
      </c>
      <c r="G225" s="15">
        <f>0+'táj.2'!G225</f>
        <v>0</v>
      </c>
      <c r="H225" s="15">
        <f>0+'táj.2'!H225</f>
        <v>0</v>
      </c>
      <c r="I225" s="15">
        <f>0+'táj.2'!I225</f>
        <v>0</v>
      </c>
      <c r="J225" s="15">
        <f>0+'táj.2'!J225</f>
        <v>0</v>
      </c>
      <c r="K225" s="15">
        <f>0+'táj.2'!K225</f>
        <v>0</v>
      </c>
      <c r="L225" s="15">
        <f>5256+'táj.2'!L225</f>
        <v>5256</v>
      </c>
      <c r="M225" s="15">
        <f>0+'táj.2'!M225</f>
        <v>0</v>
      </c>
      <c r="N225" s="15">
        <f>0+'táj.2'!N225</f>
        <v>0</v>
      </c>
      <c r="O225" s="15">
        <f>0+'táj.2'!O225</f>
        <v>0</v>
      </c>
      <c r="P225" s="15">
        <f>0+'táj.2'!P225</f>
        <v>0</v>
      </c>
      <c r="Q225" s="123">
        <f t="shared" si="12"/>
        <v>5256</v>
      </c>
    </row>
    <row r="226" spans="1:17" ht="16.5" customHeight="1">
      <c r="A226" s="112"/>
      <c r="B226" s="112"/>
      <c r="C226" s="244" t="s">
        <v>988</v>
      </c>
      <c r="D226" s="16" t="s">
        <v>423</v>
      </c>
      <c r="E226" s="102"/>
      <c r="F226" s="328">
        <v>134966</v>
      </c>
      <c r="G226" s="15">
        <f>0+'táj.2'!G226</f>
        <v>0</v>
      </c>
      <c r="H226" s="15">
        <f>0+'táj.2'!H226</f>
        <v>0</v>
      </c>
      <c r="I226" s="15">
        <f>0+'táj.2'!I226</f>
        <v>0</v>
      </c>
      <c r="J226" s="15">
        <f>0+'táj.2'!J226</f>
        <v>0</v>
      </c>
      <c r="K226" s="15">
        <f>0+'táj.2'!K226</f>
        <v>0</v>
      </c>
      <c r="L226" s="15">
        <f>186+'táj.2'!L226</f>
        <v>186</v>
      </c>
      <c r="M226" s="15">
        <f>6326+'táj.2'!M226</f>
        <v>6326</v>
      </c>
      <c r="N226" s="15">
        <f>0+'táj.2'!N226</f>
        <v>0</v>
      </c>
      <c r="O226" s="15">
        <f>0+'táj.2'!O226</f>
        <v>0</v>
      </c>
      <c r="P226" s="15">
        <f>0+'táj.2'!P226</f>
        <v>0</v>
      </c>
      <c r="Q226" s="123">
        <f t="shared" si="12"/>
        <v>6512</v>
      </c>
    </row>
    <row r="227" spans="1:17" ht="24">
      <c r="A227" s="112"/>
      <c r="B227" s="112"/>
      <c r="C227" s="244" t="s">
        <v>989</v>
      </c>
      <c r="D227" s="224" t="s">
        <v>426</v>
      </c>
      <c r="E227" s="102"/>
      <c r="F227" s="100">
        <v>132949</v>
      </c>
      <c r="G227" s="15">
        <f>0+'táj.2'!G227</f>
        <v>0</v>
      </c>
      <c r="H227" s="15">
        <f>0+'táj.2'!H227</f>
        <v>0</v>
      </c>
      <c r="I227" s="15">
        <f>0+'táj.2'!I227</f>
        <v>0</v>
      </c>
      <c r="J227" s="15">
        <f>0+'táj.2'!J227</f>
        <v>0</v>
      </c>
      <c r="K227" s="15">
        <f>0+'táj.2'!K227</f>
        <v>0</v>
      </c>
      <c r="L227" s="15">
        <f>0+'táj.2'!L227</f>
        <v>0</v>
      </c>
      <c r="M227" s="15">
        <f>0+'táj.2'!M227</f>
        <v>0</v>
      </c>
      <c r="N227" s="15">
        <f>10955+'táj.2'!N227</f>
        <v>10955</v>
      </c>
      <c r="O227" s="15">
        <f>0+'táj.2'!O227</f>
        <v>0</v>
      </c>
      <c r="P227" s="15">
        <f>0+'táj.2'!P227</f>
        <v>0</v>
      </c>
      <c r="Q227" s="123">
        <f t="shared" si="12"/>
        <v>10955</v>
      </c>
    </row>
    <row r="228" spans="1:17" ht="16.5" customHeight="1">
      <c r="A228" s="112"/>
      <c r="B228" s="112"/>
      <c r="C228" s="244" t="s">
        <v>1357</v>
      </c>
      <c r="D228" s="224" t="s">
        <v>424</v>
      </c>
      <c r="E228" s="102"/>
      <c r="F228" s="328">
        <v>132964</v>
      </c>
      <c r="G228" s="15">
        <f>0+'táj.2'!G228</f>
        <v>0</v>
      </c>
      <c r="H228" s="15">
        <f>0+'táj.2'!H228</f>
        <v>0</v>
      </c>
      <c r="I228" s="15">
        <f>0+'táj.2'!I228</f>
        <v>0</v>
      </c>
      <c r="J228" s="15">
        <f>0+'táj.2'!J228</f>
        <v>0</v>
      </c>
      <c r="K228" s="15">
        <f>0+'táj.2'!K228</f>
        <v>0</v>
      </c>
      <c r="L228" s="15">
        <f>9800+'táj.2'!L228</f>
        <v>9800</v>
      </c>
      <c r="M228" s="15">
        <f>0+'táj.2'!M228</f>
        <v>0</v>
      </c>
      <c r="N228" s="15">
        <f>0+'táj.2'!N228</f>
        <v>0</v>
      </c>
      <c r="O228" s="15">
        <f>0+'táj.2'!O228</f>
        <v>0</v>
      </c>
      <c r="P228" s="15">
        <f>0+'táj.2'!P228</f>
        <v>0</v>
      </c>
      <c r="Q228" s="123">
        <f t="shared" si="12"/>
        <v>9800</v>
      </c>
    </row>
    <row r="229" spans="1:17" ht="15.75" customHeight="1">
      <c r="A229" s="112"/>
      <c r="B229" s="112"/>
      <c r="C229" s="244" t="s">
        <v>1358</v>
      </c>
      <c r="D229" s="330" t="s">
        <v>921</v>
      </c>
      <c r="E229" s="102"/>
      <c r="F229" s="328">
        <v>132966</v>
      </c>
      <c r="G229" s="15">
        <f>0+'táj.2'!G229</f>
        <v>0</v>
      </c>
      <c r="H229" s="15">
        <f>0+'táj.2'!H229</f>
        <v>0</v>
      </c>
      <c r="I229" s="15">
        <f>0+'táj.2'!I229</f>
        <v>0</v>
      </c>
      <c r="J229" s="15">
        <f>0+'táj.2'!J229</f>
        <v>0</v>
      </c>
      <c r="K229" s="15">
        <f>0+'táj.2'!K229</f>
        <v>0</v>
      </c>
      <c r="L229" s="15">
        <f>6+'táj.2'!L229</f>
        <v>6</v>
      </c>
      <c r="M229" s="15">
        <f>1775+'táj.2'!M229</f>
        <v>1775</v>
      </c>
      <c r="N229" s="15">
        <f>0+'táj.2'!N229</f>
        <v>0</v>
      </c>
      <c r="O229" s="15">
        <f>0+'táj.2'!O229</f>
        <v>0</v>
      </c>
      <c r="P229" s="15">
        <f>0+'táj.2'!P229</f>
        <v>0</v>
      </c>
      <c r="Q229" s="123">
        <f t="shared" si="12"/>
        <v>1781</v>
      </c>
    </row>
    <row r="230" spans="1:17" ht="12.75">
      <c r="A230" s="112"/>
      <c r="B230" s="112"/>
      <c r="C230" s="244" t="s">
        <v>1359</v>
      </c>
      <c r="D230" s="330" t="s">
        <v>922</v>
      </c>
      <c r="E230" s="102"/>
      <c r="F230" s="328">
        <v>132967</v>
      </c>
      <c r="G230" s="15">
        <f>0+'táj.2'!G230</f>
        <v>0</v>
      </c>
      <c r="H230" s="15">
        <f>0+'táj.2'!H230</f>
        <v>0</v>
      </c>
      <c r="I230" s="15">
        <f>0+'táj.2'!I230</f>
        <v>0</v>
      </c>
      <c r="J230" s="15">
        <f>0+'táj.2'!J230</f>
        <v>0</v>
      </c>
      <c r="K230" s="15">
        <f>0+'táj.2'!K230</f>
        <v>0</v>
      </c>
      <c r="L230" s="15">
        <f>7000+'táj.2'!L230</f>
        <v>7000</v>
      </c>
      <c r="M230" s="15">
        <f>0+'táj.2'!M230</f>
        <v>0</v>
      </c>
      <c r="N230" s="15">
        <f>0+'táj.2'!N230</f>
        <v>0</v>
      </c>
      <c r="O230" s="15">
        <f>0+'táj.2'!O230</f>
        <v>0</v>
      </c>
      <c r="P230" s="15">
        <f>0+'táj.2'!P230</f>
        <v>0</v>
      </c>
      <c r="Q230" s="123">
        <f t="shared" si="12"/>
        <v>7000</v>
      </c>
    </row>
    <row r="231" spans="1:17" ht="27" customHeight="1">
      <c r="A231" s="112"/>
      <c r="B231" s="112"/>
      <c r="C231" s="244" t="s">
        <v>1360</v>
      </c>
      <c r="D231" s="347" t="s">
        <v>1335</v>
      </c>
      <c r="E231" s="102"/>
      <c r="F231" s="328">
        <v>132946</v>
      </c>
      <c r="G231" s="15">
        <f>0+'táj.2'!G231</f>
        <v>0</v>
      </c>
      <c r="H231" s="15">
        <f>0+'táj.2'!H231</f>
        <v>0</v>
      </c>
      <c r="I231" s="15">
        <f>0+'táj.2'!I231</f>
        <v>0</v>
      </c>
      <c r="J231" s="15">
        <f>0+'táj.2'!J231</f>
        <v>0</v>
      </c>
      <c r="K231" s="15">
        <f>0+'táj.2'!K231</f>
        <v>0</v>
      </c>
      <c r="L231" s="15">
        <f>0+'táj.2'!L231</f>
        <v>0</v>
      </c>
      <c r="M231" s="15">
        <f>0+'táj.2'!M231</f>
        <v>0</v>
      </c>
      <c r="N231" s="15">
        <f>10000+'táj.2'!N231</f>
        <v>10000</v>
      </c>
      <c r="O231" s="15">
        <f>0+'táj.2'!O231</f>
        <v>0</v>
      </c>
      <c r="P231" s="15">
        <f>0+'táj.2'!P231</f>
        <v>0</v>
      </c>
      <c r="Q231" s="15">
        <f>SUM(G231:P231)</f>
        <v>10000</v>
      </c>
    </row>
    <row r="232" spans="1:17" ht="36" customHeight="1">
      <c r="A232" s="112"/>
      <c r="B232" s="112"/>
      <c r="C232" s="244" t="s">
        <v>503</v>
      </c>
      <c r="D232" s="293" t="s">
        <v>977</v>
      </c>
      <c r="E232" s="102"/>
      <c r="F232" s="328">
        <v>132941</v>
      </c>
      <c r="G232" s="15">
        <f>0+'táj.2'!G232</f>
        <v>0</v>
      </c>
      <c r="H232" s="15">
        <f>0+'táj.2'!H232</f>
        <v>0</v>
      </c>
      <c r="I232" s="15">
        <f>0+'táj.2'!I232</f>
        <v>0</v>
      </c>
      <c r="J232" s="15">
        <f>0+'táj.2'!J232</f>
        <v>0</v>
      </c>
      <c r="K232" s="15">
        <f>0+'táj.2'!K232</f>
        <v>0</v>
      </c>
      <c r="L232" s="15">
        <f>0+'táj.2'!L232</f>
        <v>0</v>
      </c>
      <c r="M232" s="15">
        <f>0+'táj.2'!M232</f>
        <v>0</v>
      </c>
      <c r="N232" s="15">
        <f>2071+'táj.2'!N232</f>
        <v>2071</v>
      </c>
      <c r="O232" s="15">
        <f>0+'táj.2'!O232</f>
        <v>0</v>
      </c>
      <c r="P232" s="15">
        <f>0+'táj.2'!P232</f>
        <v>0</v>
      </c>
      <c r="Q232" s="15">
        <f>SUM(G232:P232)</f>
        <v>2071</v>
      </c>
    </row>
    <row r="233" spans="1:17" ht="14.25" customHeight="1">
      <c r="A233" s="112"/>
      <c r="B233" s="112"/>
      <c r="C233" s="244" t="s">
        <v>504</v>
      </c>
      <c r="D233" s="293" t="s">
        <v>1365</v>
      </c>
      <c r="E233" s="102"/>
      <c r="F233" s="328">
        <v>132911</v>
      </c>
      <c r="G233" s="15">
        <f>0+'táj.2'!G233</f>
        <v>0</v>
      </c>
      <c r="H233" s="15">
        <f>0+'táj.2'!H233</f>
        <v>0</v>
      </c>
      <c r="I233" s="15">
        <f>0+'táj.2'!I233</f>
        <v>0</v>
      </c>
      <c r="J233" s="15">
        <f>0+'táj.2'!J233</f>
        <v>0</v>
      </c>
      <c r="K233" s="15">
        <f>0+'táj.2'!K233</f>
        <v>0</v>
      </c>
      <c r="L233" s="15">
        <f>19715+'táj.2'!L233</f>
        <v>19715</v>
      </c>
      <c r="M233" s="15">
        <f>0+'táj.2'!M233</f>
        <v>0</v>
      </c>
      <c r="N233" s="15">
        <f>0+'táj.2'!N233</f>
        <v>0</v>
      </c>
      <c r="O233" s="15">
        <f>0+'táj.2'!O233</f>
        <v>0</v>
      </c>
      <c r="P233" s="15">
        <f>0+'táj.2'!P233</f>
        <v>0</v>
      </c>
      <c r="Q233" s="15">
        <f>SUM(G233:P233)</f>
        <v>19715</v>
      </c>
    </row>
    <row r="234" spans="1:17" ht="12.75" customHeight="1">
      <c r="A234" s="104"/>
      <c r="B234" s="104"/>
      <c r="C234" s="245"/>
      <c r="D234" s="177" t="s">
        <v>1488</v>
      </c>
      <c r="E234" s="107"/>
      <c r="F234" s="532"/>
      <c r="G234" s="111">
        <f aca="true" t="shared" si="13" ref="G234:Q234">SUM(G182:G233)</f>
        <v>3631</v>
      </c>
      <c r="H234" s="111">
        <f t="shared" si="13"/>
        <v>1549</v>
      </c>
      <c r="I234" s="111">
        <f t="shared" si="13"/>
        <v>67072</v>
      </c>
      <c r="J234" s="111">
        <f t="shared" si="13"/>
        <v>47253</v>
      </c>
      <c r="K234" s="111">
        <f t="shared" si="13"/>
        <v>602487</v>
      </c>
      <c r="L234" s="111">
        <f t="shared" si="13"/>
        <v>62642</v>
      </c>
      <c r="M234" s="111">
        <f t="shared" si="13"/>
        <v>61843</v>
      </c>
      <c r="N234" s="111">
        <f t="shared" si="13"/>
        <v>95857</v>
      </c>
      <c r="O234" s="111">
        <f t="shared" si="13"/>
        <v>0</v>
      </c>
      <c r="P234" s="111">
        <f t="shared" si="13"/>
        <v>0</v>
      </c>
      <c r="Q234" s="111">
        <f t="shared" si="13"/>
        <v>942334</v>
      </c>
    </row>
    <row r="235" spans="1:17" ht="12.75" customHeight="1">
      <c r="A235" s="112">
        <v>1</v>
      </c>
      <c r="B235" s="112">
        <v>14</v>
      </c>
      <c r="C235" s="247"/>
      <c r="D235" s="228" t="s">
        <v>459</v>
      </c>
      <c r="E235" s="109"/>
      <c r="F235" s="539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</row>
    <row r="236" spans="1:17" ht="12.75" customHeight="1">
      <c r="A236" s="112"/>
      <c r="B236" s="112"/>
      <c r="C236" s="247"/>
      <c r="D236" s="236" t="s">
        <v>117</v>
      </c>
      <c r="E236" s="109"/>
      <c r="F236" s="539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</row>
    <row r="237" spans="1:17" ht="12.75" customHeight="1">
      <c r="A237" s="112"/>
      <c r="B237" s="112"/>
      <c r="C237" s="247"/>
      <c r="D237" s="16" t="s">
        <v>461</v>
      </c>
      <c r="E237" s="15">
        <v>1</v>
      </c>
      <c r="F237" s="100">
        <v>171918</v>
      </c>
      <c r="G237" s="15">
        <f>0+'táj.2'!G237</f>
        <v>0</v>
      </c>
      <c r="H237" s="15">
        <f>0+'táj.2'!H237</f>
        <v>0</v>
      </c>
      <c r="I237" s="15">
        <f>3664+'táj.2'!I237</f>
        <v>3664</v>
      </c>
      <c r="J237" s="15">
        <f>0+'táj.2'!J237</f>
        <v>0</v>
      </c>
      <c r="K237" s="15">
        <f>0+'táj.2'!K237</f>
        <v>0</v>
      </c>
      <c r="L237" s="15">
        <f>0+'táj.2'!L237</f>
        <v>0</v>
      </c>
      <c r="M237" s="15">
        <f>0+'táj.2'!M237</f>
        <v>0</v>
      </c>
      <c r="N237" s="15">
        <f>0+'táj.2'!N237</f>
        <v>0</v>
      </c>
      <c r="O237" s="15">
        <f>0+'táj.2'!O237</f>
        <v>0</v>
      </c>
      <c r="P237" s="15">
        <f>0+'táj.2'!P237</f>
        <v>0</v>
      </c>
      <c r="Q237" s="15">
        <f>SUM(I237:P237)</f>
        <v>3664</v>
      </c>
    </row>
    <row r="238" spans="1:17" ht="12.75" customHeight="1">
      <c r="A238" s="112"/>
      <c r="B238" s="112"/>
      <c r="C238" s="247"/>
      <c r="D238" s="16" t="s">
        <v>458</v>
      </c>
      <c r="E238" s="15">
        <v>1</v>
      </c>
      <c r="F238" s="100">
        <v>171926</v>
      </c>
      <c r="G238" s="15">
        <f>0+'táj.2'!G238</f>
        <v>0</v>
      </c>
      <c r="H238" s="15">
        <f>0+'táj.2'!H238</f>
        <v>0</v>
      </c>
      <c r="I238" s="15">
        <f>1000+'táj.2'!I238</f>
        <v>1000</v>
      </c>
      <c r="J238" s="15">
        <f>0+'táj.2'!J238</f>
        <v>0</v>
      </c>
      <c r="K238" s="15">
        <f>0+'táj.2'!K238</f>
        <v>0</v>
      </c>
      <c r="L238" s="15">
        <f>0+'táj.2'!L238</f>
        <v>0</v>
      </c>
      <c r="M238" s="15">
        <f>0+'táj.2'!M238</f>
        <v>0</v>
      </c>
      <c r="N238" s="15">
        <f>0+'táj.2'!N238</f>
        <v>0</v>
      </c>
      <c r="O238" s="15">
        <f>0+'táj.2'!O238</f>
        <v>0</v>
      </c>
      <c r="P238" s="15">
        <f>0+'táj.2'!P238</f>
        <v>0</v>
      </c>
      <c r="Q238" s="15">
        <f aca="true" t="shared" si="14" ref="Q238:Q246">SUM(I238:P238)</f>
        <v>1000</v>
      </c>
    </row>
    <row r="239" spans="1:17" ht="12.75" customHeight="1">
      <c r="A239" s="112"/>
      <c r="B239" s="112"/>
      <c r="C239" s="247"/>
      <c r="D239" s="16" t="s">
        <v>27</v>
      </c>
      <c r="E239" s="102">
        <v>1</v>
      </c>
      <c r="F239" s="328">
        <v>171967</v>
      </c>
      <c r="G239" s="15">
        <f>0+'táj.2'!G239</f>
        <v>0</v>
      </c>
      <c r="H239" s="15">
        <f>0+'táj.2'!H239</f>
        <v>0</v>
      </c>
      <c r="I239" s="15">
        <f>5481+'táj.2'!I239</f>
        <v>5481</v>
      </c>
      <c r="J239" s="15">
        <f>0+'táj.2'!J239</f>
        <v>0</v>
      </c>
      <c r="K239" s="15">
        <f>0+'táj.2'!K239</f>
        <v>0</v>
      </c>
      <c r="L239" s="15">
        <f>0+'táj.2'!L239</f>
        <v>0</v>
      </c>
      <c r="M239" s="15">
        <f>0+'táj.2'!M239</f>
        <v>0</v>
      </c>
      <c r="N239" s="15">
        <f>0+'táj.2'!N239</f>
        <v>0</v>
      </c>
      <c r="O239" s="15">
        <f>0+'táj.2'!O239</f>
        <v>0</v>
      </c>
      <c r="P239" s="15">
        <f>0+'táj.2'!P239</f>
        <v>0</v>
      </c>
      <c r="Q239" s="15">
        <f t="shared" si="14"/>
        <v>5481</v>
      </c>
    </row>
    <row r="240" spans="1:17" ht="22.5" customHeight="1">
      <c r="A240" s="112"/>
      <c r="B240" s="112"/>
      <c r="C240" s="247"/>
      <c r="D240" s="224" t="s">
        <v>1419</v>
      </c>
      <c r="E240" s="102">
        <v>1</v>
      </c>
      <c r="F240" s="328">
        <v>171922</v>
      </c>
      <c r="G240" s="15">
        <f>0+'táj.2'!G240</f>
        <v>0</v>
      </c>
      <c r="H240" s="15">
        <f>0+'táj.2'!H240</f>
        <v>0</v>
      </c>
      <c r="I240" s="15">
        <f>636+'táj.2'!I240</f>
        <v>636</v>
      </c>
      <c r="J240" s="15">
        <f>0+'táj.2'!J240</f>
        <v>0</v>
      </c>
      <c r="K240" s="15">
        <f>0+'táj.2'!K240</f>
        <v>0</v>
      </c>
      <c r="L240" s="15">
        <f>0+'táj.2'!L240</f>
        <v>0</v>
      </c>
      <c r="M240" s="15">
        <f>0+'táj.2'!M240</f>
        <v>0</v>
      </c>
      <c r="N240" s="15">
        <f>0+'táj.2'!N240</f>
        <v>0</v>
      </c>
      <c r="O240" s="15">
        <f>0+'táj.2'!O240</f>
        <v>0</v>
      </c>
      <c r="P240" s="15">
        <f>0+'táj.2'!P240</f>
        <v>0</v>
      </c>
      <c r="Q240" s="15">
        <f t="shared" si="14"/>
        <v>636</v>
      </c>
    </row>
    <row r="241" spans="1:17" ht="12.75" customHeight="1">
      <c r="A241" s="104"/>
      <c r="B241" s="104"/>
      <c r="C241" s="245"/>
      <c r="D241" s="106" t="s">
        <v>978</v>
      </c>
      <c r="E241" s="229"/>
      <c r="F241" s="520"/>
      <c r="G241" s="111"/>
      <c r="H241" s="111"/>
      <c r="I241" s="230">
        <f>SUM(I237:I240)</f>
        <v>10781</v>
      </c>
      <c r="J241" s="230">
        <f aca="true" t="shared" si="15" ref="J241:Q241">SUM(J237:J240)</f>
        <v>0</v>
      </c>
      <c r="K241" s="230">
        <f t="shared" si="15"/>
        <v>0</v>
      </c>
      <c r="L241" s="230">
        <f t="shared" si="15"/>
        <v>0</v>
      </c>
      <c r="M241" s="230">
        <f t="shared" si="15"/>
        <v>0</v>
      </c>
      <c r="N241" s="230">
        <f t="shared" si="15"/>
        <v>0</v>
      </c>
      <c r="O241" s="230">
        <f t="shared" si="15"/>
        <v>0</v>
      </c>
      <c r="P241" s="230">
        <f t="shared" si="15"/>
        <v>0</v>
      </c>
      <c r="Q241" s="230">
        <f t="shared" si="15"/>
        <v>10781</v>
      </c>
    </row>
    <row r="242" spans="1:17" ht="12.75" customHeight="1">
      <c r="A242" s="112"/>
      <c r="B242" s="112"/>
      <c r="C242" s="247"/>
      <c r="D242" s="183" t="s">
        <v>976</v>
      </c>
      <c r="E242" s="102"/>
      <c r="F242" s="328"/>
      <c r="G242" s="105"/>
      <c r="H242" s="10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1:17" ht="15" customHeight="1">
      <c r="A243" s="112"/>
      <c r="B243" s="112"/>
      <c r="C243" s="247" t="s">
        <v>1288</v>
      </c>
      <c r="D243" s="277" t="s">
        <v>469</v>
      </c>
      <c r="E243" s="102"/>
      <c r="F243" s="328">
        <v>172919</v>
      </c>
      <c r="G243" s="15">
        <f>0+'táj.2'!G243</f>
        <v>0</v>
      </c>
      <c r="H243" s="15">
        <f>0+'táj.2'!H243</f>
        <v>0</v>
      </c>
      <c r="I243" s="15">
        <f>0+'táj.2'!I243</f>
        <v>0</v>
      </c>
      <c r="J243" s="15">
        <f>0+'táj.2'!J243</f>
        <v>0</v>
      </c>
      <c r="K243" s="15">
        <f>0+'táj.2'!K243</f>
        <v>0</v>
      </c>
      <c r="L243" s="15">
        <f>1800+'táj.2'!L243</f>
        <v>1800</v>
      </c>
      <c r="M243" s="15">
        <f>0+'táj.2'!M243</f>
        <v>0</v>
      </c>
      <c r="N243" s="15">
        <f>0+'táj.2'!N243</f>
        <v>0</v>
      </c>
      <c r="O243" s="15">
        <f>0+'táj.2'!O243</f>
        <v>0</v>
      </c>
      <c r="P243" s="15">
        <f>0+'táj.2'!P243</f>
        <v>0</v>
      </c>
      <c r="Q243" s="15">
        <f>SUM(L243:P243)</f>
        <v>1800</v>
      </c>
    </row>
    <row r="244" spans="1:17" ht="12.75" customHeight="1">
      <c r="A244" s="112"/>
      <c r="B244" s="112"/>
      <c r="C244" s="247"/>
      <c r="D244" s="255" t="s">
        <v>421</v>
      </c>
      <c r="E244" s="102"/>
      <c r="F244" s="328"/>
      <c r="G244" s="15"/>
      <c r="H244" s="10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1:17" ht="12.75" customHeight="1">
      <c r="A245" s="112"/>
      <c r="B245" s="112"/>
      <c r="C245" s="244" t="s">
        <v>1060</v>
      </c>
      <c r="D245" s="255" t="s">
        <v>102</v>
      </c>
      <c r="E245" s="102"/>
      <c r="F245" s="328">
        <v>162650</v>
      </c>
      <c r="G245" s="15">
        <f>0+'táj.2'!G245</f>
        <v>0</v>
      </c>
      <c r="H245" s="15">
        <f>0+'táj.2'!H245</f>
        <v>0</v>
      </c>
      <c r="I245" s="15">
        <f>0+'táj.2'!I245</f>
        <v>0</v>
      </c>
      <c r="J245" s="15">
        <f>0+'táj.2'!J245</f>
        <v>0</v>
      </c>
      <c r="K245" s="15">
        <f>0+'táj.2'!K245</f>
        <v>0</v>
      </c>
      <c r="L245" s="15">
        <f>26498+'táj.2'!L245</f>
        <v>26498</v>
      </c>
      <c r="M245" s="15">
        <f>0+'táj.2'!M245</f>
        <v>0</v>
      </c>
      <c r="N245" s="15">
        <f>0+'táj.2'!N245</f>
        <v>0</v>
      </c>
      <c r="O245" s="15">
        <f>0+'táj.2'!O245</f>
        <v>0</v>
      </c>
      <c r="P245" s="15">
        <f>0+'táj.2'!P245</f>
        <v>0</v>
      </c>
      <c r="Q245" s="15">
        <f t="shared" si="14"/>
        <v>26498</v>
      </c>
    </row>
    <row r="246" spans="1:17" ht="12.75" customHeight="1">
      <c r="A246" s="112"/>
      <c r="B246" s="112"/>
      <c r="C246" s="244" t="s">
        <v>1061</v>
      </c>
      <c r="D246" s="255" t="s">
        <v>779</v>
      </c>
      <c r="E246" s="102"/>
      <c r="F246" s="328">
        <v>162674</v>
      </c>
      <c r="G246" s="15">
        <f>0+'táj.2'!G246</f>
        <v>0</v>
      </c>
      <c r="H246" s="15">
        <f>0+'táj.2'!H246</f>
        <v>0</v>
      </c>
      <c r="I246" s="15">
        <f>334895+'táj.2'!I246</f>
        <v>334895</v>
      </c>
      <c r="J246" s="15">
        <f>0+'táj.2'!J246</f>
        <v>0</v>
      </c>
      <c r="K246" s="15">
        <f>0+'táj.2'!K246</f>
        <v>0</v>
      </c>
      <c r="L246" s="15">
        <f>1202992+'táj.2'!L246</f>
        <v>1202992</v>
      </c>
      <c r="M246" s="15">
        <f>0+'táj.2'!M246</f>
        <v>0</v>
      </c>
      <c r="N246" s="15">
        <f>0+'táj.2'!N246</f>
        <v>0</v>
      </c>
      <c r="O246" s="15">
        <f>0+'táj.2'!O246</f>
        <v>0</v>
      </c>
      <c r="P246" s="15">
        <f>0+'táj.2'!P246</f>
        <v>0</v>
      </c>
      <c r="Q246" s="15">
        <f t="shared" si="14"/>
        <v>1537887</v>
      </c>
    </row>
    <row r="247" spans="1:17" ht="12.75" customHeight="1">
      <c r="A247" s="112"/>
      <c r="B247" s="112"/>
      <c r="C247" s="244" t="s">
        <v>1062</v>
      </c>
      <c r="D247" s="209" t="s">
        <v>206</v>
      </c>
      <c r="E247" s="114"/>
      <c r="F247" s="331">
        <v>164903</v>
      </c>
      <c r="G247" s="15">
        <f>0+'táj.2'!G247</f>
        <v>0</v>
      </c>
      <c r="H247" s="15">
        <f>0+'táj.2'!H247</f>
        <v>0</v>
      </c>
      <c r="I247" s="15">
        <f>14+'táj.2'!I247</f>
        <v>14</v>
      </c>
      <c r="J247" s="15">
        <f>0+'táj.2'!J247</f>
        <v>0</v>
      </c>
      <c r="K247" s="15">
        <f>0+'táj.2'!K247</f>
        <v>0</v>
      </c>
      <c r="L247" s="15">
        <f>0+'táj.2'!L247</f>
        <v>0</v>
      </c>
      <c r="M247" s="15">
        <f>0+'táj.2'!M247</f>
        <v>0</v>
      </c>
      <c r="N247" s="15">
        <f>2986+'táj.2'!N247</f>
        <v>2986</v>
      </c>
      <c r="O247" s="15">
        <f>0+'táj.2'!O247</f>
        <v>0</v>
      </c>
      <c r="P247" s="15">
        <f>0+'táj.2'!P247</f>
        <v>0</v>
      </c>
      <c r="Q247" s="18">
        <f>SUM(G247:P247)</f>
        <v>3000</v>
      </c>
    </row>
    <row r="248" spans="1:17" ht="12.75" customHeight="1">
      <c r="A248" s="104"/>
      <c r="B248" s="104"/>
      <c r="C248" s="245"/>
      <c r="D248" s="106" t="s">
        <v>460</v>
      </c>
      <c r="E248" s="229"/>
      <c r="F248" s="520"/>
      <c r="G248" s="111">
        <f aca="true" t="shared" si="16" ref="G248:Q248">SUM(G241:G247)</f>
        <v>0</v>
      </c>
      <c r="H248" s="111">
        <f t="shared" si="16"/>
        <v>0</v>
      </c>
      <c r="I248" s="111">
        <f t="shared" si="16"/>
        <v>345690</v>
      </c>
      <c r="J248" s="111">
        <f t="shared" si="16"/>
        <v>0</v>
      </c>
      <c r="K248" s="111">
        <f t="shared" si="16"/>
        <v>0</v>
      </c>
      <c r="L248" s="111">
        <f t="shared" si="16"/>
        <v>1231290</v>
      </c>
      <c r="M248" s="111">
        <f t="shared" si="16"/>
        <v>0</v>
      </c>
      <c r="N248" s="111">
        <f t="shared" si="16"/>
        <v>2986</v>
      </c>
      <c r="O248" s="111">
        <f t="shared" si="16"/>
        <v>0</v>
      </c>
      <c r="P248" s="111">
        <f t="shared" si="16"/>
        <v>0</v>
      </c>
      <c r="Q248" s="111">
        <f t="shared" si="16"/>
        <v>1579966</v>
      </c>
    </row>
    <row r="249" spans="1:17" ht="13.5" customHeight="1">
      <c r="A249" s="113">
        <v>1</v>
      </c>
      <c r="B249" s="113">
        <v>15</v>
      </c>
      <c r="C249" s="248"/>
      <c r="D249" s="21" t="s">
        <v>817</v>
      </c>
      <c r="E249" s="114"/>
      <c r="F249" s="331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</row>
    <row r="250" spans="1:17" ht="13.5" customHeight="1">
      <c r="A250" s="113"/>
      <c r="B250" s="113"/>
      <c r="C250" s="248"/>
      <c r="D250" s="221" t="s">
        <v>80</v>
      </c>
      <c r="E250" s="114"/>
      <c r="F250" s="331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</row>
    <row r="251" spans="1:17" ht="13.5" customHeight="1">
      <c r="A251" s="113"/>
      <c r="B251" s="113"/>
      <c r="C251" s="248"/>
      <c r="D251" s="17" t="s">
        <v>819</v>
      </c>
      <c r="E251" s="18">
        <v>1</v>
      </c>
      <c r="F251" s="113">
        <v>151502</v>
      </c>
      <c r="G251" s="18">
        <f>55+'táj.2'!G251</f>
        <v>55</v>
      </c>
      <c r="H251" s="18">
        <f>36+'táj.2'!H251</f>
        <v>36</v>
      </c>
      <c r="I251" s="18">
        <f>17774+'táj.2'!I251</f>
        <v>18920</v>
      </c>
      <c r="J251" s="18">
        <f>0+'táj.2'!J251</f>
        <v>0</v>
      </c>
      <c r="K251" s="18">
        <f>0+'táj.2'!K251</f>
        <v>0</v>
      </c>
      <c r="L251" s="18">
        <f>0+'táj.2'!L251</f>
        <v>0</v>
      </c>
      <c r="M251" s="18">
        <f>0+'táj.2'!M251</f>
        <v>0</v>
      </c>
      <c r="N251" s="18">
        <f>0+'táj.2'!N251</f>
        <v>0</v>
      </c>
      <c r="O251" s="18">
        <f>0+'táj.2'!O251</f>
        <v>0</v>
      </c>
      <c r="P251" s="18">
        <f>0+'táj.2'!P251</f>
        <v>0</v>
      </c>
      <c r="Q251" s="18">
        <f aca="true" t="shared" si="17" ref="Q251:Q276">SUM(G251:P251)</f>
        <v>19011</v>
      </c>
    </row>
    <row r="252" spans="1:17" ht="13.5" customHeight="1">
      <c r="A252" s="113"/>
      <c r="B252" s="113"/>
      <c r="C252" s="248"/>
      <c r="D252" s="17" t="s">
        <v>844</v>
      </c>
      <c r="E252" s="18">
        <v>1</v>
      </c>
      <c r="F252" s="113">
        <v>151504</v>
      </c>
      <c r="G252" s="18">
        <f>0+'táj.2'!G252</f>
        <v>0</v>
      </c>
      <c r="H252" s="18">
        <f>0+'táj.2'!H252</f>
        <v>0</v>
      </c>
      <c r="I252" s="18">
        <f>116620+'táj.2'!I252</f>
        <v>116620</v>
      </c>
      <c r="J252" s="18">
        <f>0+'táj.2'!J252</f>
        <v>0</v>
      </c>
      <c r="K252" s="18">
        <f>0+'táj.2'!K252</f>
        <v>0</v>
      </c>
      <c r="L252" s="18">
        <f>0+'táj.2'!L252</f>
        <v>0</v>
      </c>
      <c r="M252" s="18">
        <f>0+'táj.2'!M252</f>
        <v>0</v>
      </c>
      <c r="N252" s="18">
        <f>0+'táj.2'!N252</f>
        <v>0</v>
      </c>
      <c r="O252" s="18">
        <f>0+'táj.2'!O252</f>
        <v>0</v>
      </c>
      <c r="P252" s="18">
        <f>0+'táj.2'!P252</f>
        <v>0</v>
      </c>
      <c r="Q252" s="18">
        <f t="shared" si="17"/>
        <v>116620</v>
      </c>
    </row>
    <row r="253" spans="1:17" ht="13.5" customHeight="1">
      <c r="A253" s="113"/>
      <c r="B253" s="113"/>
      <c r="C253" s="248"/>
      <c r="D253" s="115" t="s">
        <v>1023</v>
      </c>
      <c r="E253" s="18">
        <v>1</v>
      </c>
      <c r="F253" s="113">
        <v>151501</v>
      </c>
      <c r="G253" s="18">
        <f>0+'táj.2'!G253</f>
        <v>0</v>
      </c>
      <c r="H253" s="18">
        <f>0+'táj.2'!H253</f>
        <v>0</v>
      </c>
      <c r="I253" s="18">
        <f>11746+'táj.2'!I253</f>
        <v>11746</v>
      </c>
      <c r="J253" s="18">
        <f>0+'táj.2'!J253</f>
        <v>0</v>
      </c>
      <c r="K253" s="18">
        <f>0+'táj.2'!K253</f>
        <v>0</v>
      </c>
      <c r="L253" s="18">
        <f>0+'táj.2'!L253</f>
        <v>0</v>
      </c>
      <c r="M253" s="18">
        <f>0+'táj.2'!M253</f>
        <v>0</v>
      </c>
      <c r="N253" s="18">
        <f>0+'táj.2'!N253</f>
        <v>0</v>
      </c>
      <c r="O253" s="18">
        <f>0+'táj.2'!O253</f>
        <v>0</v>
      </c>
      <c r="P253" s="18">
        <f>0+'táj.2'!P253</f>
        <v>0</v>
      </c>
      <c r="Q253" s="18">
        <f t="shared" si="17"/>
        <v>11746</v>
      </c>
    </row>
    <row r="254" spans="1:17" ht="13.5" customHeight="1">
      <c r="A254" s="113"/>
      <c r="B254" s="113"/>
      <c r="C254" s="248"/>
      <c r="D254" s="115" t="s">
        <v>565</v>
      </c>
      <c r="E254" s="18">
        <v>1</v>
      </c>
      <c r="F254" s="113">
        <v>151905</v>
      </c>
      <c r="G254" s="18">
        <f>0+'táj.2'!G254</f>
        <v>0</v>
      </c>
      <c r="H254" s="18">
        <f>0+'táj.2'!H254</f>
        <v>0</v>
      </c>
      <c r="I254" s="18">
        <f>614+'táj.2'!I254</f>
        <v>614</v>
      </c>
      <c r="J254" s="18">
        <f>0+'táj.2'!J254</f>
        <v>0</v>
      </c>
      <c r="K254" s="18">
        <f>0+'táj.2'!K254</f>
        <v>0</v>
      </c>
      <c r="L254" s="18">
        <f>939+'táj.2'!L254</f>
        <v>939</v>
      </c>
      <c r="M254" s="18">
        <f>0+'táj.2'!M254</f>
        <v>0</v>
      </c>
      <c r="N254" s="18">
        <f>0+'táj.2'!N254</f>
        <v>0</v>
      </c>
      <c r="O254" s="18">
        <f>0+'táj.2'!O254</f>
        <v>0</v>
      </c>
      <c r="P254" s="18">
        <f>0+'táj.2'!P254</f>
        <v>0</v>
      </c>
      <c r="Q254" s="18">
        <f t="shared" si="17"/>
        <v>1553</v>
      </c>
    </row>
    <row r="255" spans="1:17" ht="13.5" customHeight="1">
      <c r="A255" s="113"/>
      <c r="B255" s="113"/>
      <c r="C255" s="248"/>
      <c r="D255" s="115" t="s">
        <v>845</v>
      </c>
      <c r="E255" s="18">
        <v>2</v>
      </c>
      <c r="F255" s="113">
        <v>151503</v>
      </c>
      <c r="G255" s="18">
        <f>0+'táj.2'!G255</f>
        <v>0</v>
      </c>
      <c r="H255" s="18">
        <f>0+'táj.2'!H255</f>
        <v>0</v>
      </c>
      <c r="I255" s="18">
        <f>2000+'táj.2'!I255</f>
        <v>2000</v>
      </c>
      <c r="J255" s="18">
        <f>0+'táj.2'!J255</f>
        <v>0</v>
      </c>
      <c r="K255" s="18">
        <f>0+'táj.2'!K255</f>
        <v>0</v>
      </c>
      <c r="L255" s="18">
        <f>0+'táj.2'!L255</f>
        <v>0</v>
      </c>
      <c r="M255" s="18">
        <f>0+'táj.2'!M255</f>
        <v>0</v>
      </c>
      <c r="N255" s="18">
        <f>0+'táj.2'!N255</f>
        <v>0</v>
      </c>
      <c r="O255" s="18">
        <f>0+'táj.2'!O255</f>
        <v>0</v>
      </c>
      <c r="P255" s="18">
        <f>0+'táj.2'!P255</f>
        <v>0</v>
      </c>
      <c r="Q255" s="18">
        <f t="shared" si="17"/>
        <v>2000</v>
      </c>
    </row>
    <row r="256" spans="1:17" ht="13.5" customHeight="1">
      <c r="A256" s="113"/>
      <c r="B256" s="113"/>
      <c r="C256" s="248"/>
      <c r="D256" s="115" t="s">
        <v>846</v>
      </c>
      <c r="E256" s="18">
        <v>2</v>
      </c>
      <c r="F256" s="113">
        <v>151507</v>
      </c>
      <c r="G256" s="18">
        <f>0+'táj.2'!G256</f>
        <v>0</v>
      </c>
      <c r="H256" s="18">
        <f>0+'táj.2'!H256</f>
        <v>0</v>
      </c>
      <c r="I256" s="18">
        <f>2389+'táj.2'!I256</f>
        <v>2389</v>
      </c>
      <c r="J256" s="18">
        <f>0+'táj.2'!J256</f>
        <v>0</v>
      </c>
      <c r="K256" s="18">
        <f>0+'táj.2'!K256</f>
        <v>0</v>
      </c>
      <c r="L256" s="18">
        <f>0+'táj.2'!L256</f>
        <v>0</v>
      </c>
      <c r="M256" s="18">
        <f>0+'táj.2'!M256</f>
        <v>0</v>
      </c>
      <c r="N256" s="18">
        <f>0+'táj.2'!N256</f>
        <v>0</v>
      </c>
      <c r="O256" s="18">
        <f>0+'táj.2'!O256</f>
        <v>0</v>
      </c>
      <c r="P256" s="18">
        <f>0+'táj.2'!P256</f>
        <v>0</v>
      </c>
      <c r="Q256" s="18">
        <f t="shared" si="17"/>
        <v>2389</v>
      </c>
    </row>
    <row r="257" spans="1:17" ht="13.5" customHeight="1">
      <c r="A257" s="113"/>
      <c r="B257" s="113"/>
      <c r="C257" s="248"/>
      <c r="D257" s="115" t="s">
        <v>847</v>
      </c>
      <c r="E257" s="18">
        <v>2</v>
      </c>
      <c r="F257" s="113">
        <v>151509</v>
      </c>
      <c r="G257" s="18">
        <f>0+'táj.2'!G257</f>
        <v>0</v>
      </c>
      <c r="H257" s="18">
        <f>0+'táj.2'!H257</f>
        <v>0</v>
      </c>
      <c r="I257" s="18">
        <f>267+'táj.2'!I257</f>
        <v>267</v>
      </c>
      <c r="J257" s="18">
        <f>0+'táj.2'!J257</f>
        <v>0</v>
      </c>
      <c r="K257" s="18">
        <f>0+'táj.2'!K257</f>
        <v>0</v>
      </c>
      <c r="L257" s="18">
        <f>0+'táj.2'!L257</f>
        <v>0</v>
      </c>
      <c r="M257" s="18">
        <f>0+'táj.2'!M257</f>
        <v>0</v>
      </c>
      <c r="N257" s="18">
        <f>0+'táj.2'!N257</f>
        <v>0</v>
      </c>
      <c r="O257" s="18">
        <f>0+'táj.2'!O257</f>
        <v>0</v>
      </c>
      <c r="P257" s="18">
        <f>0+'táj.2'!P257</f>
        <v>0</v>
      </c>
      <c r="Q257" s="18">
        <f t="shared" si="17"/>
        <v>267</v>
      </c>
    </row>
    <row r="258" spans="1:17" ht="13.5" customHeight="1">
      <c r="A258" s="113"/>
      <c r="B258" s="113"/>
      <c r="C258" s="248"/>
      <c r="D258" s="115" t="s">
        <v>1024</v>
      </c>
      <c r="E258" s="18">
        <v>1</v>
      </c>
      <c r="F258" s="113">
        <v>151510</v>
      </c>
      <c r="G258" s="18">
        <f>0+'táj.2'!G258</f>
        <v>0</v>
      </c>
      <c r="H258" s="18">
        <f>0+'táj.2'!H258</f>
        <v>0</v>
      </c>
      <c r="I258" s="18">
        <f>4500+'táj.2'!I258</f>
        <v>4500</v>
      </c>
      <c r="J258" s="18">
        <f>0+'táj.2'!J258</f>
        <v>0</v>
      </c>
      <c r="K258" s="18">
        <f>0+'táj.2'!K258</f>
        <v>0</v>
      </c>
      <c r="L258" s="18">
        <f>0+'táj.2'!L258</f>
        <v>0</v>
      </c>
      <c r="M258" s="18">
        <f>0+'táj.2'!M258</f>
        <v>0</v>
      </c>
      <c r="N258" s="18">
        <f>0+'táj.2'!N258</f>
        <v>0</v>
      </c>
      <c r="O258" s="18">
        <f>0+'táj.2'!O258</f>
        <v>0</v>
      </c>
      <c r="P258" s="18">
        <f>0+'táj.2'!P258</f>
        <v>0</v>
      </c>
      <c r="Q258" s="18">
        <f t="shared" si="17"/>
        <v>4500</v>
      </c>
    </row>
    <row r="259" spans="1:17" ht="13.5" customHeight="1">
      <c r="A259" s="113"/>
      <c r="B259" s="113"/>
      <c r="C259" s="248"/>
      <c r="D259" s="323" t="s">
        <v>403</v>
      </c>
      <c r="E259" s="18">
        <v>1</v>
      </c>
      <c r="F259" s="113">
        <v>151520</v>
      </c>
      <c r="G259" s="18">
        <f>0+'táj.2'!G259</f>
        <v>0</v>
      </c>
      <c r="H259" s="18">
        <f>0+'táj.2'!H259</f>
        <v>0</v>
      </c>
      <c r="I259" s="18">
        <f>1000+'táj.2'!I259</f>
        <v>1000</v>
      </c>
      <c r="J259" s="18">
        <f>0+'táj.2'!J259</f>
        <v>0</v>
      </c>
      <c r="K259" s="18">
        <f>0+'táj.2'!K259</f>
        <v>0</v>
      </c>
      <c r="L259" s="18">
        <f>0+'táj.2'!L259</f>
        <v>0</v>
      </c>
      <c r="M259" s="18">
        <f>0+'táj.2'!M259</f>
        <v>0</v>
      </c>
      <c r="N259" s="18">
        <f>0+'táj.2'!N259</f>
        <v>0</v>
      </c>
      <c r="O259" s="18">
        <f>0+'táj.2'!O259</f>
        <v>0</v>
      </c>
      <c r="P259" s="18">
        <f>0+'táj.2'!P259</f>
        <v>0</v>
      </c>
      <c r="Q259" s="18">
        <f t="shared" si="17"/>
        <v>1000</v>
      </c>
    </row>
    <row r="260" spans="1:17" ht="13.5" customHeight="1">
      <c r="A260" s="113"/>
      <c r="B260" s="113"/>
      <c r="C260" s="248"/>
      <c r="D260" s="323" t="s">
        <v>585</v>
      </c>
      <c r="E260" s="18">
        <v>1</v>
      </c>
      <c r="F260" s="113">
        <v>151521</v>
      </c>
      <c r="G260" s="18">
        <f>0+'táj.2'!G260</f>
        <v>0</v>
      </c>
      <c r="H260" s="18">
        <f>0+'táj.2'!H260</f>
        <v>0</v>
      </c>
      <c r="I260" s="18">
        <f>1000+'táj.2'!I260</f>
        <v>1000</v>
      </c>
      <c r="J260" s="18">
        <f>0+'táj.2'!J260</f>
        <v>0</v>
      </c>
      <c r="K260" s="18">
        <f>0+'táj.2'!K260</f>
        <v>0</v>
      </c>
      <c r="L260" s="18">
        <f>0+'táj.2'!L260</f>
        <v>0</v>
      </c>
      <c r="M260" s="18">
        <f>0+'táj.2'!M260</f>
        <v>0</v>
      </c>
      <c r="N260" s="18">
        <f>0+'táj.2'!N260</f>
        <v>0</v>
      </c>
      <c r="O260" s="18">
        <f>0+'táj.2'!O260</f>
        <v>0</v>
      </c>
      <c r="P260" s="18">
        <f>0+'táj.2'!P260</f>
        <v>0</v>
      </c>
      <c r="Q260" s="18">
        <f t="shared" si="17"/>
        <v>1000</v>
      </c>
    </row>
    <row r="261" spans="1:17" ht="13.5" customHeight="1">
      <c r="A261" s="113"/>
      <c r="B261" s="113"/>
      <c r="C261" s="248"/>
      <c r="D261" s="323" t="s">
        <v>404</v>
      </c>
      <c r="E261" s="18">
        <v>1</v>
      </c>
      <c r="F261" s="113">
        <v>151522</v>
      </c>
      <c r="G261" s="18">
        <f>0+'táj.2'!G261</f>
        <v>0</v>
      </c>
      <c r="H261" s="18">
        <f>0+'táj.2'!H261</f>
        <v>0</v>
      </c>
      <c r="I261" s="18">
        <f>1000+'táj.2'!I261</f>
        <v>1000</v>
      </c>
      <c r="J261" s="18">
        <f>0+'táj.2'!J261</f>
        <v>0</v>
      </c>
      <c r="K261" s="18">
        <f>0+'táj.2'!K261</f>
        <v>0</v>
      </c>
      <c r="L261" s="18">
        <f>0+'táj.2'!L261</f>
        <v>0</v>
      </c>
      <c r="M261" s="18">
        <f>0+'táj.2'!M261</f>
        <v>0</v>
      </c>
      <c r="N261" s="18">
        <f>0+'táj.2'!N261</f>
        <v>0</v>
      </c>
      <c r="O261" s="18">
        <f>0+'táj.2'!O261</f>
        <v>0</v>
      </c>
      <c r="P261" s="18">
        <f>0+'táj.2'!P261</f>
        <v>0</v>
      </c>
      <c r="Q261" s="18">
        <f t="shared" si="17"/>
        <v>1000</v>
      </c>
    </row>
    <row r="262" spans="1:17" ht="13.5" customHeight="1">
      <c r="A262" s="113"/>
      <c r="B262" s="113"/>
      <c r="C262" s="248"/>
      <c r="D262" s="115" t="s">
        <v>848</v>
      </c>
      <c r="E262" s="18">
        <v>1</v>
      </c>
      <c r="F262" s="113">
        <v>151512</v>
      </c>
      <c r="G262" s="18">
        <f>0+'táj.2'!G262</f>
        <v>0</v>
      </c>
      <c r="H262" s="18">
        <f>0+'táj.2'!H262</f>
        <v>0</v>
      </c>
      <c r="I262" s="18">
        <f>952+'táj.2'!I262</f>
        <v>1054</v>
      </c>
      <c r="J262" s="18">
        <f>0+'táj.2'!J262</f>
        <v>0</v>
      </c>
      <c r="K262" s="18">
        <f>0+'táj.2'!K262</f>
        <v>0</v>
      </c>
      <c r="L262" s="18">
        <f>0+'táj.2'!L262</f>
        <v>0</v>
      </c>
      <c r="M262" s="18">
        <f>0+'táj.2'!M262</f>
        <v>0</v>
      </c>
      <c r="N262" s="18">
        <f>0+'táj.2'!N262</f>
        <v>0</v>
      </c>
      <c r="O262" s="18">
        <f>0+'táj.2'!O262</f>
        <v>0</v>
      </c>
      <c r="P262" s="18">
        <f>0+'táj.2'!P262</f>
        <v>0</v>
      </c>
      <c r="Q262" s="18">
        <f t="shared" si="17"/>
        <v>1054</v>
      </c>
    </row>
    <row r="263" spans="1:17" ht="13.5" customHeight="1">
      <c r="A263" s="113"/>
      <c r="B263" s="113"/>
      <c r="C263" s="248"/>
      <c r="D263" s="115" t="s">
        <v>456</v>
      </c>
      <c r="E263" s="18">
        <v>1</v>
      </c>
      <c r="F263" s="113">
        <v>151519</v>
      </c>
      <c r="G263" s="18">
        <f>0+'táj.2'!G263</f>
        <v>0</v>
      </c>
      <c r="H263" s="18">
        <f>0+'táj.2'!H263</f>
        <v>0</v>
      </c>
      <c r="I263" s="18">
        <f>1500+'táj.2'!I263</f>
        <v>213</v>
      </c>
      <c r="J263" s="18">
        <f>0+'táj.2'!J263</f>
        <v>0</v>
      </c>
      <c r="K263" s="18">
        <f>0+'táj.2'!K263</f>
        <v>0</v>
      </c>
      <c r="L263" s="18">
        <f>0+'táj.2'!L263</f>
        <v>1287</v>
      </c>
      <c r="M263" s="18">
        <f>0+'táj.2'!M263</f>
        <v>0</v>
      </c>
      <c r="N263" s="18">
        <f>0+'táj.2'!N263</f>
        <v>0</v>
      </c>
      <c r="O263" s="18">
        <f>0+'táj.2'!O263</f>
        <v>0</v>
      </c>
      <c r="P263" s="18">
        <f>0+'táj.2'!P263</f>
        <v>0</v>
      </c>
      <c r="Q263" s="18">
        <f t="shared" si="17"/>
        <v>1500</v>
      </c>
    </row>
    <row r="264" spans="1:17" ht="13.5" customHeight="1">
      <c r="A264" s="113"/>
      <c r="B264" s="113"/>
      <c r="C264" s="248"/>
      <c r="D264" s="115" t="s">
        <v>133</v>
      </c>
      <c r="E264" s="18">
        <v>2</v>
      </c>
      <c r="F264" s="113">
        <v>151511</v>
      </c>
      <c r="G264" s="18">
        <f>0+'táj.2'!G264</f>
        <v>0</v>
      </c>
      <c r="H264" s="18">
        <f>0+'táj.2'!H264</f>
        <v>0</v>
      </c>
      <c r="I264" s="18">
        <f>5214+'táj.2'!I264</f>
        <v>5214</v>
      </c>
      <c r="J264" s="18">
        <f>0+'táj.2'!J264</f>
        <v>0</v>
      </c>
      <c r="K264" s="18">
        <f>0+'táj.2'!K264</f>
        <v>0</v>
      </c>
      <c r="L264" s="18">
        <f>0+'táj.2'!L264</f>
        <v>0</v>
      </c>
      <c r="M264" s="18">
        <f>0+'táj.2'!M264</f>
        <v>0</v>
      </c>
      <c r="N264" s="18">
        <f>0+'táj.2'!N264</f>
        <v>0</v>
      </c>
      <c r="O264" s="18">
        <f>0+'táj.2'!O264</f>
        <v>0</v>
      </c>
      <c r="P264" s="18">
        <f>0+'táj.2'!P264</f>
        <v>0</v>
      </c>
      <c r="Q264" s="18">
        <f t="shared" si="17"/>
        <v>5214</v>
      </c>
    </row>
    <row r="265" spans="1:17" ht="13.5" customHeight="1">
      <c r="A265" s="113"/>
      <c r="B265" s="113"/>
      <c r="C265" s="248"/>
      <c r="D265" s="115" t="s">
        <v>134</v>
      </c>
      <c r="E265" s="180">
        <v>2</v>
      </c>
      <c r="F265" s="521">
        <v>151514</v>
      </c>
      <c r="G265" s="18">
        <f>0+'táj.2'!G265</f>
        <v>0</v>
      </c>
      <c r="H265" s="18">
        <f>0+'táj.2'!H265</f>
        <v>0</v>
      </c>
      <c r="I265" s="18">
        <f>2000+'táj.2'!I265</f>
        <v>2000</v>
      </c>
      <c r="J265" s="18">
        <f>0+'táj.2'!J265</f>
        <v>0</v>
      </c>
      <c r="K265" s="18">
        <f>0+'táj.2'!K265</f>
        <v>0</v>
      </c>
      <c r="L265" s="18">
        <f>0+'táj.2'!L265</f>
        <v>0</v>
      </c>
      <c r="M265" s="18">
        <f>0+'táj.2'!M265</f>
        <v>0</v>
      </c>
      <c r="N265" s="18">
        <f>0+'táj.2'!N265</f>
        <v>0</v>
      </c>
      <c r="O265" s="18">
        <f>0+'táj.2'!O265</f>
        <v>0</v>
      </c>
      <c r="P265" s="18">
        <f>0+'táj.2'!P265</f>
        <v>0</v>
      </c>
      <c r="Q265" s="18">
        <f t="shared" si="17"/>
        <v>2000</v>
      </c>
    </row>
    <row r="266" spans="1:17" ht="13.5" customHeight="1">
      <c r="A266" s="113"/>
      <c r="B266" s="113"/>
      <c r="C266" s="248"/>
      <c r="D266" s="115" t="s">
        <v>137</v>
      </c>
      <c r="E266" s="180">
        <v>2</v>
      </c>
      <c r="F266" s="521">
        <v>151515</v>
      </c>
      <c r="G266" s="18">
        <f>0+'táj.2'!G266</f>
        <v>0</v>
      </c>
      <c r="H266" s="18">
        <f>0+'táj.2'!H266</f>
        <v>0</v>
      </c>
      <c r="I266" s="18">
        <f>186+'táj.2'!I266</f>
        <v>186</v>
      </c>
      <c r="J266" s="18">
        <f>0+'táj.2'!J266</f>
        <v>0</v>
      </c>
      <c r="K266" s="18">
        <f>0+'táj.2'!K266</f>
        <v>0</v>
      </c>
      <c r="L266" s="18">
        <f>0+'táj.2'!L266</f>
        <v>0</v>
      </c>
      <c r="M266" s="18">
        <f>0+'táj.2'!M266</f>
        <v>0</v>
      </c>
      <c r="N266" s="18">
        <f>0+'táj.2'!N266</f>
        <v>0</v>
      </c>
      <c r="O266" s="18">
        <f>0+'táj.2'!O266</f>
        <v>0</v>
      </c>
      <c r="P266" s="18">
        <f>0+'táj.2'!P266</f>
        <v>0</v>
      </c>
      <c r="Q266" s="18">
        <f t="shared" si="17"/>
        <v>186</v>
      </c>
    </row>
    <row r="267" spans="1:17" ht="13.5" customHeight="1">
      <c r="A267" s="113"/>
      <c r="B267" s="113"/>
      <c r="C267" s="248"/>
      <c r="D267" s="115" t="s">
        <v>780</v>
      </c>
      <c r="E267" s="180">
        <v>1</v>
      </c>
      <c r="F267" s="521">
        <v>151513</v>
      </c>
      <c r="G267" s="18">
        <f>0+'táj.2'!G267</f>
        <v>0</v>
      </c>
      <c r="H267" s="18">
        <f>291+'táj.2'!H267</f>
        <v>291</v>
      </c>
      <c r="I267" s="18">
        <f>18831+'táj.2'!I267</f>
        <v>18831</v>
      </c>
      <c r="J267" s="18">
        <f>0+'táj.2'!J267</f>
        <v>0</v>
      </c>
      <c r="K267" s="18">
        <f>0+'táj.2'!K267</f>
        <v>0</v>
      </c>
      <c r="L267" s="18">
        <f>0+'táj.2'!L267</f>
        <v>0</v>
      </c>
      <c r="M267" s="18">
        <f>699+'táj.2'!M267</f>
        <v>699</v>
      </c>
      <c r="N267" s="18">
        <f>0+'táj.2'!N267</f>
        <v>0</v>
      </c>
      <c r="O267" s="18">
        <f>0+'táj.2'!O267</f>
        <v>0</v>
      </c>
      <c r="P267" s="18">
        <f>0+'táj.2'!P267</f>
        <v>0</v>
      </c>
      <c r="Q267" s="18">
        <f t="shared" si="17"/>
        <v>19821</v>
      </c>
    </row>
    <row r="268" spans="1:17" ht="13.5" customHeight="1">
      <c r="A268" s="113"/>
      <c r="B268" s="113"/>
      <c r="C268" s="248"/>
      <c r="D268" s="17" t="s">
        <v>115</v>
      </c>
      <c r="E268" s="302"/>
      <c r="F268" s="522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</row>
    <row r="269" spans="1:17" ht="13.5" customHeight="1">
      <c r="A269" s="113"/>
      <c r="B269" s="113"/>
      <c r="C269" s="248"/>
      <c r="D269" s="17" t="s">
        <v>849</v>
      </c>
      <c r="E269" s="18">
        <v>1</v>
      </c>
      <c r="F269" s="113">
        <v>151401</v>
      </c>
      <c r="G269" s="18">
        <f>0+'táj.2'!G269</f>
        <v>0</v>
      </c>
      <c r="H269" s="18">
        <f>0+'táj.2'!H269</f>
        <v>0</v>
      </c>
      <c r="I269" s="18">
        <f>97770+'táj.2'!I269</f>
        <v>97060</v>
      </c>
      <c r="J269" s="18">
        <f>0+'táj.2'!J269</f>
        <v>0</v>
      </c>
      <c r="K269" s="18">
        <f>0+'táj.2'!K269</f>
        <v>0</v>
      </c>
      <c r="L269" s="18">
        <f>0+'táj.2'!L269</f>
        <v>0</v>
      </c>
      <c r="M269" s="18">
        <f>0+'táj.2'!M269</f>
        <v>0</v>
      </c>
      <c r="N269" s="18">
        <f>0+'táj.2'!N269</f>
        <v>0</v>
      </c>
      <c r="O269" s="18">
        <f>0+'táj.2'!O269</f>
        <v>0</v>
      </c>
      <c r="P269" s="18">
        <f>0+'táj.2'!P269</f>
        <v>0</v>
      </c>
      <c r="Q269" s="18">
        <f t="shared" si="17"/>
        <v>97060</v>
      </c>
    </row>
    <row r="270" spans="1:17" ht="13.5" customHeight="1">
      <c r="A270" s="113"/>
      <c r="B270" s="113"/>
      <c r="C270" s="248"/>
      <c r="D270" s="17" t="s">
        <v>850</v>
      </c>
      <c r="E270" s="302">
        <v>1</v>
      </c>
      <c r="F270" s="113">
        <v>151402</v>
      </c>
      <c r="G270" s="18">
        <f>0+'táj.2'!G270</f>
        <v>0</v>
      </c>
      <c r="H270" s="18">
        <f>0+'táj.2'!H270</f>
        <v>0</v>
      </c>
      <c r="I270" s="18">
        <f>44810+'táj.2'!I270</f>
        <v>44810</v>
      </c>
      <c r="J270" s="18">
        <f>0+'táj.2'!J270</f>
        <v>0</v>
      </c>
      <c r="K270" s="18">
        <f>0+'táj.2'!K270</f>
        <v>0</v>
      </c>
      <c r="L270" s="18">
        <f>883+'táj.2'!L270</f>
        <v>883</v>
      </c>
      <c r="M270" s="18">
        <f>0+'táj.2'!M270</f>
        <v>0</v>
      </c>
      <c r="N270" s="18">
        <f>0+'táj.2'!N270</f>
        <v>0</v>
      </c>
      <c r="O270" s="18">
        <f>0+'táj.2'!O270</f>
        <v>0</v>
      </c>
      <c r="P270" s="18">
        <f>0+'táj.2'!P270</f>
        <v>0</v>
      </c>
      <c r="Q270" s="18">
        <f t="shared" si="17"/>
        <v>45693</v>
      </c>
    </row>
    <row r="271" spans="1:17" ht="13.5" customHeight="1">
      <c r="A271" s="113"/>
      <c r="B271" s="113"/>
      <c r="C271" s="248"/>
      <c r="D271" s="17" t="s">
        <v>547</v>
      </c>
      <c r="E271" s="302">
        <v>2</v>
      </c>
      <c r="F271" s="113">
        <v>151406</v>
      </c>
      <c r="G271" s="18">
        <f>0+'táj.2'!G271</f>
        <v>0</v>
      </c>
      <c r="H271" s="18">
        <f>0+'táj.2'!H271</f>
        <v>0</v>
      </c>
      <c r="I271" s="18">
        <f>62+'táj.2'!I271</f>
        <v>62</v>
      </c>
      <c r="J271" s="18">
        <f>0+'táj.2'!J271</f>
        <v>0</v>
      </c>
      <c r="K271" s="18">
        <f>0+'táj.2'!K271</f>
        <v>0</v>
      </c>
      <c r="L271" s="18">
        <f>0+'táj.2'!L271</f>
        <v>0</v>
      </c>
      <c r="M271" s="18">
        <f>0+'táj.2'!M271</f>
        <v>0</v>
      </c>
      <c r="N271" s="18">
        <f>0+'táj.2'!N271</f>
        <v>0</v>
      </c>
      <c r="O271" s="18">
        <f>0+'táj.2'!O271</f>
        <v>0</v>
      </c>
      <c r="P271" s="18">
        <f>0+'táj.2'!P271</f>
        <v>0</v>
      </c>
      <c r="Q271" s="18">
        <f t="shared" si="17"/>
        <v>62</v>
      </c>
    </row>
    <row r="272" spans="1:17" ht="13.5" customHeight="1">
      <c r="A272" s="113"/>
      <c r="B272" s="113"/>
      <c r="C272" s="248"/>
      <c r="D272" s="17" t="s">
        <v>548</v>
      </c>
      <c r="E272" s="302">
        <v>2</v>
      </c>
      <c r="F272" s="113">
        <v>151407</v>
      </c>
      <c r="G272" s="18">
        <f>0+'táj.2'!G272</f>
        <v>0</v>
      </c>
      <c r="H272" s="18">
        <f>0+'táj.2'!H272</f>
        <v>0</v>
      </c>
      <c r="I272" s="18">
        <f>16063+'táj.2'!I272</f>
        <v>16063</v>
      </c>
      <c r="J272" s="18">
        <f>0+'táj.2'!J272</f>
        <v>0</v>
      </c>
      <c r="K272" s="18">
        <f>0+'táj.2'!K272</f>
        <v>0</v>
      </c>
      <c r="L272" s="18">
        <f>0+'táj.2'!L272</f>
        <v>0</v>
      </c>
      <c r="M272" s="18">
        <f>0+'táj.2'!M272</f>
        <v>0</v>
      </c>
      <c r="N272" s="18">
        <f>0+'táj.2'!N272</f>
        <v>0</v>
      </c>
      <c r="O272" s="18">
        <f>0+'táj.2'!O272</f>
        <v>0</v>
      </c>
      <c r="P272" s="18">
        <f>0+'táj.2'!P272</f>
        <v>0</v>
      </c>
      <c r="Q272" s="18">
        <f t="shared" si="17"/>
        <v>16063</v>
      </c>
    </row>
    <row r="273" spans="1:17" ht="13.5" customHeight="1">
      <c r="A273" s="113"/>
      <c r="B273" s="113"/>
      <c r="C273" s="248"/>
      <c r="D273" s="17" t="s">
        <v>251</v>
      </c>
      <c r="E273" s="302">
        <v>1</v>
      </c>
      <c r="F273" s="113">
        <v>151403</v>
      </c>
      <c r="G273" s="18">
        <f>0+'táj.2'!G273</f>
        <v>0</v>
      </c>
      <c r="H273" s="18">
        <f>0+'táj.2'!H273</f>
        <v>0</v>
      </c>
      <c r="I273" s="18">
        <f>2000+'táj.2'!I273</f>
        <v>2000</v>
      </c>
      <c r="J273" s="18">
        <f>0+'táj.2'!J273</f>
        <v>0</v>
      </c>
      <c r="K273" s="18">
        <f>0+'táj.2'!K273</f>
        <v>0</v>
      </c>
      <c r="L273" s="18">
        <f>0+'táj.2'!L273</f>
        <v>0</v>
      </c>
      <c r="M273" s="18">
        <f>0+'táj.2'!M273</f>
        <v>0</v>
      </c>
      <c r="N273" s="18">
        <f>0+'táj.2'!N273</f>
        <v>0</v>
      </c>
      <c r="O273" s="18">
        <f>0+'táj.2'!O273</f>
        <v>0</v>
      </c>
      <c r="P273" s="18">
        <f>0+'táj.2'!P273</f>
        <v>0</v>
      </c>
      <c r="Q273" s="18">
        <f t="shared" si="17"/>
        <v>2000</v>
      </c>
    </row>
    <row r="274" spans="1:17" ht="13.5" customHeight="1">
      <c r="A274" s="113"/>
      <c r="B274" s="113"/>
      <c r="C274" s="248"/>
      <c r="D274" s="17" t="s">
        <v>791</v>
      </c>
      <c r="E274" s="302">
        <v>2</v>
      </c>
      <c r="F274" s="522">
        <v>151404</v>
      </c>
      <c r="G274" s="18">
        <f>0+'táj.2'!G274</f>
        <v>0</v>
      </c>
      <c r="H274" s="18">
        <f>0+'táj.2'!H274</f>
        <v>0</v>
      </c>
      <c r="I274" s="18">
        <f>5000+'táj.2'!I274</f>
        <v>5000</v>
      </c>
      <c r="J274" s="18">
        <f>0+'táj.2'!J274</f>
        <v>0</v>
      </c>
      <c r="K274" s="18">
        <f>0+'táj.2'!K274</f>
        <v>0</v>
      </c>
      <c r="L274" s="18">
        <f>0+'táj.2'!L274</f>
        <v>0</v>
      </c>
      <c r="M274" s="18">
        <f>0+'táj.2'!M274</f>
        <v>0</v>
      </c>
      <c r="N274" s="18">
        <f>0+'táj.2'!N274</f>
        <v>0</v>
      </c>
      <c r="O274" s="18">
        <f>0+'táj.2'!O274</f>
        <v>0</v>
      </c>
      <c r="P274" s="18">
        <f>0+'táj.2'!P274</f>
        <v>0</v>
      </c>
      <c r="Q274" s="18">
        <f t="shared" si="17"/>
        <v>5000</v>
      </c>
    </row>
    <row r="275" spans="1:17" ht="13.5" customHeight="1">
      <c r="A275" s="113"/>
      <c r="B275" s="113"/>
      <c r="C275" s="248"/>
      <c r="D275" s="323" t="s">
        <v>402</v>
      </c>
      <c r="E275" s="302">
        <v>2</v>
      </c>
      <c r="F275" s="522">
        <v>151408</v>
      </c>
      <c r="G275" s="18">
        <f>0+'táj.2'!G275</f>
        <v>0</v>
      </c>
      <c r="H275" s="18">
        <f>0+'táj.2'!H275</f>
        <v>0</v>
      </c>
      <c r="I275" s="722">
        <f>2000+'táj.2'!I275</f>
        <v>2000</v>
      </c>
      <c r="J275" s="18">
        <f>0+'táj.2'!J275</f>
        <v>0</v>
      </c>
      <c r="K275" s="18">
        <f>0+'táj.2'!K275</f>
        <v>0</v>
      </c>
      <c r="L275" s="18">
        <f>0+'táj.2'!L275</f>
        <v>0</v>
      </c>
      <c r="M275" s="18">
        <f>0+'táj.2'!M275</f>
        <v>0</v>
      </c>
      <c r="N275" s="18">
        <f>0+'táj.2'!N275</f>
        <v>0</v>
      </c>
      <c r="O275" s="18">
        <f>0+'táj.2'!O275</f>
        <v>0</v>
      </c>
      <c r="P275" s="18">
        <f>0+'táj.2'!P275</f>
        <v>0</v>
      </c>
      <c r="Q275" s="18">
        <f t="shared" si="17"/>
        <v>2000</v>
      </c>
    </row>
    <row r="276" spans="1:17" ht="13.5" customHeight="1">
      <c r="A276" s="113"/>
      <c r="B276" s="113"/>
      <c r="C276" s="248"/>
      <c r="D276" s="323" t="s">
        <v>405</v>
      </c>
      <c r="E276" s="302">
        <v>1</v>
      </c>
      <c r="F276" s="522">
        <v>151409</v>
      </c>
      <c r="G276" s="18">
        <f>0+'táj.2'!G276</f>
        <v>0</v>
      </c>
      <c r="H276" s="18">
        <f>0+'táj.2'!H276</f>
        <v>0</v>
      </c>
      <c r="I276" s="18">
        <f>1024+'táj.2'!I276</f>
        <v>1024</v>
      </c>
      <c r="J276" s="18">
        <f>0+'táj.2'!J276</f>
        <v>0</v>
      </c>
      <c r="K276" s="18">
        <f>0+'táj.2'!K276</f>
        <v>0</v>
      </c>
      <c r="L276" s="18">
        <f>0+'táj.2'!L276</f>
        <v>0</v>
      </c>
      <c r="M276" s="18">
        <f>0+'táj.2'!M276</f>
        <v>0</v>
      </c>
      <c r="N276" s="18">
        <f>0+'táj.2'!N276</f>
        <v>0</v>
      </c>
      <c r="O276" s="18">
        <f>0+'táj.2'!O276</f>
        <v>0</v>
      </c>
      <c r="P276" s="18">
        <f>0+'táj.2'!P276</f>
        <v>0</v>
      </c>
      <c r="Q276" s="18">
        <f t="shared" si="17"/>
        <v>1024</v>
      </c>
    </row>
    <row r="277" spans="1:17" ht="13.5" customHeight="1">
      <c r="A277" s="113"/>
      <c r="B277" s="113"/>
      <c r="C277" s="248"/>
      <c r="D277" s="115" t="s">
        <v>76</v>
      </c>
      <c r="E277" s="302"/>
      <c r="F277" s="522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</row>
    <row r="278" spans="1:17" ht="13.5" customHeight="1">
      <c r="A278" s="18"/>
      <c r="B278" s="18"/>
      <c r="C278" s="18"/>
      <c r="D278" s="17" t="s">
        <v>851</v>
      </c>
      <c r="E278" s="18">
        <v>1</v>
      </c>
      <c r="F278" s="113">
        <v>151102</v>
      </c>
      <c r="G278" s="18">
        <f>0+'táj.2'!G278</f>
        <v>0</v>
      </c>
      <c r="H278" s="18">
        <f>0+'táj.2'!H278</f>
        <v>0</v>
      </c>
      <c r="I278" s="18">
        <f>2600+'táj.2'!I278</f>
        <v>2600</v>
      </c>
      <c r="J278" s="18">
        <f>0+'táj.2'!J278</f>
        <v>0</v>
      </c>
      <c r="K278" s="18">
        <f>0+'táj.2'!K278</f>
        <v>0</v>
      </c>
      <c r="L278" s="18">
        <f>0+'táj.2'!L278</f>
        <v>0</v>
      </c>
      <c r="M278" s="18">
        <f>0+'táj.2'!M278</f>
        <v>0</v>
      </c>
      <c r="N278" s="18">
        <f>0+'táj.2'!N278</f>
        <v>0</v>
      </c>
      <c r="O278" s="18">
        <f>0+'táj.2'!O278</f>
        <v>0</v>
      </c>
      <c r="P278" s="18">
        <f>0+'táj.2'!P278</f>
        <v>0</v>
      </c>
      <c r="Q278" s="18">
        <f>SUM(G278:P278)</f>
        <v>2600</v>
      </c>
    </row>
    <row r="279" spans="1:17" ht="13.5" customHeight="1">
      <c r="A279" s="113"/>
      <c r="B279" s="113"/>
      <c r="C279" s="248"/>
      <c r="D279" s="17" t="s">
        <v>909</v>
      </c>
      <c r="E279" s="18">
        <v>1</v>
      </c>
      <c r="F279" s="113">
        <v>151103</v>
      </c>
      <c r="G279" s="18">
        <f>0+'táj.2'!G279</f>
        <v>0</v>
      </c>
      <c r="H279" s="18">
        <f>0+'táj.2'!H279</f>
        <v>0</v>
      </c>
      <c r="I279" s="18">
        <f>1882+'táj.2'!I279</f>
        <v>1882</v>
      </c>
      <c r="J279" s="18">
        <f>0+'táj.2'!J279</f>
        <v>0</v>
      </c>
      <c r="K279" s="18">
        <f>0+'táj.2'!K279</f>
        <v>0</v>
      </c>
      <c r="L279" s="18">
        <f>0+'táj.2'!L279</f>
        <v>0</v>
      </c>
      <c r="M279" s="18">
        <f>0+'táj.2'!M279</f>
        <v>0</v>
      </c>
      <c r="N279" s="18">
        <f>0+'táj.2'!N279</f>
        <v>0</v>
      </c>
      <c r="O279" s="18">
        <f>0+'táj.2'!O279</f>
        <v>0</v>
      </c>
      <c r="P279" s="18">
        <f>0+'táj.2'!P279</f>
        <v>0</v>
      </c>
      <c r="Q279" s="18">
        <f>SUM(G279:P279)</f>
        <v>1882</v>
      </c>
    </row>
    <row r="280" spans="1:17" ht="13.5" customHeight="1">
      <c r="A280" s="113"/>
      <c r="B280" s="113"/>
      <c r="C280" s="248"/>
      <c r="D280" s="17" t="s">
        <v>77</v>
      </c>
      <c r="E280" s="302"/>
      <c r="F280" s="522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</row>
    <row r="281" spans="1:17" ht="13.5" customHeight="1">
      <c r="A281" s="113"/>
      <c r="B281" s="113"/>
      <c r="C281" s="248"/>
      <c r="D281" s="115" t="s">
        <v>803</v>
      </c>
      <c r="E281" s="302">
        <v>1</v>
      </c>
      <c r="F281" s="113">
        <v>151301</v>
      </c>
      <c r="G281" s="18">
        <f>0+'táj.2'!G281</f>
        <v>0</v>
      </c>
      <c r="H281" s="18">
        <f>0+'táj.2'!H281</f>
        <v>0</v>
      </c>
      <c r="I281" s="18">
        <f>16820+'táj.2'!I281</f>
        <v>16820</v>
      </c>
      <c r="J281" s="18">
        <f>0+'táj.2'!J281</f>
        <v>0</v>
      </c>
      <c r="K281" s="18">
        <f>0+'táj.2'!K281</f>
        <v>0</v>
      </c>
      <c r="L281" s="18">
        <f>0+'táj.2'!L281</f>
        <v>0</v>
      </c>
      <c r="M281" s="18">
        <f>0+'táj.2'!M281</f>
        <v>0</v>
      </c>
      <c r="N281" s="18">
        <f>0+'táj.2'!N281</f>
        <v>0</v>
      </c>
      <c r="O281" s="18">
        <f>0+'táj.2'!O281</f>
        <v>0</v>
      </c>
      <c r="P281" s="18">
        <f>0+'táj.2'!P281</f>
        <v>0</v>
      </c>
      <c r="Q281" s="18">
        <f aca="true" t="shared" si="18" ref="Q281:Q309">SUM(G281:P281)</f>
        <v>16820</v>
      </c>
    </row>
    <row r="282" spans="1:17" ht="25.5" customHeight="1">
      <c r="A282" s="113"/>
      <c r="B282" s="113"/>
      <c r="C282" s="248"/>
      <c r="D282" s="233" t="s">
        <v>793</v>
      </c>
      <c r="E282" s="302">
        <v>1</v>
      </c>
      <c r="F282" s="113">
        <v>151305</v>
      </c>
      <c r="G282" s="18">
        <f>0+'táj.2'!G282</f>
        <v>0</v>
      </c>
      <c r="H282" s="18">
        <f>0+'táj.2'!H282</f>
        <v>0</v>
      </c>
      <c r="I282" s="18">
        <f>56857+'táj.2'!I282</f>
        <v>56857</v>
      </c>
      <c r="J282" s="18">
        <f>0+'táj.2'!J282</f>
        <v>0</v>
      </c>
      <c r="K282" s="18">
        <f>0+'táj.2'!K282</f>
        <v>0</v>
      </c>
      <c r="L282" s="18">
        <f>0+'táj.2'!L282</f>
        <v>0</v>
      </c>
      <c r="M282" s="18">
        <f>0+'táj.2'!M282</f>
        <v>0</v>
      </c>
      <c r="N282" s="18">
        <f>0+'táj.2'!N282</f>
        <v>0</v>
      </c>
      <c r="O282" s="18">
        <f>0+'táj.2'!O282</f>
        <v>0</v>
      </c>
      <c r="P282" s="18">
        <f>0+'táj.2'!P282</f>
        <v>0</v>
      </c>
      <c r="Q282" s="18">
        <f t="shared" si="18"/>
        <v>56857</v>
      </c>
    </row>
    <row r="283" spans="1:17" ht="25.5" customHeight="1">
      <c r="A283" s="113"/>
      <c r="B283" s="113"/>
      <c r="C283" s="248"/>
      <c r="D283" s="233" t="s">
        <v>443</v>
      </c>
      <c r="E283" s="302">
        <v>1</v>
      </c>
      <c r="F283" s="113">
        <v>151306</v>
      </c>
      <c r="G283" s="18">
        <f>0+'táj.2'!G283</f>
        <v>0</v>
      </c>
      <c r="H283" s="18">
        <f>0+'táj.2'!H283</f>
        <v>0</v>
      </c>
      <c r="I283" s="18">
        <f>40212+'táj.2'!I283</f>
        <v>40212</v>
      </c>
      <c r="J283" s="18">
        <f>0+'táj.2'!J283</f>
        <v>0</v>
      </c>
      <c r="K283" s="18">
        <f>0+'táj.2'!K283</f>
        <v>0</v>
      </c>
      <c r="L283" s="18">
        <f>0+'táj.2'!L283</f>
        <v>0</v>
      </c>
      <c r="M283" s="18">
        <f>0+'táj.2'!M283</f>
        <v>0</v>
      </c>
      <c r="N283" s="18">
        <f>0+'táj.2'!N283</f>
        <v>0</v>
      </c>
      <c r="O283" s="18">
        <f>0+'táj.2'!O283</f>
        <v>0</v>
      </c>
      <c r="P283" s="18">
        <f>0+'táj.2'!P283</f>
        <v>0</v>
      </c>
      <c r="Q283" s="18">
        <f t="shared" si="18"/>
        <v>40212</v>
      </c>
    </row>
    <row r="284" spans="1:17" ht="24" customHeight="1">
      <c r="A284" s="113"/>
      <c r="B284" s="113"/>
      <c r="C284" s="248"/>
      <c r="D284" s="233" t="s">
        <v>1503</v>
      </c>
      <c r="E284" s="302">
        <v>1</v>
      </c>
      <c r="F284" s="113">
        <v>151308</v>
      </c>
      <c r="G284" s="18">
        <f>0+'táj.2'!G284</f>
        <v>0</v>
      </c>
      <c r="H284" s="18">
        <f>0+'táj.2'!H284</f>
        <v>0</v>
      </c>
      <c r="I284" s="18">
        <f>2445+'táj.2'!I284</f>
        <v>2445</v>
      </c>
      <c r="J284" s="18">
        <f>0+'táj.2'!J284</f>
        <v>0</v>
      </c>
      <c r="K284" s="18">
        <f>0+'táj.2'!K284</f>
        <v>0</v>
      </c>
      <c r="L284" s="18">
        <f>0+'táj.2'!L284</f>
        <v>0</v>
      </c>
      <c r="M284" s="18">
        <f>0+'táj.2'!M284</f>
        <v>0</v>
      </c>
      <c r="N284" s="18">
        <f>0+'táj.2'!N284</f>
        <v>0</v>
      </c>
      <c r="O284" s="18">
        <f>0+'táj.2'!O284</f>
        <v>0</v>
      </c>
      <c r="P284" s="18">
        <f>0+'táj.2'!P284</f>
        <v>0</v>
      </c>
      <c r="Q284" s="18">
        <f t="shared" si="18"/>
        <v>2445</v>
      </c>
    </row>
    <row r="285" spans="1:17" ht="24" customHeight="1">
      <c r="A285" s="113"/>
      <c r="B285" s="113"/>
      <c r="C285" s="248"/>
      <c r="D285" s="233" t="s">
        <v>794</v>
      </c>
      <c r="E285" s="303">
        <v>1</v>
      </c>
      <c r="F285" s="540">
        <v>151311</v>
      </c>
      <c r="G285" s="18">
        <f>0+'táj.2'!G285</f>
        <v>0</v>
      </c>
      <c r="H285" s="18">
        <f>0+'táj.2'!H285</f>
        <v>0</v>
      </c>
      <c r="I285" s="18">
        <f>226+'táj.2'!I285</f>
        <v>226</v>
      </c>
      <c r="J285" s="18">
        <f>0+'táj.2'!J285</f>
        <v>0</v>
      </c>
      <c r="K285" s="18">
        <f>0+'táj.2'!K285</f>
        <v>0</v>
      </c>
      <c r="L285" s="18">
        <f>0+'táj.2'!L285</f>
        <v>0</v>
      </c>
      <c r="M285" s="18">
        <f>0+'táj.2'!M285</f>
        <v>0</v>
      </c>
      <c r="N285" s="18">
        <f>0+'táj.2'!N285</f>
        <v>0</v>
      </c>
      <c r="O285" s="18">
        <f>0+'táj.2'!O285</f>
        <v>0</v>
      </c>
      <c r="P285" s="18">
        <f>0+'táj.2'!P285</f>
        <v>0</v>
      </c>
      <c r="Q285" s="18">
        <f t="shared" si="18"/>
        <v>226</v>
      </c>
    </row>
    <row r="286" spans="1:17" ht="12" customHeight="1">
      <c r="A286" s="113"/>
      <c r="B286" s="113"/>
      <c r="C286" s="248"/>
      <c r="D286" s="17" t="s">
        <v>781</v>
      </c>
      <c r="E286" s="302">
        <v>1</v>
      </c>
      <c r="F286" s="113">
        <v>151312</v>
      </c>
      <c r="G286" s="18">
        <f>0+'táj.2'!G286</f>
        <v>0</v>
      </c>
      <c r="H286" s="18">
        <f>0+'táj.2'!H286</f>
        <v>0</v>
      </c>
      <c r="I286" s="18">
        <f>100+'táj.2'!I286</f>
        <v>100</v>
      </c>
      <c r="J286" s="18">
        <f>0+'táj.2'!J286</f>
        <v>0</v>
      </c>
      <c r="K286" s="18">
        <f>0+'táj.2'!K286</f>
        <v>0</v>
      </c>
      <c r="L286" s="18">
        <f>0+'táj.2'!L286</f>
        <v>0</v>
      </c>
      <c r="M286" s="18">
        <f>0+'táj.2'!M286</f>
        <v>0</v>
      </c>
      <c r="N286" s="18">
        <f>0+'táj.2'!N286</f>
        <v>0</v>
      </c>
      <c r="O286" s="18">
        <f>0+'táj.2'!O286</f>
        <v>0</v>
      </c>
      <c r="P286" s="18">
        <f>0+'táj.2'!P286</f>
        <v>0</v>
      </c>
      <c r="Q286" s="18">
        <f t="shared" si="18"/>
        <v>100</v>
      </c>
    </row>
    <row r="287" spans="1:17" ht="12" customHeight="1">
      <c r="A287" s="113"/>
      <c r="B287" s="113"/>
      <c r="C287" s="248"/>
      <c r="D287" s="17" t="s">
        <v>141</v>
      </c>
      <c r="E287" s="302">
        <v>1</v>
      </c>
      <c r="F287" s="113">
        <v>151302</v>
      </c>
      <c r="G287" s="18">
        <f>0+'táj.2'!G287</f>
        <v>0</v>
      </c>
      <c r="H287" s="18">
        <f>0+'táj.2'!H287</f>
        <v>0</v>
      </c>
      <c r="I287" s="15">
        <f>0+'táj.2'!I287</f>
        <v>0</v>
      </c>
      <c r="J287" s="18">
        <f>0+'táj.2'!J287</f>
        <v>0</v>
      </c>
      <c r="K287" s="18">
        <f>0+'táj.2'!K287</f>
        <v>0</v>
      </c>
      <c r="L287" s="18">
        <f>0+'táj.2'!L287</f>
        <v>0</v>
      </c>
      <c r="M287" s="18">
        <f>0+'táj.2'!M287</f>
        <v>0</v>
      </c>
      <c r="N287" s="18">
        <f>0+'táj.2'!N287</f>
        <v>0</v>
      </c>
      <c r="O287" s="18">
        <f>0+'táj.2'!O287</f>
        <v>0</v>
      </c>
      <c r="P287" s="18">
        <f>0+'táj.2'!P287</f>
        <v>0</v>
      </c>
      <c r="Q287" s="18">
        <f t="shared" si="18"/>
        <v>0</v>
      </c>
    </row>
    <row r="288" spans="1:17" ht="25.5" customHeight="1">
      <c r="A288" s="113"/>
      <c r="B288" s="113"/>
      <c r="C288" s="248"/>
      <c r="D288" s="207" t="s">
        <v>457</v>
      </c>
      <c r="E288" s="302">
        <v>1</v>
      </c>
      <c r="F288" s="113">
        <v>151303</v>
      </c>
      <c r="G288" s="18">
        <f>0+'táj.2'!G288</f>
        <v>0</v>
      </c>
      <c r="H288" s="18">
        <f>0+'táj.2'!H288</f>
        <v>0</v>
      </c>
      <c r="I288" s="15">
        <f>0+'táj.2'!I288</f>
        <v>0</v>
      </c>
      <c r="J288" s="18">
        <f>0+'táj.2'!J288</f>
        <v>0</v>
      </c>
      <c r="K288" s="18">
        <f>0+'táj.2'!K288</f>
        <v>0</v>
      </c>
      <c r="L288" s="18">
        <f>0+'táj.2'!L288</f>
        <v>0</v>
      </c>
      <c r="M288" s="18">
        <f>0+'táj.2'!M288</f>
        <v>0</v>
      </c>
      <c r="N288" s="18">
        <f>0+'táj.2'!N288</f>
        <v>0</v>
      </c>
      <c r="O288" s="18">
        <f>0+'táj.2'!O288</f>
        <v>0</v>
      </c>
      <c r="P288" s="18">
        <f>0+'táj.2'!P288</f>
        <v>0</v>
      </c>
      <c r="Q288" s="18">
        <f t="shared" si="18"/>
        <v>0</v>
      </c>
    </row>
    <row r="289" spans="1:17" ht="24" customHeight="1">
      <c r="A289" s="113"/>
      <c r="B289" s="113"/>
      <c r="C289" s="248"/>
      <c r="D289" s="233" t="s">
        <v>1281</v>
      </c>
      <c r="E289" s="303">
        <v>2</v>
      </c>
      <c r="F289" s="540">
        <v>151315</v>
      </c>
      <c r="G289" s="18">
        <f>0+'táj.2'!G289</f>
        <v>0</v>
      </c>
      <c r="H289" s="18">
        <f>0+'táj.2'!H289</f>
        <v>0</v>
      </c>
      <c r="I289" s="15">
        <f>0+'táj.2'!I289</f>
        <v>0</v>
      </c>
      <c r="J289" s="18">
        <f>0+'táj.2'!J289</f>
        <v>0</v>
      </c>
      <c r="K289" s="18">
        <f>0+'táj.2'!K289</f>
        <v>0</v>
      </c>
      <c r="L289" s="18">
        <f>0+'táj.2'!L289</f>
        <v>0</v>
      </c>
      <c r="M289" s="18">
        <f>0+'táj.2'!M289</f>
        <v>0</v>
      </c>
      <c r="N289" s="18">
        <f>0+'táj.2'!N289</f>
        <v>0</v>
      </c>
      <c r="O289" s="18">
        <f>0+'táj.2'!O289</f>
        <v>0</v>
      </c>
      <c r="P289" s="18">
        <f>0+'táj.2'!P289</f>
        <v>0</v>
      </c>
      <c r="Q289" s="18">
        <f t="shared" si="18"/>
        <v>0</v>
      </c>
    </row>
    <row r="290" spans="1:17" ht="24" customHeight="1">
      <c r="A290" s="113"/>
      <c r="B290" s="113"/>
      <c r="C290" s="248"/>
      <c r="D290" s="217" t="s">
        <v>949</v>
      </c>
      <c r="E290" s="306">
        <v>1</v>
      </c>
      <c r="F290" s="326">
        <v>151316</v>
      </c>
      <c r="G290" s="18">
        <f>0+'táj.2'!G290</f>
        <v>0</v>
      </c>
      <c r="H290" s="18">
        <f>0+'táj.2'!H290</f>
        <v>0</v>
      </c>
      <c r="I290" s="18">
        <f>6188+'táj.2'!I290</f>
        <v>6188</v>
      </c>
      <c r="J290" s="18">
        <f>0+'táj.2'!J290</f>
        <v>0</v>
      </c>
      <c r="K290" s="18">
        <f>0+'táj.2'!K290</f>
        <v>0</v>
      </c>
      <c r="L290" s="18">
        <f>0+'táj.2'!L290</f>
        <v>0</v>
      </c>
      <c r="M290" s="18">
        <f>0+'táj.2'!M290</f>
        <v>0</v>
      </c>
      <c r="N290" s="18">
        <f>0+'táj.2'!N290</f>
        <v>0</v>
      </c>
      <c r="O290" s="18">
        <f>0+'táj.2'!O290</f>
        <v>0</v>
      </c>
      <c r="P290" s="18">
        <f>0+'táj.2'!P290</f>
        <v>0</v>
      </c>
      <c r="Q290" s="18">
        <f t="shared" si="18"/>
        <v>6188</v>
      </c>
    </row>
    <row r="291" spans="1:17" ht="24.75" customHeight="1">
      <c r="A291" s="113"/>
      <c r="B291" s="113"/>
      <c r="C291" s="248"/>
      <c r="D291" s="233" t="s">
        <v>78</v>
      </c>
      <c r="E291" s="303"/>
      <c r="F291" s="534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>
        <f t="shared" si="18"/>
        <v>0</v>
      </c>
    </row>
    <row r="292" spans="1:17" ht="13.5" customHeight="1">
      <c r="A292" s="113"/>
      <c r="B292" s="113"/>
      <c r="C292" s="248"/>
      <c r="D292" s="17" t="s">
        <v>914</v>
      </c>
      <c r="E292" s="18">
        <v>1</v>
      </c>
      <c r="F292" s="113">
        <v>151703</v>
      </c>
      <c r="G292" s="18">
        <f>0+'táj.2'!G292</f>
        <v>0</v>
      </c>
      <c r="H292" s="18">
        <f>0+'táj.2'!H292</f>
        <v>0</v>
      </c>
      <c r="I292" s="18">
        <f>3435+'táj.2'!I292</f>
        <v>3435</v>
      </c>
      <c r="J292" s="18">
        <f>0+'táj.2'!J292</f>
        <v>0</v>
      </c>
      <c r="K292" s="18">
        <f>0+'táj.2'!K292</f>
        <v>0</v>
      </c>
      <c r="L292" s="18">
        <f>0+'táj.2'!L292</f>
        <v>0</v>
      </c>
      <c r="M292" s="18">
        <f>0+'táj.2'!M292</f>
        <v>0</v>
      </c>
      <c r="N292" s="18">
        <f>0+'táj.2'!N292</f>
        <v>0</v>
      </c>
      <c r="O292" s="18">
        <f>0+'táj.2'!O292</f>
        <v>0</v>
      </c>
      <c r="P292" s="18">
        <f>0+'táj.2'!P292</f>
        <v>0</v>
      </c>
      <c r="Q292" s="18">
        <f t="shared" si="18"/>
        <v>3435</v>
      </c>
    </row>
    <row r="293" spans="1:17" ht="13.5" customHeight="1">
      <c r="A293" s="113"/>
      <c r="B293" s="113"/>
      <c r="C293" s="248"/>
      <c r="D293" s="115" t="s">
        <v>79</v>
      </c>
      <c r="E293" s="302"/>
      <c r="F293" s="522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>
        <f t="shared" si="18"/>
        <v>0</v>
      </c>
    </row>
    <row r="294" spans="1:17" ht="13.5" customHeight="1">
      <c r="A294" s="113"/>
      <c r="B294" s="113"/>
      <c r="C294" s="248"/>
      <c r="D294" s="17" t="s">
        <v>915</v>
      </c>
      <c r="E294" s="18">
        <v>1</v>
      </c>
      <c r="F294" s="113">
        <v>151601</v>
      </c>
      <c r="G294" s="18">
        <f>535+'táj.2'!G294</f>
        <v>275</v>
      </c>
      <c r="H294" s="18">
        <f>0+'táj.2'!H294</f>
        <v>238</v>
      </c>
      <c r="I294" s="18">
        <f>17031+'táj.2'!I294</f>
        <v>15309</v>
      </c>
      <c r="J294" s="18">
        <f>0+'táj.2'!J294</f>
        <v>0</v>
      </c>
      <c r="K294" s="18">
        <f>18+'táj.2'!K294</f>
        <v>18</v>
      </c>
      <c r="L294" s="18">
        <f>2468+'táj.2'!L294</f>
        <v>2299</v>
      </c>
      <c r="M294" s="18">
        <f>0+'táj.2'!M294</f>
        <v>0</v>
      </c>
      <c r="N294" s="18">
        <f>0+'táj.2'!N294</f>
        <v>0</v>
      </c>
      <c r="O294" s="18">
        <f>0+'táj.2'!O294</f>
        <v>0</v>
      </c>
      <c r="P294" s="18">
        <f>0+'táj.2'!P294</f>
        <v>0</v>
      </c>
      <c r="Q294" s="18">
        <f t="shared" si="18"/>
        <v>18139</v>
      </c>
    </row>
    <row r="295" spans="1:17" ht="13.5" customHeight="1">
      <c r="A295" s="113"/>
      <c r="B295" s="113"/>
      <c r="C295" s="248"/>
      <c r="D295" s="16" t="s">
        <v>916</v>
      </c>
      <c r="E295" s="15">
        <v>1</v>
      </c>
      <c r="F295" s="100">
        <v>151602</v>
      </c>
      <c r="G295" s="18">
        <f>0+'táj.2'!G295</f>
        <v>0</v>
      </c>
      <c r="H295" s="18">
        <f>0+'táj.2'!H295</f>
        <v>0</v>
      </c>
      <c r="I295" s="18">
        <f>0+'táj.2'!I295</f>
        <v>0</v>
      </c>
      <c r="J295" s="18">
        <f>0+'táj.2'!J295</f>
        <v>0</v>
      </c>
      <c r="K295" s="18">
        <f>18000+'táj.2'!K295</f>
        <v>18000</v>
      </c>
      <c r="L295" s="18">
        <f>0+'táj.2'!L295</f>
        <v>0</v>
      </c>
      <c r="M295" s="18">
        <f>0+'táj.2'!M295</f>
        <v>0</v>
      </c>
      <c r="N295" s="18">
        <f>0+'táj.2'!N295</f>
        <v>0</v>
      </c>
      <c r="O295" s="18">
        <f>0+'táj.2'!O295</f>
        <v>0</v>
      </c>
      <c r="P295" s="18">
        <f>0+'táj.2'!P295</f>
        <v>0</v>
      </c>
      <c r="Q295" s="18">
        <f t="shared" si="18"/>
        <v>18000</v>
      </c>
    </row>
    <row r="296" spans="1:17" ht="13.5" customHeight="1">
      <c r="A296" s="113"/>
      <c r="B296" s="113"/>
      <c r="C296" s="248"/>
      <c r="D296" s="17" t="s">
        <v>431</v>
      </c>
      <c r="E296" s="18">
        <v>1</v>
      </c>
      <c r="F296" s="113">
        <v>151607</v>
      </c>
      <c r="G296" s="18">
        <f>1032+'táj.2'!G296</f>
        <v>1032</v>
      </c>
      <c r="H296" s="18">
        <f>141+'táj.2'!H296</f>
        <v>403</v>
      </c>
      <c r="I296" s="18">
        <f>19954+'táj.2'!I296</f>
        <v>19692</v>
      </c>
      <c r="J296" s="18">
        <f>0+'táj.2'!J296</f>
        <v>0</v>
      </c>
      <c r="K296" s="18">
        <f>0+'táj.2'!K296</f>
        <v>0</v>
      </c>
      <c r="L296" s="18">
        <f>5000+'táj.2'!L296</f>
        <v>5000</v>
      </c>
      <c r="M296" s="18">
        <f>0+'táj.2'!M296</f>
        <v>0</v>
      </c>
      <c r="N296" s="18">
        <f>0+'táj.2'!N296</f>
        <v>0</v>
      </c>
      <c r="O296" s="18">
        <f>0+'táj.2'!O296</f>
        <v>0</v>
      </c>
      <c r="P296" s="18">
        <f>0+'táj.2'!P296</f>
        <v>0</v>
      </c>
      <c r="Q296" s="18">
        <f t="shared" si="18"/>
        <v>26127</v>
      </c>
    </row>
    <row r="297" spans="1:17" ht="13.5" customHeight="1">
      <c r="A297" s="113"/>
      <c r="B297" s="113"/>
      <c r="C297" s="248"/>
      <c r="D297" s="17" t="s">
        <v>1508</v>
      </c>
      <c r="E297" s="18">
        <v>2</v>
      </c>
      <c r="F297" s="113">
        <v>151610</v>
      </c>
      <c r="G297" s="18">
        <f>220+'táj.2'!G297</f>
        <v>220</v>
      </c>
      <c r="H297" s="18">
        <f>154+'táj.2'!H297</f>
        <v>154</v>
      </c>
      <c r="I297" s="18">
        <f>891+'táj.2'!I297</f>
        <v>891</v>
      </c>
      <c r="J297" s="18">
        <f>0+'táj.2'!J297</f>
        <v>0</v>
      </c>
      <c r="K297" s="18">
        <f>605+'táj.2'!K297</f>
        <v>605</v>
      </c>
      <c r="L297" s="18">
        <f>0+'táj.2'!L297</f>
        <v>0</v>
      </c>
      <c r="M297" s="18">
        <f>0+'táj.2'!M297</f>
        <v>0</v>
      </c>
      <c r="N297" s="18">
        <f>0+'táj.2'!N297</f>
        <v>0</v>
      </c>
      <c r="O297" s="18">
        <f>0+'táj.2'!O297</f>
        <v>0</v>
      </c>
      <c r="P297" s="18">
        <f>0+'táj.2'!P297</f>
        <v>0</v>
      </c>
      <c r="Q297" s="18">
        <f t="shared" si="18"/>
        <v>1870</v>
      </c>
    </row>
    <row r="298" spans="1:17" ht="13.5" customHeight="1">
      <c r="A298" s="113" t="s">
        <v>1283</v>
      </c>
      <c r="B298" s="113"/>
      <c r="C298" s="248"/>
      <c r="D298" s="17" t="s">
        <v>1117</v>
      </c>
      <c r="E298" s="302">
        <v>2</v>
      </c>
      <c r="F298" s="113">
        <v>151619</v>
      </c>
      <c r="G298" s="18">
        <f>0+'táj.2'!G298</f>
        <v>0</v>
      </c>
      <c r="H298" s="18">
        <f>0+'táj.2'!H298</f>
        <v>0</v>
      </c>
      <c r="I298" s="18">
        <f>38650+'táj.2'!I298</f>
        <v>38650</v>
      </c>
      <c r="J298" s="18">
        <f>0+'táj.2'!J298</f>
        <v>0</v>
      </c>
      <c r="K298" s="18">
        <f>0+'táj.2'!K298</f>
        <v>0</v>
      </c>
      <c r="L298" s="18">
        <f>0+'táj.2'!L298</f>
        <v>0</v>
      </c>
      <c r="M298" s="18">
        <f>0+'táj.2'!M298</f>
        <v>0</v>
      </c>
      <c r="N298" s="18">
        <f>0+'táj.2'!N298</f>
        <v>0</v>
      </c>
      <c r="O298" s="18">
        <f>0+'táj.2'!O298</f>
        <v>0</v>
      </c>
      <c r="P298" s="18">
        <f>0+'táj.2'!P298</f>
        <v>0</v>
      </c>
      <c r="Q298" s="18">
        <f t="shared" si="18"/>
        <v>38650</v>
      </c>
    </row>
    <row r="299" spans="1:17" ht="13.5" customHeight="1">
      <c r="A299" s="113"/>
      <c r="B299" s="113"/>
      <c r="C299" s="248"/>
      <c r="D299" s="115" t="s">
        <v>135</v>
      </c>
      <c r="E299" s="180">
        <v>2</v>
      </c>
      <c r="F299" s="521">
        <v>151626</v>
      </c>
      <c r="G299" s="18">
        <f>0+'táj.2'!G299</f>
        <v>0</v>
      </c>
      <c r="H299" s="18">
        <f>0+'táj.2'!H299</f>
        <v>0</v>
      </c>
      <c r="I299" s="18">
        <f>800+'táj.2'!I299</f>
        <v>800</v>
      </c>
      <c r="J299" s="18">
        <f>0+'táj.2'!J299</f>
        <v>0</v>
      </c>
      <c r="K299" s="18">
        <f>0+'táj.2'!K299</f>
        <v>0</v>
      </c>
      <c r="L299" s="18">
        <f>0+'táj.2'!L299</f>
        <v>0</v>
      </c>
      <c r="M299" s="18">
        <f>0+'táj.2'!M299</f>
        <v>0</v>
      </c>
      <c r="N299" s="18">
        <f>0+'táj.2'!N299</f>
        <v>0</v>
      </c>
      <c r="O299" s="18">
        <f>0+'táj.2'!O299</f>
        <v>0</v>
      </c>
      <c r="P299" s="18">
        <f>0+'táj.2'!P299</f>
        <v>0</v>
      </c>
      <c r="Q299" s="18">
        <f t="shared" si="18"/>
        <v>800</v>
      </c>
    </row>
    <row r="300" spans="1:17" ht="24.75" customHeight="1">
      <c r="A300" s="113"/>
      <c r="B300" s="113"/>
      <c r="C300" s="248"/>
      <c r="D300" s="207" t="s">
        <v>136</v>
      </c>
      <c r="E300" s="160">
        <v>2</v>
      </c>
      <c r="F300" s="483">
        <v>151627</v>
      </c>
      <c r="G300" s="18">
        <f>0+'táj.2'!G300</f>
        <v>0</v>
      </c>
      <c r="H300" s="18">
        <f>0+'táj.2'!H300</f>
        <v>0</v>
      </c>
      <c r="I300" s="18">
        <f>1500+'táj.2'!I300</f>
        <v>1500</v>
      </c>
      <c r="J300" s="18">
        <f>0+'táj.2'!J300</f>
        <v>0</v>
      </c>
      <c r="K300" s="18">
        <f>0+'táj.2'!K300</f>
        <v>0</v>
      </c>
      <c r="L300" s="18">
        <f>0+'táj.2'!L300</f>
        <v>0</v>
      </c>
      <c r="M300" s="18">
        <f>0+'táj.2'!M300</f>
        <v>0</v>
      </c>
      <c r="N300" s="18">
        <f>0+'táj.2'!N300</f>
        <v>0</v>
      </c>
      <c r="O300" s="18">
        <f>0+'táj.2'!O300</f>
        <v>0</v>
      </c>
      <c r="P300" s="18">
        <f>0+'táj.2'!P300</f>
        <v>0</v>
      </c>
      <c r="Q300" s="18">
        <f t="shared" si="18"/>
        <v>1500</v>
      </c>
    </row>
    <row r="301" spans="1:17" ht="13.5" customHeight="1">
      <c r="A301" s="113"/>
      <c r="B301" s="113"/>
      <c r="C301" s="248"/>
      <c r="D301" s="17" t="s">
        <v>910</v>
      </c>
      <c r="E301" s="18">
        <v>1</v>
      </c>
      <c r="F301" s="113">
        <v>151603</v>
      </c>
      <c r="G301" s="18">
        <f>0+'táj.2'!G301</f>
        <v>0</v>
      </c>
      <c r="H301" s="18">
        <f>0+'táj.2'!H301</f>
        <v>0</v>
      </c>
      <c r="I301" s="18">
        <f>63551+'táj.2'!I301</f>
        <v>63551</v>
      </c>
      <c r="J301" s="18">
        <f>0+'táj.2'!J301</f>
        <v>0</v>
      </c>
      <c r="K301" s="18">
        <f>0+'táj.2'!K301</f>
        <v>0</v>
      </c>
      <c r="L301" s="18">
        <f>0+'táj.2'!L301</f>
        <v>0</v>
      </c>
      <c r="M301" s="18">
        <f>0+'táj.2'!M301</f>
        <v>0</v>
      </c>
      <c r="N301" s="18">
        <f>0+'táj.2'!N301</f>
        <v>0</v>
      </c>
      <c r="O301" s="18">
        <f>0+'táj.2'!O301</f>
        <v>0</v>
      </c>
      <c r="P301" s="18">
        <f>0+'táj.2'!P301</f>
        <v>0</v>
      </c>
      <c r="Q301" s="18">
        <f t="shared" si="18"/>
        <v>63551</v>
      </c>
    </row>
    <row r="302" spans="1:17" ht="13.5" customHeight="1">
      <c r="A302" s="113"/>
      <c r="B302" s="113"/>
      <c r="C302" s="248"/>
      <c r="D302" s="17" t="s">
        <v>139</v>
      </c>
      <c r="E302" s="18">
        <v>1</v>
      </c>
      <c r="F302" s="113">
        <v>151605</v>
      </c>
      <c r="G302" s="18">
        <f>0+'táj.2'!G302</f>
        <v>0</v>
      </c>
      <c r="H302" s="18">
        <f>0+'táj.2'!H302</f>
        <v>0</v>
      </c>
      <c r="I302" s="18">
        <f>102783+'táj.2'!I302</f>
        <v>102783</v>
      </c>
      <c r="J302" s="18">
        <f>0+'táj.2'!J302</f>
        <v>0</v>
      </c>
      <c r="K302" s="18">
        <f>0+'táj.2'!K302</f>
        <v>0</v>
      </c>
      <c r="L302" s="18">
        <f>0+'táj.2'!L302</f>
        <v>0</v>
      </c>
      <c r="M302" s="18">
        <f>0+'táj.2'!M302</f>
        <v>0</v>
      </c>
      <c r="N302" s="18">
        <f>0+'táj.2'!N302</f>
        <v>0</v>
      </c>
      <c r="O302" s="18">
        <f>0+'táj.2'!O302</f>
        <v>0</v>
      </c>
      <c r="P302" s="18">
        <f>0+'táj.2'!P302</f>
        <v>0</v>
      </c>
      <c r="Q302" s="18">
        <f t="shared" si="18"/>
        <v>102783</v>
      </c>
    </row>
    <row r="303" spans="1:17" ht="13.5" customHeight="1">
      <c r="A303" s="113"/>
      <c r="B303" s="113"/>
      <c r="C303" s="248"/>
      <c r="D303" s="17" t="s">
        <v>913</v>
      </c>
      <c r="E303" s="18">
        <v>1</v>
      </c>
      <c r="F303" s="113">
        <v>151608</v>
      </c>
      <c r="G303" s="18">
        <f>0+'táj.2'!G303</f>
        <v>0</v>
      </c>
      <c r="H303" s="18">
        <f>0+'táj.2'!H303</f>
        <v>0</v>
      </c>
      <c r="I303" s="18">
        <f>40000+'táj.2'!I303</f>
        <v>40000</v>
      </c>
      <c r="J303" s="18">
        <f>0+'táj.2'!J303</f>
        <v>0</v>
      </c>
      <c r="K303" s="18">
        <f>0+'táj.2'!K303</f>
        <v>0</v>
      </c>
      <c r="L303" s="18">
        <f>0+'táj.2'!L303</f>
        <v>0</v>
      </c>
      <c r="M303" s="18">
        <f>0+'táj.2'!M303</f>
        <v>0</v>
      </c>
      <c r="N303" s="18">
        <f>0+'táj.2'!N303</f>
        <v>0</v>
      </c>
      <c r="O303" s="18">
        <f>0+'táj.2'!O303</f>
        <v>0</v>
      </c>
      <c r="P303" s="18">
        <f>0+'táj.2'!P303</f>
        <v>0</v>
      </c>
      <c r="Q303" s="18">
        <f t="shared" si="18"/>
        <v>40000</v>
      </c>
    </row>
    <row r="304" spans="1:17" ht="13.5" customHeight="1">
      <c r="A304" s="113"/>
      <c r="B304" s="113"/>
      <c r="C304" s="248"/>
      <c r="D304" s="17" t="s">
        <v>140</v>
      </c>
      <c r="E304" s="18">
        <v>2</v>
      </c>
      <c r="F304" s="113">
        <v>151624</v>
      </c>
      <c r="G304" s="18">
        <f>0+'táj.2'!G304</f>
        <v>0</v>
      </c>
      <c r="H304" s="18">
        <f>0+'táj.2'!H304</f>
        <v>0</v>
      </c>
      <c r="I304" s="18">
        <f>0+'táj.2'!I304</f>
        <v>0</v>
      </c>
      <c r="J304" s="18">
        <f>0+'táj.2'!J304</f>
        <v>0</v>
      </c>
      <c r="K304" s="18">
        <f>2745+'táj.2'!K304</f>
        <v>2745</v>
      </c>
      <c r="L304" s="18">
        <f>0+'táj.2'!L304</f>
        <v>0</v>
      </c>
      <c r="M304" s="18">
        <f>0+'táj.2'!M304</f>
        <v>0</v>
      </c>
      <c r="N304" s="18">
        <f>0+'táj.2'!N304</f>
        <v>0</v>
      </c>
      <c r="O304" s="18">
        <f>0+'táj.2'!O304</f>
        <v>0</v>
      </c>
      <c r="P304" s="18">
        <f>0+'táj.2'!P304</f>
        <v>0</v>
      </c>
      <c r="Q304" s="18">
        <f t="shared" si="18"/>
        <v>2745</v>
      </c>
    </row>
    <row r="305" spans="1:17" ht="13.5" customHeight="1">
      <c r="A305" s="113"/>
      <c r="B305" s="113"/>
      <c r="C305" s="248"/>
      <c r="D305" s="17" t="s">
        <v>37</v>
      </c>
      <c r="E305" s="18">
        <v>2</v>
      </c>
      <c r="F305" s="113">
        <v>151621</v>
      </c>
      <c r="G305" s="18">
        <f>0+'táj.2'!G305</f>
        <v>0</v>
      </c>
      <c r="H305" s="18">
        <f>0+'táj.2'!H305</f>
        <v>0</v>
      </c>
      <c r="I305" s="18">
        <f>0+'táj.2'!I305</f>
        <v>0</v>
      </c>
      <c r="J305" s="18">
        <f>0+'táj.2'!J305</f>
        <v>0</v>
      </c>
      <c r="K305" s="18">
        <f>0+'táj.2'!K305</f>
        <v>0</v>
      </c>
      <c r="L305" s="18">
        <f>0+'táj.2'!L305</f>
        <v>0</v>
      </c>
      <c r="M305" s="18">
        <f>0+'táj.2'!M305</f>
        <v>0</v>
      </c>
      <c r="N305" s="18">
        <f>0+'táj.2'!N305</f>
        <v>0</v>
      </c>
      <c r="O305" s="18">
        <f>0+'táj.2'!O305</f>
        <v>0</v>
      </c>
      <c r="P305" s="18">
        <f>0+'táj.2'!P305</f>
        <v>0</v>
      </c>
      <c r="Q305" s="18">
        <f t="shared" si="18"/>
        <v>0</v>
      </c>
    </row>
    <row r="306" spans="1:17" ht="13.5" customHeight="1">
      <c r="A306" s="113"/>
      <c r="B306" s="113"/>
      <c r="C306" s="248"/>
      <c r="D306" s="17" t="s">
        <v>401</v>
      </c>
      <c r="E306" s="18">
        <v>1</v>
      </c>
      <c r="F306" s="100">
        <v>151631</v>
      </c>
      <c r="G306" s="18">
        <f>0+'táj.2'!G306</f>
        <v>0</v>
      </c>
      <c r="H306" s="18">
        <f>0+'táj.2'!H306</f>
        <v>0</v>
      </c>
      <c r="I306" s="15">
        <f>0+'táj.2'!I306</f>
        <v>0</v>
      </c>
      <c r="J306" s="18">
        <f>0+'táj.2'!J306</f>
        <v>0</v>
      </c>
      <c r="K306" s="18">
        <f>0+'táj.2'!K306</f>
        <v>0</v>
      </c>
      <c r="L306" s="18">
        <f>0+'táj.2'!L306</f>
        <v>0</v>
      </c>
      <c r="M306" s="18">
        <f>0+'táj.2'!M306</f>
        <v>0</v>
      </c>
      <c r="N306" s="18">
        <f>0+'táj.2'!N306</f>
        <v>0</v>
      </c>
      <c r="O306" s="18">
        <f>0+'táj.2'!O306</f>
        <v>0</v>
      </c>
      <c r="P306" s="18">
        <f>0+'táj.2'!P306</f>
        <v>0</v>
      </c>
      <c r="Q306" s="18">
        <f t="shared" si="18"/>
        <v>0</v>
      </c>
    </row>
    <row r="307" spans="1:17" ht="13.5" customHeight="1">
      <c r="A307" s="113"/>
      <c r="B307" s="113"/>
      <c r="C307" s="248"/>
      <c r="D307" s="323" t="s">
        <v>406</v>
      </c>
      <c r="E307" s="18">
        <v>1</v>
      </c>
      <c r="F307" s="100">
        <v>151632</v>
      </c>
      <c r="G307" s="18">
        <f>0+'táj.2'!G307</f>
        <v>0</v>
      </c>
      <c r="H307" s="18">
        <f>0+'táj.2'!H307</f>
        <v>0</v>
      </c>
      <c r="I307" s="18">
        <f>4000+'táj.2'!I307</f>
        <v>4000</v>
      </c>
      <c r="J307" s="18">
        <f>0+'táj.2'!J307</f>
        <v>0</v>
      </c>
      <c r="K307" s="18">
        <f>0+'táj.2'!K307</f>
        <v>0</v>
      </c>
      <c r="L307" s="18">
        <f>0+'táj.2'!L307</f>
        <v>0</v>
      </c>
      <c r="M307" s="18">
        <f>0+'táj.2'!M307</f>
        <v>0</v>
      </c>
      <c r="N307" s="18">
        <f>0+'táj.2'!N307</f>
        <v>0</v>
      </c>
      <c r="O307" s="18">
        <f>0+'táj.2'!O307</f>
        <v>0</v>
      </c>
      <c r="P307" s="18">
        <f>0+'táj.2'!P307</f>
        <v>0</v>
      </c>
      <c r="Q307" s="18">
        <f t="shared" si="18"/>
        <v>4000</v>
      </c>
    </row>
    <row r="308" spans="1:17" ht="13.5" customHeight="1">
      <c r="A308" s="113"/>
      <c r="B308" s="113"/>
      <c r="C308" s="248"/>
      <c r="D308" s="669" t="s">
        <v>923</v>
      </c>
      <c r="E308" s="18">
        <v>2</v>
      </c>
      <c r="F308" s="113">
        <v>151606</v>
      </c>
      <c r="G308" s="18">
        <f>0+'táj.2'!G308</f>
        <v>0</v>
      </c>
      <c r="H308" s="18">
        <f>0+'táj.2'!H308</f>
        <v>0</v>
      </c>
      <c r="I308" s="18">
        <f>0+'táj.2'!I308</f>
        <v>0</v>
      </c>
      <c r="J308" s="18">
        <f>0+'táj.2'!J308</f>
        <v>0</v>
      </c>
      <c r="K308" s="18">
        <f>1835+'táj.2'!K308</f>
        <v>1835</v>
      </c>
      <c r="L308" s="18">
        <f>0+'táj.2'!L308</f>
        <v>0</v>
      </c>
      <c r="M308" s="18">
        <f>0+'táj.2'!M308</f>
        <v>0</v>
      </c>
      <c r="N308" s="18">
        <f>270+'táj.2'!N308</f>
        <v>270</v>
      </c>
      <c r="O308" s="18">
        <f>0+'táj.2'!O308</f>
        <v>0</v>
      </c>
      <c r="P308" s="18">
        <f>0+'táj.2'!P308</f>
        <v>0</v>
      </c>
      <c r="Q308" s="18">
        <f t="shared" si="18"/>
        <v>2105</v>
      </c>
    </row>
    <row r="309" spans="1:17" ht="13.5" customHeight="1">
      <c r="A309" s="113"/>
      <c r="B309" s="113"/>
      <c r="C309" s="248"/>
      <c r="D309" s="669" t="s">
        <v>262</v>
      </c>
      <c r="E309" s="18">
        <v>2</v>
      </c>
      <c r="F309" s="100">
        <v>151622</v>
      </c>
      <c r="G309" s="18">
        <f>0+'táj.2'!G309</f>
        <v>0</v>
      </c>
      <c r="H309" s="18">
        <f>0+'táj.2'!H309</f>
        <v>0</v>
      </c>
      <c r="I309" s="18">
        <f>0+'táj.2'!I309</f>
        <v>0</v>
      </c>
      <c r="J309" s="18">
        <f>0+'táj.2'!J309</f>
        <v>0</v>
      </c>
      <c r="K309" s="18">
        <f>6524+'táj.2'!K309</f>
        <v>6524</v>
      </c>
      <c r="L309" s="18">
        <f>0+'táj.2'!L309</f>
        <v>0</v>
      </c>
      <c r="M309" s="18">
        <f>0+'táj.2'!M309</f>
        <v>0</v>
      </c>
      <c r="N309" s="18">
        <f>0+'táj.2'!N309</f>
        <v>0</v>
      </c>
      <c r="O309" s="18">
        <f>0+'táj.2'!O309</f>
        <v>0</v>
      </c>
      <c r="P309" s="18">
        <f>0+'táj.2'!P309</f>
        <v>0</v>
      </c>
      <c r="Q309" s="18">
        <f t="shared" si="18"/>
        <v>6524</v>
      </c>
    </row>
    <row r="310" spans="1:17" ht="12.75" customHeight="1">
      <c r="A310" s="113"/>
      <c r="B310" s="113"/>
      <c r="C310" s="248"/>
      <c r="D310" s="221" t="s">
        <v>80</v>
      </c>
      <c r="E310" s="18"/>
      <c r="F310" s="113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</row>
    <row r="311" spans="1:17" ht="12.75" customHeight="1">
      <c r="A311" s="113"/>
      <c r="B311" s="113"/>
      <c r="C311" s="248"/>
      <c r="D311" s="17" t="s">
        <v>430</v>
      </c>
      <c r="E311" s="18">
        <v>1</v>
      </c>
      <c r="F311" s="113">
        <v>151505</v>
      </c>
      <c r="G311" s="18">
        <f>0+'táj.2'!G311</f>
        <v>0</v>
      </c>
      <c r="H311" s="18">
        <f>0+'táj.2'!H311</f>
        <v>0</v>
      </c>
      <c r="I311" s="18">
        <f>8547+'táj.2'!I311</f>
        <v>8547</v>
      </c>
      <c r="J311" s="18">
        <f>0+'táj.2'!J311</f>
        <v>0</v>
      </c>
      <c r="K311" s="18">
        <f>0+'táj.2'!K311</f>
        <v>0</v>
      </c>
      <c r="L311" s="18">
        <f>0+'táj.2'!L311</f>
        <v>0</v>
      </c>
      <c r="M311" s="18">
        <f>0+'táj.2'!M311</f>
        <v>0</v>
      </c>
      <c r="N311" s="18">
        <f>0+'táj.2'!N311</f>
        <v>0</v>
      </c>
      <c r="O311" s="18">
        <f>0+'táj.2'!O311</f>
        <v>0</v>
      </c>
      <c r="P311" s="18">
        <f>0+'táj.2'!P311</f>
        <v>0</v>
      </c>
      <c r="Q311" s="18">
        <f>SUM(G311:P311)</f>
        <v>8547</v>
      </c>
    </row>
    <row r="312" spans="1:17" ht="12.75" customHeight="1">
      <c r="A312" s="113"/>
      <c r="B312" s="113"/>
      <c r="C312" s="248"/>
      <c r="D312" s="115" t="s">
        <v>81</v>
      </c>
      <c r="E312" s="302"/>
      <c r="F312" s="522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</row>
    <row r="313" spans="1:17" ht="13.5" customHeight="1">
      <c r="A313" s="113"/>
      <c r="B313" s="113"/>
      <c r="C313" s="113"/>
      <c r="D313" s="17" t="s">
        <v>127</v>
      </c>
      <c r="E313" s="18">
        <v>2</v>
      </c>
      <c r="F313" s="113">
        <v>151906</v>
      </c>
      <c r="G313" s="18">
        <f>0+'táj.2'!G313</f>
        <v>0</v>
      </c>
      <c r="H313" s="18">
        <f>0+'táj.2'!H313</f>
        <v>0</v>
      </c>
      <c r="I313" s="18">
        <f>121000+'táj.2'!I313</f>
        <v>121056</v>
      </c>
      <c r="J313" s="18">
        <f>0+'táj.2'!J313</f>
        <v>0</v>
      </c>
      <c r="K313" s="18">
        <f>0+'táj.2'!K313</f>
        <v>0</v>
      </c>
      <c r="L313" s="18">
        <f>0+'táj.2'!L313</f>
        <v>0</v>
      </c>
      <c r="M313" s="18">
        <f>0+'táj.2'!M313</f>
        <v>0</v>
      </c>
      <c r="N313" s="18">
        <f>0+'táj.2'!N313</f>
        <v>0</v>
      </c>
      <c r="O313" s="18">
        <f>0+'táj.2'!O313</f>
        <v>0</v>
      </c>
      <c r="P313" s="18">
        <f>0+'táj.2'!P313</f>
        <v>0</v>
      </c>
      <c r="Q313" s="18">
        <f>SUM(G313:P313)</f>
        <v>121056</v>
      </c>
    </row>
    <row r="314" spans="1:17" ht="13.5" customHeight="1">
      <c r="A314" s="113"/>
      <c r="B314" s="113"/>
      <c r="C314" s="248"/>
      <c r="D314" s="17" t="s">
        <v>6</v>
      </c>
      <c r="E314" s="18">
        <v>2</v>
      </c>
      <c r="F314" s="113">
        <v>151915</v>
      </c>
      <c r="G314" s="18">
        <f>0+'táj.2'!G314</f>
        <v>0</v>
      </c>
      <c r="H314" s="18">
        <f>0+'táj.2'!H314</f>
        <v>0</v>
      </c>
      <c r="I314" s="18">
        <f>2667+'táj.2'!I314</f>
        <v>2667</v>
      </c>
      <c r="J314" s="18">
        <f>0+'táj.2'!J314</f>
        <v>0</v>
      </c>
      <c r="K314" s="18">
        <f>0+'táj.2'!K314</f>
        <v>0</v>
      </c>
      <c r="L314" s="18">
        <f>0+'táj.2'!L314</f>
        <v>0</v>
      </c>
      <c r="M314" s="18">
        <f>0+'táj.2'!M314</f>
        <v>0</v>
      </c>
      <c r="N314" s="18">
        <f>0+'táj.2'!N314</f>
        <v>0</v>
      </c>
      <c r="O314" s="18">
        <f>0+'táj.2'!O314</f>
        <v>0</v>
      </c>
      <c r="P314" s="18">
        <f>0+'táj.2'!P314</f>
        <v>0</v>
      </c>
      <c r="Q314" s="18">
        <f>SUM(G314:P314)</f>
        <v>2667</v>
      </c>
    </row>
    <row r="315" spans="1:17" ht="13.5" customHeight="1">
      <c r="A315" s="113"/>
      <c r="B315" s="113"/>
      <c r="C315" s="248"/>
      <c r="D315" s="17" t="s">
        <v>146</v>
      </c>
      <c r="E315" s="18">
        <v>2</v>
      </c>
      <c r="F315" s="113">
        <v>151907</v>
      </c>
      <c r="G315" s="18">
        <f>0+'táj.2'!G315</f>
        <v>0</v>
      </c>
      <c r="H315" s="18">
        <f>0+'táj.2'!H315</f>
        <v>0</v>
      </c>
      <c r="I315" s="18">
        <f>165367+'táj.2'!I315</f>
        <v>165367</v>
      </c>
      <c r="J315" s="18">
        <f>0+'táj.2'!J315</f>
        <v>0</v>
      </c>
      <c r="K315" s="18">
        <f>0+'táj.2'!K315</f>
        <v>0</v>
      </c>
      <c r="L315" s="18">
        <f>0+'táj.2'!L315</f>
        <v>0</v>
      </c>
      <c r="M315" s="18">
        <f>0+'táj.2'!M315</f>
        <v>0</v>
      </c>
      <c r="N315" s="18">
        <f>0+'táj.2'!N315</f>
        <v>0</v>
      </c>
      <c r="O315" s="18">
        <f>0+'táj.2'!O315</f>
        <v>0</v>
      </c>
      <c r="P315" s="18">
        <f>0+'táj.2'!P315</f>
        <v>0</v>
      </c>
      <c r="Q315" s="18">
        <f>SUM(G315:P315)</f>
        <v>165367</v>
      </c>
    </row>
    <row r="316" spans="1:17" ht="13.5" customHeight="1">
      <c r="A316" s="113"/>
      <c r="B316" s="113"/>
      <c r="C316" s="248"/>
      <c r="D316" s="17" t="s">
        <v>912</v>
      </c>
      <c r="E316" s="18">
        <v>2</v>
      </c>
      <c r="F316" s="113">
        <v>151914</v>
      </c>
      <c r="G316" s="18">
        <f>0+'táj.2'!G316</f>
        <v>0</v>
      </c>
      <c r="H316" s="18">
        <f>0+'táj.2'!H316</f>
        <v>0</v>
      </c>
      <c r="I316" s="18">
        <f>2833+'táj.2'!I316</f>
        <v>2833</v>
      </c>
      <c r="J316" s="18">
        <f>0+'táj.2'!J316</f>
        <v>0</v>
      </c>
      <c r="K316" s="18">
        <f>0+'táj.2'!K316</f>
        <v>0</v>
      </c>
      <c r="L316" s="18">
        <f>1167+'táj.2'!L316</f>
        <v>1167</v>
      </c>
      <c r="M316" s="18">
        <f>0+'táj.2'!M316</f>
        <v>0</v>
      </c>
      <c r="N316" s="18">
        <f>0+'táj.2'!N316</f>
        <v>0</v>
      </c>
      <c r="O316" s="18">
        <f>0+'táj.2'!O316</f>
        <v>0</v>
      </c>
      <c r="P316" s="18">
        <f>0+'táj.2'!P316</f>
        <v>0</v>
      </c>
      <c r="Q316" s="18">
        <f>SUM(G316:P316)</f>
        <v>4000</v>
      </c>
    </row>
    <row r="317" spans="1:17" ht="13.5" customHeight="1">
      <c r="A317" s="113"/>
      <c r="B317" s="113"/>
      <c r="C317" s="248"/>
      <c r="D317" s="16" t="s">
        <v>1186</v>
      </c>
      <c r="E317" s="15">
        <v>2</v>
      </c>
      <c r="F317" s="100">
        <v>151909</v>
      </c>
      <c r="G317" s="18">
        <f>0+'táj.2'!G317</f>
        <v>0</v>
      </c>
      <c r="H317" s="18">
        <f>0+'táj.2'!H317</f>
        <v>0</v>
      </c>
      <c r="I317" s="18">
        <f>0+'táj.2'!I317</f>
        <v>0</v>
      </c>
      <c r="J317" s="18">
        <f>0+'táj.2'!J317</f>
        <v>0</v>
      </c>
      <c r="K317" s="18">
        <f>3164+'táj.2'!K317</f>
        <v>3164</v>
      </c>
      <c r="L317" s="18">
        <f>0+'táj.2'!L317</f>
        <v>0</v>
      </c>
      <c r="M317" s="18">
        <f>0+'táj.2'!M317</f>
        <v>0</v>
      </c>
      <c r="N317" s="18">
        <f>0+'táj.2'!N317</f>
        <v>0</v>
      </c>
      <c r="O317" s="18">
        <f>0+'táj.2'!O317</f>
        <v>0</v>
      </c>
      <c r="P317" s="18">
        <f>0+'táj.2'!P317</f>
        <v>0</v>
      </c>
      <c r="Q317" s="18">
        <f>SUM(G317:P317)</f>
        <v>3164</v>
      </c>
    </row>
    <row r="318" spans="1:17" ht="13.5" customHeight="1">
      <c r="A318" s="113"/>
      <c r="B318" s="113"/>
      <c r="C318" s="248"/>
      <c r="D318" s="115" t="s">
        <v>83</v>
      </c>
      <c r="E318" s="302"/>
      <c r="F318" s="522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</row>
    <row r="319" spans="1:17" ht="13.5" customHeight="1">
      <c r="A319" s="113"/>
      <c r="B319" s="113"/>
      <c r="C319" s="248"/>
      <c r="D319" s="115" t="s">
        <v>804</v>
      </c>
      <c r="E319" s="302">
        <v>1</v>
      </c>
      <c r="F319" s="113">
        <v>151801</v>
      </c>
      <c r="G319" s="18">
        <f>0+'táj.2'!G319</f>
        <v>0</v>
      </c>
      <c r="H319" s="18">
        <f>0+'táj.2'!H319</f>
        <v>0</v>
      </c>
      <c r="I319" s="18">
        <f>305+'táj.2'!I319</f>
        <v>305</v>
      </c>
      <c r="J319" s="18">
        <f>0+'táj.2'!J319</f>
        <v>0</v>
      </c>
      <c r="K319" s="18">
        <f>25053+'táj.2'!K319</f>
        <v>25053</v>
      </c>
      <c r="L319" s="18">
        <f>0+'táj.2'!L319</f>
        <v>0</v>
      </c>
      <c r="M319" s="18">
        <f>0+'táj.2'!M319</f>
        <v>0</v>
      </c>
      <c r="N319" s="18">
        <f>499+'táj.2'!N319</f>
        <v>499</v>
      </c>
      <c r="O319" s="18">
        <f>0+'táj.2'!O319</f>
        <v>0</v>
      </c>
      <c r="P319" s="18">
        <f>0+'táj.2'!P319</f>
        <v>0</v>
      </c>
      <c r="Q319" s="18">
        <f aca="true" t="shared" si="19" ref="Q319:Q333">SUM(G319:P319)</f>
        <v>25857</v>
      </c>
    </row>
    <row r="320" spans="1:17" ht="13.5" customHeight="1">
      <c r="A320" s="113"/>
      <c r="B320" s="113"/>
      <c r="C320" s="248"/>
      <c r="D320" s="115" t="s">
        <v>795</v>
      </c>
      <c r="E320" s="302">
        <v>1</v>
      </c>
      <c r="F320" s="113">
        <v>151803</v>
      </c>
      <c r="G320" s="18">
        <f>0+'táj.2'!G320</f>
        <v>0</v>
      </c>
      <c r="H320" s="18">
        <f>0+'táj.2'!H320</f>
        <v>0</v>
      </c>
      <c r="I320" s="18">
        <f>500+'táj.2'!I320</f>
        <v>500</v>
      </c>
      <c r="J320" s="18">
        <f>0+'táj.2'!J320</f>
        <v>0</v>
      </c>
      <c r="K320" s="18">
        <f>0+'táj.2'!K320</f>
        <v>0</v>
      </c>
      <c r="L320" s="18">
        <f>0+'táj.2'!L320</f>
        <v>0</v>
      </c>
      <c r="M320" s="18">
        <f>0+'táj.2'!M320</f>
        <v>0</v>
      </c>
      <c r="N320" s="18">
        <f>0+'táj.2'!N320</f>
        <v>0</v>
      </c>
      <c r="O320" s="18">
        <f>0+'táj.2'!O320</f>
        <v>0</v>
      </c>
      <c r="P320" s="18">
        <f>0+'táj.2'!P320</f>
        <v>0</v>
      </c>
      <c r="Q320" s="18">
        <f t="shared" si="19"/>
        <v>500</v>
      </c>
    </row>
    <row r="321" spans="1:17" ht="13.5" customHeight="1">
      <c r="A321" s="113"/>
      <c r="B321" s="113"/>
      <c r="C321" s="248"/>
      <c r="D321" s="115" t="s">
        <v>549</v>
      </c>
      <c r="E321" s="302">
        <v>1</v>
      </c>
      <c r="F321" s="113">
        <v>151802</v>
      </c>
      <c r="G321" s="18">
        <f>0+'táj.2'!G321</f>
        <v>0</v>
      </c>
      <c r="H321" s="18">
        <f>0+'táj.2'!H321</f>
        <v>0</v>
      </c>
      <c r="I321" s="18">
        <f>0+'táj.2'!I321</f>
        <v>0</v>
      </c>
      <c r="J321" s="18">
        <f>0+'táj.2'!J321</f>
        <v>0</v>
      </c>
      <c r="K321" s="18">
        <f>0+'táj.2'!K321</f>
        <v>0</v>
      </c>
      <c r="L321" s="18">
        <f>0+'táj.2'!L321</f>
        <v>0</v>
      </c>
      <c r="M321" s="18">
        <f>0+'táj.2'!M321</f>
        <v>0</v>
      </c>
      <c r="N321" s="18">
        <f>0+'táj.2'!N321</f>
        <v>0</v>
      </c>
      <c r="O321" s="18">
        <f>0+'táj.2'!O321</f>
        <v>0</v>
      </c>
      <c r="P321" s="18">
        <f>0+'táj.2'!P321</f>
        <v>0</v>
      </c>
      <c r="Q321" s="18">
        <f t="shared" si="19"/>
        <v>0</v>
      </c>
    </row>
    <row r="322" spans="1:17" ht="13.5" customHeight="1">
      <c r="A322" s="113"/>
      <c r="B322" s="113"/>
      <c r="C322" s="248"/>
      <c r="D322" s="115" t="s">
        <v>84</v>
      </c>
      <c r="E322" s="302"/>
      <c r="F322" s="522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>
        <f t="shared" si="19"/>
        <v>0</v>
      </c>
    </row>
    <row r="323" spans="1:17" ht="13.5" customHeight="1">
      <c r="A323" s="113"/>
      <c r="B323" s="113"/>
      <c r="C323" s="248"/>
      <c r="D323" s="115" t="s">
        <v>782</v>
      </c>
      <c r="E323" s="18">
        <v>1</v>
      </c>
      <c r="F323" s="113">
        <v>151201</v>
      </c>
      <c r="G323" s="18">
        <f>0+'táj.2'!G323</f>
        <v>0</v>
      </c>
      <c r="H323" s="18">
        <f>0+'táj.2'!H323</f>
        <v>0</v>
      </c>
      <c r="I323" s="18">
        <f>120888+'táj.2'!I323</f>
        <v>120888</v>
      </c>
      <c r="J323" s="18">
        <f>0+'táj.2'!J323</f>
        <v>0</v>
      </c>
      <c r="K323" s="18">
        <f>0+'táj.2'!K323</f>
        <v>0</v>
      </c>
      <c r="L323" s="18">
        <f>0+'táj.2'!L323</f>
        <v>0</v>
      </c>
      <c r="M323" s="18">
        <f>0+'táj.2'!M323</f>
        <v>0</v>
      </c>
      <c r="N323" s="18">
        <f>0+'táj.2'!N323</f>
        <v>0</v>
      </c>
      <c r="O323" s="18">
        <f>0+'táj.2'!O323</f>
        <v>0</v>
      </c>
      <c r="P323" s="18">
        <f>0+'táj.2'!P323</f>
        <v>0</v>
      </c>
      <c r="Q323" s="18">
        <f t="shared" si="19"/>
        <v>120888</v>
      </c>
    </row>
    <row r="324" spans="1:17" ht="13.5" customHeight="1">
      <c r="A324" s="113"/>
      <c r="B324" s="113"/>
      <c r="C324" s="248"/>
      <c r="D324" s="115" t="s">
        <v>1001</v>
      </c>
      <c r="E324" s="18">
        <v>2</v>
      </c>
      <c r="F324" s="113">
        <v>151203</v>
      </c>
      <c r="G324" s="18">
        <f>0+'táj.2'!G324</f>
        <v>0</v>
      </c>
      <c r="H324" s="18">
        <f>0+'táj.2'!H324</f>
        <v>0</v>
      </c>
      <c r="I324" s="18">
        <f>10089+'táj.2'!I324</f>
        <v>10089</v>
      </c>
      <c r="J324" s="18">
        <f>0+'táj.2'!J324</f>
        <v>0</v>
      </c>
      <c r="K324" s="18">
        <f>0+'táj.2'!K324</f>
        <v>0</v>
      </c>
      <c r="L324" s="18">
        <f>416+'táj.2'!L324</f>
        <v>416</v>
      </c>
      <c r="M324" s="18">
        <f>0+'táj.2'!M324</f>
        <v>0</v>
      </c>
      <c r="N324" s="18">
        <f>0+'táj.2'!N324</f>
        <v>0</v>
      </c>
      <c r="O324" s="18">
        <f>0+'táj.2'!O324</f>
        <v>0</v>
      </c>
      <c r="P324" s="18">
        <f>0+'táj.2'!P324</f>
        <v>0</v>
      </c>
      <c r="Q324" s="18">
        <f t="shared" si="19"/>
        <v>10505</v>
      </c>
    </row>
    <row r="325" spans="1:17" ht="13.5" customHeight="1">
      <c r="A325" s="113"/>
      <c r="B325" s="113"/>
      <c r="C325" s="248"/>
      <c r="D325" s="115" t="s">
        <v>283</v>
      </c>
      <c r="E325" s="302">
        <v>1</v>
      </c>
      <c r="F325" s="113">
        <v>151204</v>
      </c>
      <c r="G325" s="18">
        <f>0+'táj.2'!G325</f>
        <v>0</v>
      </c>
      <c r="H325" s="18">
        <f>0+'táj.2'!H325</f>
        <v>0</v>
      </c>
      <c r="I325" s="18">
        <f>1000+'táj.2'!I325</f>
        <v>1000</v>
      </c>
      <c r="J325" s="18">
        <f>0+'táj.2'!J325</f>
        <v>0</v>
      </c>
      <c r="K325" s="18">
        <f>0+'táj.2'!K325</f>
        <v>0</v>
      </c>
      <c r="L325" s="18">
        <f>0+'táj.2'!L325</f>
        <v>0</v>
      </c>
      <c r="M325" s="18">
        <f>0+'táj.2'!M325</f>
        <v>0</v>
      </c>
      <c r="N325" s="18">
        <f>0+'táj.2'!N325</f>
        <v>0</v>
      </c>
      <c r="O325" s="18">
        <f>0+'táj.2'!O325</f>
        <v>0</v>
      </c>
      <c r="P325" s="18">
        <f>0+'táj.2'!P325</f>
        <v>0</v>
      </c>
      <c r="Q325" s="18">
        <f t="shared" si="19"/>
        <v>1000</v>
      </c>
    </row>
    <row r="326" spans="1:17" ht="13.5" customHeight="1">
      <c r="A326" s="113"/>
      <c r="B326" s="113"/>
      <c r="C326" s="248"/>
      <c r="D326" s="115" t="s">
        <v>286</v>
      </c>
      <c r="E326" s="302">
        <v>1</v>
      </c>
      <c r="F326" s="113">
        <v>151202</v>
      </c>
      <c r="G326" s="18">
        <f>0+'táj.2'!G326</f>
        <v>0</v>
      </c>
      <c r="H326" s="18">
        <f>0+'táj.2'!H326</f>
        <v>0</v>
      </c>
      <c r="I326" s="18">
        <f>16890+'táj.2'!I326</f>
        <v>16890</v>
      </c>
      <c r="J326" s="18">
        <f>0+'táj.2'!J326</f>
        <v>0</v>
      </c>
      <c r="K326" s="18">
        <f>0+'táj.2'!K326</f>
        <v>0</v>
      </c>
      <c r="L326" s="18">
        <f>0+'táj.2'!L326</f>
        <v>0</v>
      </c>
      <c r="M326" s="18">
        <f>0+'táj.2'!M326</f>
        <v>0</v>
      </c>
      <c r="N326" s="18">
        <f>0+'táj.2'!N326</f>
        <v>0</v>
      </c>
      <c r="O326" s="18">
        <f>0+'táj.2'!O326</f>
        <v>0</v>
      </c>
      <c r="P326" s="18">
        <f>0+'táj.2'!P326</f>
        <v>0</v>
      </c>
      <c r="Q326" s="18">
        <f t="shared" si="19"/>
        <v>16890</v>
      </c>
    </row>
    <row r="327" spans="1:17" ht="13.5" customHeight="1">
      <c r="A327" s="113"/>
      <c r="B327" s="113"/>
      <c r="C327" s="248"/>
      <c r="D327" s="115" t="s">
        <v>287</v>
      </c>
      <c r="E327" s="302">
        <v>1</v>
      </c>
      <c r="F327" s="113">
        <v>151205</v>
      </c>
      <c r="G327" s="18">
        <f>0+'táj.2'!G327</f>
        <v>0</v>
      </c>
      <c r="H327" s="18">
        <f>0+'táj.2'!H327</f>
        <v>0</v>
      </c>
      <c r="I327" s="18">
        <f>1000+'táj.2'!I327</f>
        <v>1000</v>
      </c>
      <c r="J327" s="18">
        <f>0+'táj.2'!J327</f>
        <v>0</v>
      </c>
      <c r="K327" s="18">
        <f>0+'táj.2'!K327</f>
        <v>0</v>
      </c>
      <c r="L327" s="18">
        <f>0+'táj.2'!L327</f>
        <v>0</v>
      </c>
      <c r="M327" s="18">
        <f>0+'táj.2'!M327</f>
        <v>0</v>
      </c>
      <c r="N327" s="18">
        <f>0+'táj.2'!N327</f>
        <v>0</v>
      </c>
      <c r="O327" s="18">
        <f>0+'táj.2'!O327</f>
        <v>0</v>
      </c>
      <c r="P327" s="18">
        <f>0+'táj.2'!P327</f>
        <v>0</v>
      </c>
      <c r="Q327" s="18">
        <f t="shared" si="19"/>
        <v>1000</v>
      </c>
    </row>
    <row r="328" spans="1:17" ht="13.5" customHeight="1">
      <c r="A328" s="113"/>
      <c r="B328" s="113"/>
      <c r="C328" s="248"/>
      <c r="D328" s="115" t="s">
        <v>85</v>
      </c>
      <c r="E328" s="302">
        <v>1</v>
      </c>
      <c r="F328" s="113">
        <v>151902</v>
      </c>
      <c r="G328" s="18">
        <f>4530+'táj.2'!G328</f>
        <v>5572</v>
      </c>
      <c r="H328" s="18">
        <f>1225+'táj.2'!H328</f>
        <v>1568</v>
      </c>
      <c r="I328" s="18">
        <f>6074+'táj.2'!I328</f>
        <v>4689</v>
      </c>
      <c r="J328" s="18">
        <f>0+'táj.2'!J328</f>
        <v>0</v>
      </c>
      <c r="K328" s="18">
        <f>2700+'táj.2'!K328</f>
        <v>2700</v>
      </c>
      <c r="L328" s="18">
        <f>0+'táj.2'!L328</f>
        <v>0</v>
      </c>
      <c r="M328" s="18">
        <f>0+'táj.2'!M328</f>
        <v>0</v>
      </c>
      <c r="N328" s="18">
        <f>0+'táj.2'!N328</f>
        <v>0</v>
      </c>
      <c r="O328" s="18">
        <f>0+'táj.2'!O328</f>
        <v>0</v>
      </c>
      <c r="P328" s="18">
        <f>0+'táj.2'!P328</f>
        <v>0</v>
      </c>
      <c r="Q328" s="18">
        <f t="shared" si="19"/>
        <v>14529</v>
      </c>
    </row>
    <row r="329" spans="1:17" ht="23.25" customHeight="1">
      <c r="A329" s="113"/>
      <c r="B329" s="113"/>
      <c r="C329" s="248"/>
      <c r="D329" s="324" t="s">
        <v>407</v>
      </c>
      <c r="E329" s="302"/>
      <c r="F329" s="522">
        <v>152534</v>
      </c>
      <c r="G329" s="18">
        <f>0+'táj.2'!G329</f>
        <v>0</v>
      </c>
      <c r="H329" s="18">
        <f>0+'táj.2'!H329</f>
        <v>0</v>
      </c>
      <c r="I329" s="18">
        <f>1000+'táj.2'!I329</f>
        <v>1000</v>
      </c>
      <c r="J329" s="18">
        <f>0+'táj.2'!J329</f>
        <v>0</v>
      </c>
      <c r="K329" s="18">
        <f>0+'táj.2'!K329</f>
        <v>0</v>
      </c>
      <c r="L329" s="18">
        <f>0+'táj.2'!L329</f>
        <v>0</v>
      </c>
      <c r="M329" s="18">
        <f>0+'táj.2'!M329</f>
        <v>0</v>
      </c>
      <c r="N329" s="18">
        <f>0+'táj.2'!N329</f>
        <v>0</v>
      </c>
      <c r="O329" s="18">
        <f>0+'táj.2'!O329</f>
        <v>0</v>
      </c>
      <c r="P329" s="18">
        <f>0+'táj.2'!P329</f>
        <v>0</v>
      </c>
      <c r="Q329" s="18">
        <f t="shared" si="19"/>
        <v>1000</v>
      </c>
    </row>
    <row r="330" spans="1:17" ht="15" customHeight="1">
      <c r="A330" s="113"/>
      <c r="B330" s="113"/>
      <c r="C330" s="248"/>
      <c r="D330" s="224" t="s">
        <v>116</v>
      </c>
      <c r="E330" s="306"/>
      <c r="F330" s="541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</row>
    <row r="331" spans="1:17" ht="24.75" customHeight="1">
      <c r="A331" s="113"/>
      <c r="B331" s="113"/>
      <c r="C331" s="248"/>
      <c r="D331" s="224" t="s">
        <v>0</v>
      </c>
      <c r="E331" s="181">
        <v>2</v>
      </c>
      <c r="F331" s="63">
        <v>151910</v>
      </c>
      <c r="G331" s="18">
        <f>0+'táj.2'!G331</f>
        <v>0</v>
      </c>
      <c r="H331" s="18">
        <f>0+'táj.2'!H331</f>
        <v>0</v>
      </c>
      <c r="I331" s="15">
        <f>121937+'táj.2'!I331</f>
        <v>141937</v>
      </c>
      <c r="J331" s="18">
        <f>0+'táj.2'!J331</f>
        <v>0</v>
      </c>
      <c r="K331" s="18">
        <f>0+'táj.2'!K331</f>
        <v>0</v>
      </c>
      <c r="L331" s="18">
        <f>0+'táj.2'!L331</f>
        <v>0</v>
      </c>
      <c r="M331" s="18">
        <f>0+'táj.2'!M331</f>
        <v>0</v>
      </c>
      <c r="N331" s="18">
        <f>0+'táj.2'!N331</f>
        <v>0</v>
      </c>
      <c r="O331" s="18">
        <f>0+'táj.2'!O331</f>
        <v>0</v>
      </c>
      <c r="P331" s="18">
        <f>0+'táj.2'!P331</f>
        <v>0</v>
      </c>
      <c r="Q331" s="18">
        <f t="shared" si="19"/>
        <v>141937</v>
      </c>
    </row>
    <row r="332" spans="1:17" ht="15" customHeight="1">
      <c r="A332" s="113"/>
      <c r="B332" s="113"/>
      <c r="C332" s="248"/>
      <c r="D332" s="224" t="s">
        <v>1094</v>
      </c>
      <c r="E332" s="181"/>
      <c r="F332" s="536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</row>
    <row r="333" spans="1:17" ht="38.25" customHeight="1">
      <c r="A333" s="113"/>
      <c r="B333" s="113"/>
      <c r="C333" s="248"/>
      <c r="D333" s="224" t="s">
        <v>1187</v>
      </c>
      <c r="E333" s="181">
        <v>1</v>
      </c>
      <c r="F333" s="63">
        <v>152915</v>
      </c>
      <c r="G333" s="18">
        <f>0+'táj.2'!G333</f>
        <v>0</v>
      </c>
      <c r="H333" s="18">
        <f>0+'táj.2'!H333</f>
        <v>0</v>
      </c>
      <c r="I333" s="18">
        <f>21232+'táj.2'!I333</f>
        <v>21232</v>
      </c>
      <c r="J333" s="18">
        <f>0+'táj.2'!J333</f>
        <v>0</v>
      </c>
      <c r="K333" s="18">
        <f>0+'táj.2'!K333</f>
        <v>0</v>
      </c>
      <c r="L333" s="18">
        <f>210+'táj.2'!L333</f>
        <v>210</v>
      </c>
      <c r="M333" s="18">
        <f>0+'táj.2'!M333</f>
        <v>0</v>
      </c>
      <c r="N333" s="18">
        <f>0+'táj.2'!N333</f>
        <v>0</v>
      </c>
      <c r="O333" s="18">
        <f>0+'táj.2'!O333</f>
        <v>0</v>
      </c>
      <c r="P333" s="18">
        <f>0+'táj.2'!P333</f>
        <v>0</v>
      </c>
      <c r="Q333" s="18">
        <f t="shared" si="19"/>
        <v>21442</v>
      </c>
    </row>
    <row r="334" spans="1:17" ht="13.5" customHeight="1">
      <c r="A334" s="113"/>
      <c r="B334" s="113"/>
      <c r="C334" s="248"/>
      <c r="D334" s="115" t="s">
        <v>86</v>
      </c>
      <c r="E334" s="302"/>
      <c r="F334" s="522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</row>
    <row r="335" spans="1:17" ht="13.5" customHeight="1">
      <c r="A335" s="113"/>
      <c r="B335" s="113"/>
      <c r="C335" s="248"/>
      <c r="D335" s="115" t="s">
        <v>805</v>
      </c>
      <c r="E335" s="18">
        <v>1</v>
      </c>
      <c r="F335" s="113">
        <v>151704</v>
      </c>
      <c r="G335" s="18">
        <f>0+'táj.2'!G335</f>
        <v>0</v>
      </c>
      <c r="H335" s="18">
        <f>0+'táj.2'!H335</f>
        <v>0</v>
      </c>
      <c r="I335" s="18">
        <f>0+'táj.2'!I335</f>
        <v>0</v>
      </c>
      <c r="J335" s="18">
        <f>0+'táj.2'!J335</f>
        <v>0</v>
      </c>
      <c r="K335" s="18">
        <f>250+'táj.2'!K335</f>
        <v>250</v>
      </c>
      <c r="L335" s="18">
        <f>0+'táj.2'!L335</f>
        <v>0</v>
      </c>
      <c r="M335" s="18">
        <f>0+'táj.2'!M335</f>
        <v>0</v>
      </c>
      <c r="N335" s="18">
        <f>0+'táj.2'!N335</f>
        <v>0</v>
      </c>
      <c r="O335" s="18">
        <f>0+'táj.2'!O335</f>
        <v>0</v>
      </c>
      <c r="P335" s="18">
        <f>0+'táj.2'!P335</f>
        <v>0</v>
      </c>
      <c r="Q335" s="18">
        <f>SUM(G335:P335)</f>
        <v>250</v>
      </c>
    </row>
    <row r="336" spans="1:17" ht="12.75" customHeight="1">
      <c r="A336" s="104"/>
      <c r="B336" s="104"/>
      <c r="C336" s="245"/>
      <c r="D336" s="120" t="s">
        <v>1491</v>
      </c>
      <c r="E336" s="107"/>
      <c r="F336" s="532"/>
      <c r="G336" s="111">
        <f aca="true" t="shared" si="20" ref="G336:M336">SUM(G249:G335)</f>
        <v>7154</v>
      </c>
      <c r="H336" s="111">
        <f t="shared" si="20"/>
        <v>2690</v>
      </c>
      <c r="I336" s="111">
        <f t="shared" si="20"/>
        <v>1393514</v>
      </c>
      <c r="J336" s="111">
        <f t="shared" si="20"/>
        <v>0</v>
      </c>
      <c r="K336" s="111">
        <f t="shared" si="20"/>
        <v>60894</v>
      </c>
      <c r="L336" s="111">
        <f t="shared" si="20"/>
        <v>12201</v>
      </c>
      <c r="M336" s="111">
        <f t="shared" si="20"/>
        <v>699</v>
      </c>
      <c r="N336" s="111">
        <f>SUM(N249:N335)</f>
        <v>769</v>
      </c>
      <c r="O336" s="111"/>
      <c r="P336" s="111">
        <f>SUM(P249:P335)</f>
        <v>0</v>
      </c>
      <c r="Q336" s="111">
        <f>SUM(Q250:Q335)</f>
        <v>1477921</v>
      </c>
    </row>
    <row r="337" spans="1:17" ht="12.75" customHeight="1">
      <c r="A337" s="121"/>
      <c r="B337" s="121"/>
      <c r="C337" s="121"/>
      <c r="D337" s="257" t="s">
        <v>231</v>
      </c>
      <c r="E337" s="18"/>
      <c r="F337" s="113"/>
      <c r="G337" s="122"/>
      <c r="H337" s="122"/>
      <c r="I337" s="122"/>
      <c r="J337" s="122"/>
      <c r="K337" s="122"/>
      <c r="L337" s="123"/>
      <c r="M337" s="123"/>
      <c r="N337" s="123"/>
      <c r="O337" s="122"/>
      <c r="P337" s="122"/>
      <c r="Q337" s="123"/>
    </row>
    <row r="338" spans="1:17" ht="12.75" customHeight="1">
      <c r="A338" s="121"/>
      <c r="B338" s="121"/>
      <c r="C338" s="121" t="s">
        <v>1288</v>
      </c>
      <c r="D338" s="208" t="s">
        <v>152</v>
      </c>
      <c r="E338" s="114"/>
      <c r="F338" s="331"/>
      <c r="G338" s="122"/>
      <c r="H338" s="122"/>
      <c r="I338" s="122"/>
      <c r="J338" s="122"/>
      <c r="K338" s="122"/>
      <c r="L338" s="123"/>
      <c r="M338" s="123"/>
      <c r="N338" s="123"/>
      <c r="O338" s="122"/>
      <c r="P338" s="122"/>
      <c r="Q338" s="123"/>
    </row>
    <row r="339" spans="1:17" ht="16.5" customHeight="1">
      <c r="A339" s="121"/>
      <c r="B339" s="121"/>
      <c r="C339" s="126" t="s">
        <v>1328</v>
      </c>
      <c r="D339" s="364" t="s">
        <v>594</v>
      </c>
      <c r="E339" s="114"/>
      <c r="F339" s="331">
        <v>152125</v>
      </c>
      <c r="G339" s="123">
        <f>0+'táj.2'!G339</f>
        <v>0</v>
      </c>
      <c r="H339" s="123">
        <f>0+'táj.2'!H339</f>
        <v>0</v>
      </c>
      <c r="I339" s="123">
        <f>700+'táj.2'!I339</f>
        <v>700</v>
      </c>
      <c r="J339" s="123">
        <f>0+'táj.2'!J339</f>
        <v>0</v>
      </c>
      <c r="K339" s="123">
        <f>0+'táj.2'!K339</f>
        <v>0</v>
      </c>
      <c r="L339" s="123">
        <f>0+'táj.2'!L339</f>
        <v>0</v>
      </c>
      <c r="M339" s="123">
        <f>0+'táj.2'!M339</f>
        <v>0</v>
      </c>
      <c r="N339" s="123">
        <f>0+'táj.2'!N339</f>
        <v>0</v>
      </c>
      <c r="O339" s="123">
        <f>0+'táj.2'!O339</f>
        <v>0</v>
      </c>
      <c r="P339" s="123">
        <f>0+'táj.2'!P339</f>
        <v>0</v>
      </c>
      <c r="Q339" s="123">
        <f aca="true" t="shared" si="21" ref="Q339:Q379">SUM(G339:P339)</f>
        <v>700</v>
      </c>
    </row>
    <row r="340" spans="1:17" ht="15.75" customHeight="1">
      <c r="A340" s="121"/>
      <c r="B340" s="121"/>
      <c r="C340" s="126" t="s">
        <v>1331</v>
      </c>
      <c r="D340" s="365" t="s">
        <v>595</v>
      </c>
      <c r="E340" s="114"/>
      <c r="F340" s="331">
        <v>152115</v>
      </c>
      <c r="G340" s="123">
        <f>0+'táj.2'!G340</f>
        <v>0</v>
      </c>
      <c r="H340" s="123">
        <f>0+'táj.2'!H340</f>
        <v>0</v>
      </c>
      <c r="I340" s="123">
        <f>0+'táj.2'!I340</f>
        <v>0</v>
      </c>
      <c r="J340" s="123">
        <f>0+'táj.2'!J340</f>
        <v>0</v>
      </c>
      <c r="K340" s="123">
        <f>0+'táj.2'!K340</f>
        <v>0</v>
      </c>
      <c r="L340" s="123">
        <f>0+'táj.2'!L340</f>
        <v>0</v>
      </c>
      <c r="M340" s="123">
        <f>0+'táj.2'!M340</f>
        <v>0</v>
      </c>
      <c r="N340" s="123">
        <f>0+'táj.2'!N340</f>
        <v>0</v>
      </c>
      <c r="O340" s="123">
        <f>0+'táj.2'!O340</f>
        <v>0</v>
      </c>
      <c r="P340" s="123">
        <f>0+'táj.2'!P340</f>
        <v>0</v>
      </c>
      <c r="Q340" s="123">
        <f t="shared" si="21"/>
        <v>0</v>
      </c>
    </row>
    <row r="341" spans="1:17" ht="24.75" customHeight="1">
      <c r="A341" s="121"/>
      <c r="B341" s="121"/>
      <c r="C341" s="126" t="s">
        <v>1332</v>
      </c>
      <c r="D341" s="365" t="s">
        <v>1314</v>
      </c>
      <c r="E341" s="114"/>
      <c r="F341" s="331">
        <v>152122</v>
      </c>
      <c r="G341" s="123">
        <f>0+'táj.2'!G341</f>
        <v>0</v>
      </c>
      <c r="H341" s="123">
        <f>0+'táj.2'!H341</f>
        <v>0</v>
      </c>
      <c r="I341" s="123">
        <f>0+'táj.2'!I341</f>
        <v>0</v>
      </c>
      <c r="J341" s="123">
        <f>0+'táj.2'!J341</f>
        <v>0</v>
      </c>
      <c r="K341" s="123">
        <f>0+'táj.2'!K341</f>
        <v>0</v>
      </c>
      <c r="L341" s="123">
        <f>3368+'táj.2'!L341</f>
        <v>3623</v>
      </c>
      <c r="M341" s="123">
        <f>0+'táj.2'!M341</f>
        <v>0</v>
      </c>
      <c r="N341" s="123">
        <f>0+'táj.2'!N341</f>
        <v>0</v>
      </c>
      <c r="O341" s="123">
        <f>0+'táj.2'!O341</f>
        <v>0</v>
      </c>
      <c r="P341" s="123">
        <f>0+'táj.2'!P341</f>
        <v>0</v>
      </c>
      <c r="Q341" s="123">
        <f t="shared" si="21"/>
        <v>3623</v>
      </c>
    </row>
    <row r="342" spans="1:17" ht="26.25" customHeight="1">
      <c r="A342" s="121"/>
      <c r="B342" s="121"/>
      <c r="C342" s="126" t="s">
        <v>1333</v>
      </c>
      <c r="D342" s="365" t="s">
        <v>596</v>
      </c>
      <c r="E342" s="114"/>
      <c r="F342" s="331">
        <v>152124</v>
      </c>
      <c r="G342" s="123"/>
      <c r="H342" s="123">
        <f>0+'táj.2'!H342</f>
        <v>0</v>
      </c>
      <c r="I342" s="123">
        <f>0+'táj.2'!I342</f>
        <v>0</v>
      </c>
      <c r="J342" s="123">
        <f>0+'táj.2'!J342</f>
        <v>0</v>
      </c>
      <c r="K342" s="123">
        <f>0+'táj.2'!K342</f>
        <v>0</v>
      </c>
      <c r="L342" s="123">
        <f>3171+'táj.2'!L342</f>
        <v>3171</v>
      </c>
      <c r="M342" s="123">
        <f>0+'táj.2'!M342</f>
        <v>0</v>
      </c>
      <c r="N342" s="123">
        <f>0+'táj.2'!N342</f>
        <v>0</v>
      </c>
      <c r="O342" s="123">
        <f>0+'táj.2'!O342</f>
        <v>0</v>
      </c>
      <c r="P342" s="123">
        <f>0+'táj.2'!P342</f>
        <v>0</v>
      </c>
      <c r="Q342" s="123">
        <f t="shared" si="21"/>
        <v>3171</v>
      </c>
    </row>
    <row r="343" spans="1:17" ht="15.75" customHeight="1">
      <c r="A343" s="121"/>
      <c r="B343" s="121"/>
      <c r="C343" s="126" t="s">
        <v>1334</v>
      </c>
      <c r="D343" s="364" t="s">
        <v>597</v>
      </c>
      <c r="E343" s="114"/>
      <c r="F343" s="331">
        <v>152110</v>
      </c>
      <c r="G343" s="123">
        <f>0+'táj.2'!G343</f>
        <v>0</v>
      </c>
      <c r="H343" s="123">
        <f>0+'táj.2'!H343</f>
        <v>0</v>
      </c>
      <c r="I343" s="123">
        <f>0+'táj.2'!I343</f>
        <v>0</v>
      </c>
      <c r="J343" s="123">
        <f>0+'táj.2'!J343</f>
        <v>0</v>
      </c>
      <c r="K343" s="123">
        <f>0+'táj.2'!K343</f>
        <v>0</v>
      </c>
      <c r="L343" s="123">
        <f>2000+'táj.2'!L343</f>
        <v>2000</v>
      </c>
      <c r="M343" s="123">
        <f>0+'táj.2'!M343</f>
        <v>0</v>
      </c>
      <c r="N343" s="123">
        <f>0+'táj.2'!N343</f>
        <v>0</v>
      </c>
      <c r="O343" s="123">
        <f>0+'táj.2'!O343</f>
        <v>0</v>
      </c>
      <c r="P343" s="123">
        <f>0+'táj.2'!P343</f>
        <v>0</v>
      </c>
      <c r="Q343" s="123">
        <f t="shared" si="21"/>
        <v>2000</v>
      </c>
    </row>
    <row r="344" spans="1:17" ht="15.75" customHeight="1">
      <c r="A344" s="121"/>
      <c r="B344" s="121"/>
      <c r="C344" s="126" t="s">
        <v>1380</v>
      </c>
      <c r="D344" s="364" t="s">
        <v>598</v>
      </c>
      <c r="E344" s="114"/>
      <c r="F344" s="331">
        <v>152112</v>
      </c>
      <c r="G344" s="123">
        <f>0+'táj.2'!G344</f>
        <v>0</v>
      </c>
      <c r="H344" s="123">
        <f>0+'táj.2'!H344</f>
        <v>0</v>
      </c>
      <c r="I344" s="123">
        <f>0+'táj.2'!I344</f>
        <v>30</v>
      </c>
      <c r="J344" s="123">
        <f>0+'táj.2'!J344</f>
        <v>0</v>
      </c>
      <c r="K344" s="123">
        <f>0+'táj.2'!K344</f>
        <v>0</v>
      </c>
      <c r="L344" s="123">
        <f>31477+'táj.2'!L344</f>
        <v>31229</v>
      </c>
      <c r="M344" s="123">
        <f>0+'táj.2'!M344</f>
        <v>423</v>
      </c>
      <c r="N344" s="123">
        <f>0+'táj.2'!N344</f>
        <v>0</v>
      </c>
      <c r="O344" s="123">
        <f>0+'táj.2'!O344</f>
        <v>0</v>
      </c>
      <c r="P344" s="123">
        <f>0+'táj.2'!P344</f>
        <v>0</v>
      </c>
      <c r="Q344" s="123">
        <f t="shared" si="21"/>
        <v>31682</v>
      </c>
    </row>
    <row r="345" spans="1:17" ht="15.75" customHeight="1">
      <c r="A345" s="121"/>
      <c r="B345" s="121"/>
      <c r="C345" s="126" t="s">
        <v>505</v>
      </c>
      <c r="D345" s="364" t="s">
        <v>1318</v>
      </c>
      <c r="E345" s="114"/>
      <c r="F345" s="331">
        <v>152109</v>
      </c>
      <c r="G345" s="123">
        <f>0+'táj.2'!G345</f>
        <v>0</v>
      </c>
      <c r="H345" s="123">
        <f>0+'táj.2'!H345</f>
        <v>0</v>
      </c>
      <c r="I345" s="123">
        <f>0+'táj.2'!I345</f>
        <v>0</v>
      </c>
      <c r="J345" s="123">
        <f>0+'táj.2'!J345</f>
        <v>0</v>
      </c>
      <c r="K345" s="123">
        <f>0+'táj.2'!K345</f>
        <v>0</v>
      </c>
      <c r="L345" s="123">
        <f>0+'táj.2'!L345</f>
        <v>0</v>
      </c>
      <c r="M345" s="123">
        <f>0+'táj.2'!M345</f>
        <v>0</v>
      </c>
      <c r="N345" s="123">
        <f>0+'táj.2'!N345</f>
        <v>0</v>
      </c>
      <c r="O345" s="123">
        <f>0+'táj.2'!O345</f>
        <v>0</v>
      </c>
      <c r="P345" s="123">
        <f>0+'táj.2'!P345</f>
        <v>0</v>
      </c>
      <c r="Q345" s="18">
        <f t="shared" si="21"/>
        <v>0</v>
      </c>
    </row>
    <row r="346" spans="1:17" ht="12.75" customHeight="1">
      <c r="A346" s="121"/>
      <c r="B346" s="121"/>
      <c r="C346" s="126" t="s">
        <v>506</v>
      </c>
      <c r="D346" s="364" t="s">
        <v>607</v>
      </c>
      <c r="E346" s="114"/>
      <c r="F346" s="331">
        <v>154102</v>
      </c>
      <c r="G346" s="123">
        <f>0+'táj.2'!G346</f>
        <v>0</v>
      </c>
      <c r="H346" s="123">
        <f>0+'táj.2'!H346</f>
        <v>0</v>
      </c>
      <c r="I346" s="123">
        <f>0+'táj.2'!I346</f>
        <v>0</v>
      </c>
      <c r="J346" s="123">
        <f>0+'táj.2'!J346</f>
        <v>0</v>
      </c>
      <c r="K346" s="123">
        <f>0+'táj.2'!K346</f>
        <v>0</v>
      </c>
      <c r="L346" s="123">
        <f>0+'táj.2'!L346</f>
        <v>0</v>
      </c>
      <c r="M346" s="123">
        <f>0+'táj.2'!M346</f>
        <v>0</v>
      </c>
      <c r="N346" s="123">
        <f>0+'táj.2'!N346</f>
        <v>0</v>
      </c>
      <c r="O346" s="123">
        <f>0+'táj.2'!O346</f>
        <v>0</v>
      </c>
      <c r="P346" s="123">
        <f>0+'táj.2'!P346</f>
        <v>0</v>
      </c>
      <c r="Q346" s="18">
        <f t="shared" si="21"/>
        <v>0</v>
      </c>
    </row>
    <row r="347" spans="1:17" ht="16.5" customHeight="1">
      <c r="A347" s="121"/>
      <c r="B347" s="121"/>
      <c r="C347" s="126" t="s">
        <v>507</v>
      </c>
      <c r="D347" s="364" t="s">
        <v>608</v>
      </c>
      <c r="E347" s="114"/>
      <c r="F347" s="331">
        <v>154117</v>
      </c>
      <c r="G347" s="123">
        <f>0+'táj.2'!G347</f>
        <v>0</v>
      </c>
      <c r="H347" s="123">
        <f>0+'táj.2'!H347</f>
        <v>0</v>
      </c>
      <c r="I347" s="123">
        <f>0+'táj.2'!I347</f>
        <v>0</v>
      </c>
      <c r="J347" s="123">
        <f>0+'táj.2'!J347</f>
        <v>0</v>
      </c>
      <c r="K347" s="123">
        <f>0+'táj.2'!K347</f>
        <v>0</v>
      </c>
      <c r="L347" s="123">
        <f>0+'táj.2'!L347</f>
        <v>0</v>
      </c>
      <c r="M347" s="123">
        <f>0+'táj.2'!M347</f>
        <v>0</v>
      </c>
      <c r="N347" s="123">
        <f>0+'táj.2'!N347</f>
        <v>0</v>
      </c>
      <c r="O347" s="123">
        <f>0+'táj.2'!O347</f>
        <v>0</v>
      </c>
      <c r="P347" s="123">
        <f>0+'táj.2'!P347</f>
        <v>0</v>
      </c>
      <c r="Q347" s="18">
        <f t="shared" si="21"/>
        <v>0</v>
      </c>
    </row>
    <row r="348" spans="1:17" ht="15.75" customHeight="1">
      <c r="A348" s="121"/>
      <c r="B348" s="121"/>
      <c r="C348" s="126" t="s">
        <v>508</v>
      </c>
      <c r="D348" s="364" t="s">
        <v>609</v>
      </c>
      <c r="E348" s="114"/>
      <c r="F348" s="331">
        <v>154115</v>
      </c>
      <c r="G348" s="123">
        <f>0+'táj.2'!G348</f>
        <v>0</v>
      </c>
      <c r="H348" s="123">
        <f>0+'táj.2'!H348</f>
        <v>0</v>
      </c>
      <c r="I348" s="123">
        <f>0+'táj.2'!I348</f>
        <v>0</v>
      </c>
      <c r="J348" s="123">
        <f>0+'táj.2'!J348</f>
        <v>0</v>
      </c>
      <c r="K348" s="123">
        <f>0+'táj.2'!K348</f>
        <v>0</v>
      </c>
      <c r="L348" s="123">
        <f>0+'táj.2'!L348</f>
        <v>0</v>
      </c>
      <c r="M348" s="123">
        <f>0+'táj.2'!M348</f>
        <v>0</v>
      </c>
      <c r="N348" s="123">
        <f>0+'táj.2'!N348</f>
        <v>0</v>
      </c>
      <c r="O348" s="123">
        <f>0+'táj.2'!O348</f>
        <v>0</v>
      </c>
      <c r="P348" s="123">
        <f>0+'táj.2'!P348</f>
        <v>0</v>
      </c>
      <c r="Q348" s="123">
        <f t="shared" si="21"/>
        <v>0</v>
      </c>
    </row>
    <row r="349" spans="1:17" ht="16.5" customHeight="1">
      <c r="A349" s="121"/>
      <c r="B349" s="121"/>
      <c r="C349" s="126" t="s">
        <v>610</v>
      </c>
      <c r="D349" s="455" t="s">
        <v>675</v>
      </c>
      <c r="E349" s="114"/>
      <c r="F349" s="331">
        <v>152114</v>
      </c>
      <c r="G349" s="123">
        <f>0+'táj.2'!G349</f>
        <v>0</v>
      </c>
      <c r="H349" s="123">
        <f>0+'táj.2'!H349</f>
        <v>0</v>
      </c>
      <c r="I349" s="123">
        <f>0+'táj.2'!I349</f>
        <v>0</v>
      </c>
      <c r="J349" s="123">
        <f>0+'táj.2'!J349</f>
        <v>0</v>
      </c>
      <c r="K349" s="123">
        <f>0+'táj.2'!K349</f>
        <v>0</v>
      </c>
      <c r="L349" s="123">
        <f>0+'táj.2'!L349</f>
        <v>0</v>
      </c>
      <c r="M349" s="123">
        <f>1000+'táj.2'!M349</f>
        <v>1000</v>
      </c>
      <c r="N349" s="123">
        <f>0+'táj.2'!N349</f>
        <v>0</v>
      </c>
      <c r="O349" s="123">
        <f>0+'táj.2'!O349</f>
        <v>0</v>
      </c>
      <c r="P349" s="123">
        <f>0+'táj.2'!P349</f>
        <v>0</v>
      </c>
      <c r="Q349" s="123">
        <f t="shared" si="21"/>
        <v>1000</v>
      </c>
    </row>
    <row r="350" spans="1:17" ht="24.75" customHeight="1">
      <c r="A350" s="121"/>
      <c r="B350" s="121"/>
      <c r="C350" s="126" t="s">
        <v>674</v>
      </c>
      <c r="D350" s="456" t="s">
        <v>743</v>
      </c>
      <c r="E350" s="114"/>
      <c r="F350" s="331">
        <v>154118</v>
      </c>
      <c r="G350" s="123">
        <f>0+'táj.2'!G350</f>
        <v>0</v>
      </c>
      <c r="H350" s="123">
        <f>0+'táj.2'!H350</f>
        <v>0</v>
      </c>
      <c r="I350" s="123">
        <f>0+'táj.2'!I350</f>
        <v>0</v>
      </c>
      <c r="J350" s="123">
        <f>0+'táj.2'!J350</f>
        <v>0</v>
      </c>
      <c r="K350" s="123">
        <f>0+'táj.2'!K350</f>
        <v>0</v>
      </c>
      <c r="L350" s="123">
        <f>0+'táj.2'!L350</f>
        <v>0</v>
      </c>
      <c r="M350" s="123">
        <f>2000+'táj.2'!M350</f>
        <v>2000</v>
      </c>
      <c r="N350" s="123">
        <f>0+'táj.2'!N350</f>
        <v>0</v>
      </c>
      <c r="O350" s="123">
        <f>0+'táj.2'!O350</f>
        <v>0</v>
      </c>
      <c r="P350" s="123">
        <f>0+'táj.2'!P350</f>
        <v>0</v>
      </c>
      <c r="Q350" s="123">
        <f t="shared" si="21"/>
        <v>2000</v>
      </c>
    </row>
    <row r="351" spans="1:17" ht="27" customHeight="1">
      <c r="A351" s="121"/>
      <c r="B351" s="121"/>
      <c r="C351" s="126" t="s">
        <v>745</v>
      </c>
      <c r="D351" s="456" t="s">
        <v>744</v>
      </c>
      <c r="E351" s="114"/>
      <c r="F351" s="331">
        <v>154119</v>
      </c>
      <c r="G351" s="123">
        <f>0+'táj.2'!G351</f>
        <v>0</v>
      </c>
      <c r="H351" s="123">
        <f>0+'táj.2'!H351</f>
        <v>0</v>
      </c>
      <c r="I351" s="123">
        <f>0+'táj.2'!I351</f>
        <v>0</v>
      </c>
      <c r="J351" s="123">
        <f>0+'táj.2'!J351</f>
        <v>0</v>
      </c>
      <c r="K351" s="123">
        <f>0+'táj.2'!K351</f>
        <v>0</v>
      </c>
      <c r="L351" s="123">
        <f>0+'táj.2'!L351</f>
        <v>0</v>
      </c>
      <c r="M351" s="123">
        <f>0+'táj.2'!M351</f>
        <v>0</v>
      </c>
      <c r="N351" s="123">
        <f>0+'táj.2'!N351</f>
        <v>0</v>
      </c>
      <c r="O351" s="123">
        <f>0+'táj.2'!O351</f>
        <v>0</v>
      </c>
      <c r="P351" s="123">
        <f>0+'táj.2'!P351</f>
        <v>0</v>
      </c>
      <c r="Q351" s="123">
        <f t="shared" si="21"/>
        <v>0</v>
      </c>
    </row>
    <row r="352" spans="1:17" ht="15" customHeight="1">
      <c r="A352" s="121"/>
      <c r="B352" s="121"/>
      <c r="C352" s="126" t="s">
        <v>746</v>
      </c>
      <c r="D352" s="457" t="s">
        <v>757</v>
      </c>
      <c r="E352" s="114"/>
      <c r="F352" s="331">
        <v>154120</v>
      </c>
      <c r="G352" s="123">
        <f>0+'táj.2'!G352</f>
        <v>0</v>
      </c>
      <c r="H352" s="123">
        <f>0+'táj.2'!H352</f>
        <v>0</v>
      </c>
      <c r="I352" s="123">
        <f>0+'táj.2'!I352</f>
        <v>0</v>
      </c>
      <c r="J352" s="123">
        <f>0+'táj.2'!J352</f>
        <v>0</v>
      </c>
      <c r="K352" s="123">
        <f>0+'táj.2'!K352</f>
        <v>0</v>
      </c>
      <c r="L352" s="123">
        <f>0+'táj.2'!L352</f>
        <v>0</v>
      </c>
      <c r="M352" s="123">
        <f>1000+'táj.2'!M352</f>
        <v>1000</v>
      </c>
      <c r="N352" s="123">
        <f>0+'táj.2'!N352</f>
        <v>0</v>
      </c>
      <c r="O352" s="123">
        <f>0+'táj.2'!O352</f>
        <v>0</v>
      </c>
      <c r="P352" s="123">
        <f>0+'táj.2'!P352</f>
        <v>0</v>
      </c>
      <c r="Q352" s="123">
        <f t="shared" si="21"/>
        <v>1000</v>
      </c>
    </row>
    <row r="353" spans="1:17" ht="23.25" customHeight="1">
      <c r="A353" s="121"/>
      <c r="B353" s="121"/>
      <c r="C353" s="100" t="s">
        <v>1188</v>
      </c>
      <c r="D353" s="374" t="s">
        <v>1189</v>
      </c>
      <c r="E353" s="102"/>
      <c r="F353" s="328">
        <v>132978</v>
      </c>
      <c r="G353" s="123">
        <f>0+'táj.2'!G353</f>
        <v>0</v>
      </c>
      <c r="H353" s="123">
        <f>0+'táj.2'!H353</f>
        <v>0</v>
      </c>
      <c r="I353" s="123">
        <f>0+'táj.2'!I353</f>
        <v>0</v>
      </c>
      <c r="J353" s="123">
        <f>0+'táj.2'!J353</f>
        <v>0</v>
      </c>
      <c r="K353" s="123">
        <f>0+'táj.2'!K353</f>
        <v>0</v>
      </c>
      <c r="L353" s="123">
        <f>420+'táj.2'!L353</f>
        <v>420</v>
      </c>
      <c r="M353" s="123">
        <f>0+'táj.2'!M353</f>
        <v>0</v>
      </c>
      <c r="N353" s="123">
        <f>0+'táj.2'!N353</f>
        <v>0</v>
      </c>
      <c r="O353" s="123">
        <f>0+'táj.2'!O353</f>
        <v>0</v>
      </c>
      <c r="P353" s="123">
        <f>0+'táj.2'!P353</f>
        <v>0</v>
      </c>
      <c r="Q353" s="123">
        <f t="shared" si="21"/>
        <v>420</v>
      </c>
    </row>
    <row r="354" spans="1:17" ht="27" customHeight="1">
      <c r="A354" s="121"/>
      <c r="B354" s="121"/>
      <c r="C354" s="100" t="s">
        <v>1190</v>
      </c>
      <c r="D354" s="680" t="s">
        <v>1191</v>
      </c>
      <c r="E354" s="102"/>
      <c r="F354" s="328">
        <v>154121</v>
      </c>
      <c r="G354" s="123">
        <f>0+'táj.2'!G354</f>
        <v>0</v>
      </c>
      <c r="H354" s="123">
        <f>0+'táj.2'!H354</f>
        <v>0</v>
      </c>
      <c r="I354" s="123">
        <f>0+'táj.2'!I354</f>
        <v>0</v>
      </c>
      <c r="J354" s="123">
        <f>0+'táj.2'!J354</f>
        <v>0</v>
      </c>
      <c r="K354" s="123">
        <f>0+'táj.2'!K354</f>
        <v>0</v>
      </c>
      <c r="L354" s="123">
        <f>0+'táj.2'!L354</f>
        <v>0</v>
      </c>
      <c r="M354" s="123">
        <f>1168+'táj.2'!M354</f>
        <v>1168</v>
      </c>
      <c r="N354" s="123">
        <f>0+'táj.2'!N354</f>
        <v>0</v>
      </c>
      <c r="O354" s="123">
        <f>0+'táj.2'!O354</f>
        <v>0</v>
      </c>
      <c r="P354" s="123">
        <f>0+'táj.2'!P354</f>
        <v>0</v>
      </c>
      <c r="Q354" s="123">
        <f t="shared" si="21"/>
        <v>1168</v>
      </c>
    </row>
    <row r="355" spans="1:17" ht="21.75" customHeight="1">
      <c r="A355" s="121"/>
      <c r="B355" s="121"/>
      <c r="C355" s="100" t="s">
        <v>1192</v>
      </c>
      <c r="D355" s="681" t="s">
        <v>1421</v>
      </c>
      <c r="E355" s="102"/>
      <c r="F355" s="328">
        <v>154122</v>
      </c>
      <c r="G355" s="123">
        <f>0+'táj.2'!G355</f>
        <v>0</v>
      </c>
      <c r="H355" s="123">
        <f>0+'táj.2'!H355</f>
        <v>0</v>
      </c>
      <c r="I355" s="123">
        <f>0+'táj.2'!I355</f>
        <v>0</v>
      </c>
      <c r="J355" s="123">
        <f>0+'táj.2'!J355</f>
        <v>0</v>
      </c>
      <c r="K355" s="123">
        <f>0+'táj.2'!K355</f>
        <v>0</v>
      </c>
      <c r="L355" s="123">
        <f>0+'táj.2'!L355</f>
        <v>0</v>
      </c>
      <c r="M355" s="123">
        <f>2900+'táj.2'!M355</f>
        <v>2900</v>
      </c>
      <c r="N355" s="123">
        <f>0+'táj.2'!N355</f>
        <v>0</v>
      </c>
      <c r="O355" s="123">
        <f>0+'táj.2'!O355</f>
        <v>0</v>
      </c>
      <c r="P355" s="123">
        <f>0+'táj.2'!P355</f>
        <v>0</v>
      </c>
      <c r="Q355" s="123">
        <f t="shared" si="21"/>
        <v>2900</v>
      </c>
    </row>
    <row r="356" spans="1:17" ht="12.75" customHeight="1">
      <c r="A356" s="121"/>
      <c r="B356" s="121"/>
      <c r="C356" s="126"/>
      <c r="D356" s="255" t="s">
        <v>421</v>
      </c>
      <c r="E356" s="114"/>
      <c r="F356" s="331"/>
      <c r="G356" s="123"/>
      <c r="H356" s="122"/>
      <c r="I356" s="122"/>
      <c r="J356" s="122"/>
      <c r="K356" s="122"/>
      <c r="L356" s="123"/>
      <c r="M356" s="123"/>
      <c r="N356" s="123"/>
      <c r="O356" s="122"/>
      <c r="P356" s="122"/>
      <c r="Q356" s="123"/>
    </row>
    <row r="357" spans="1:17" ht="15.75" customHeight="1">
      <c r="A357" s="121"/>
      <c r="B357" s="121"/>
      <c r="C357" s="126" t="s">
        <v>1060</v>
      </c>
      <c r="D357" s="308" t="s">
        <v>1313</v>
      </c>
      <c r="E357" s="114"/>
      <c r="F357" s="331">
        <v>152116</v>
      </c>
      <c r="G357" s="123">
        <f>0+'táj.2'!G357</f>
        <v>0</v>
      </c>
      <c r="H357" s="123">
        <f>0+'táj.2'!H357</f>
        <v>0</v>
      </c>
      <c r="I357" s="123">
        <f>0+'táj.2'!I357</f>
        <v>0</v>
      </c>
      <c r="J357" s="123">
        <f>0+'táj.2'!J357</f>
        <v>0</v>
      </c>
      <c r="K357" s="123">
        <f>0+'táj.2'!K357</f>
        <v>0</v>
      </c>
      <c r="L357" s="123">
        <f>1286+'táj.2'!L357</f>
        <v>1286</v>
      </c>
      <c r="M357" s="123">
        <f>0+'táj.2'!M357</f>
        <v>0</v>
      </c>
      <c r="N357" s="123">
        <f>0+'táj.2'!N357</f>
        <v>0</v>
      </c>
      <c r="O357" s="123">
        <f>0+'táj.2'!O357</f>
        <v>0</v>
      </c>
      <c r="P357" s="123">
        <f>0+'táj.2'!P357</f>
        <v>0</v>
      </c>
      <c r="Q357" s="123">
        <f t="shared" si="21"/>
        <v>1286</v>
      </c>
    </row>
    <row r="358" spans="1:17" ht="24" customHeight="1">
      <c r="A358" s="121"/>
      <c r="B358" s="121"/>
      <c r="C358" s="126" t="s">
        <v>1061</v>
      </c>
      <c r="D358" s="309" t="s">
        <v>1329</v>
      </c>
      <c r="E358" s="114"/>
      <c r="F358" s="331">
        <v>154112</v>
      </c>
      <c r="G358" s="123">
        <f>0+'táj.2'!G358</f>
        <v>0</v>
      </c>
      <c r="H358" s="123">
        <f>0+'táj.2'!H358</f>
        <v>0</v>
      </c>
      <c r="I358" s="123">
        <f>0+'táj.2'!I358</f>
        <v>0</v>
      </c>
      <c r="J358" s="123">
        <f>0+'táj.2'!J358</f>
        <v>0</v>
      </c>
      <c r="K358" s="123">
        <f>0+'táj.2'!K358</f>
        <v>0</v>
      </c>
      <c r="L358" s="123">
        <f>500+'táj.2'!L358</f>
        <v>500</v>
      </c>
      <c r="M358" s="123">
        <f>0+'táj.2'!M358</f>
        <v>0</v>
      </c>
      <c r="N358" s="123">
        <f>0+'táj.2'!N358</f>
        <v>0</v>
      </c>
      <c r="O358" s="123">
        <f>0+'táj.2'!O358</f>
        <v>0</v>
      </c>
      <c r="P358" s="123">
        <f>0+'táj.2'!P358</f>
        <v>0</v>
      </c>
      <c r="Q358" s="123">
        <f t="shared" si="21"/>
        <v>500</v>
      </c>
    </row>
    <row r="359" spans="1:17" ht="22.5" customHeight="1">
      <c r="A359" s="121"/>
      <c r="B359" s="121"/>
      <c r="C359" s="126" t="s">
        <v>1062</v>
      </c>
      <c r="D359" s="458" t="s">
        <v>1330</v>
      </c>
      <c r="E359" s="114"/>
      <c r="F359" s="331">
        <v>154116</v>
      </c>
      <c r="G359" s="123">
        <f>0+'táj.2'!G359</f>
        <v>0</v>
      </c>
      <c r="H359" s="123">
        <f>0+'táj.2'!H359</f>
        <v>0</v>
      </c>
      <c r="I359" s="123">
        <f>0+'táj.2'!I359</f>
        <v>0</v>
      </c>
      <c r="J359" s="123">
        <f>0+'táj.2'!J359</f>
        <v>0</v>
      </c>
      <c r="K359" s="123">
        <f>0+'táj.2'!K359</f>
        <v>0</v>
      </c>
      <c r="L359" s="123">
        <f>0+'táj.2'!L359</f>
        <v>0</v>
      </c>
      <c r="M359" s="123">
        <f>7120+'táj.2'!M359</f>
        <v>7120</v>
      </c>
      <c r="N359" s="123">
        <f>0+'táj.2'!N359</f>
        <v>0</v>
      </c>
      <c r="O359" s="123">
        <f>0+'táj.2'!O359</f>
        <v>0</v>
      </c>
      <c r="P359" s="123">
        <f>0+'táj.2'!P359</f>
        <v>0</v>
      </c>
      <c r="Q359" s="123">
        <f t="shared" si="21"/>
        <v>7120</v>
      </c>
    </row>
    <row r="360" spans="1:17" ht="16.5" customHeight="1">
      <c r="A360" s="121"/>
      <c r="B360" s="121"/>
      <c r="C360" s="126" t="s">
        <v>1063</v>
      </c>
      <c r="D360" s="459" t="s">
        <v>924</v>
      </c>
      <c r="E360" s="114"/>
      <c r="F360" s="328">
        <v>152124</v>
      </c>
      <c r="G360" s="123">
        <f>0+'táj.2'!G360</f>
        <v>0</v>
      </c>
      <c r="H360" s="123">
        <f>0+'táj.2'!H360</f>
        <v>0</v>
      </c>
      <c r="I360" s="123">
        <f>0+'táj.2'!I360</f>
        <v>0</v>
      </c>
      <c r="J360" s="123">
        <f>0+'táj.2'!J360</f>
        <v>0</v>
      </c>
      <c r="K360" s="123">
        <f>0+'táj.2'!K360</f>
        <v>0</v>
      </c>
      <c r="L360" s="123">
        <f>1133+'táj.2'!L360</f>
        <v>1133</v>
      </c>
      <c r="M360" s="123">
        <f>0+'táj.2'!M360</f>
        <v>0</v>
      </c>
      <c r="N360" s="123">
        <f>0+'táj.2'!N360</f>
        <v>0</v>
      </c>
      <c r="O360" s="123">
        <f>0+'táj.2'!O360</f>
        <v>0</v>
      </c>
      <c r="P360" s="123">
        <f>0+'táj.2'!P360</f>
        <v>0</v>
      </c>
      <c r="Q360" s="123">
        <f t="shared" si="21"/>
        <v>1133</v>
      </c>
    </row>
    <row r="361" spans="1:17" ht="41.25" customHeight="1">
      <c r="A361" s="121"/>
      <c r="B361" s="121"/>
      <c r="C361" s="126" t="s">
        <v>42</v>
      </c>
      <c r="D361" s="294" t="s">
        <v>784</v>
      </c>
      <c r="E361" s="114"/>
      <c r="F361" s="331">
        <v>152117</v>
      </c>
      <c r="G361" s="123">
        <f>0+'táj.2'!G361</f>
        <v>0</v>
      </c>
      <c r="H361" s="123">
        <f>0+'táj.2'!H361</f>
        <v>0</v>
      </c>
      <c r="I361" s="123">
        <f>33575+'táj.2'!I361</f>
        <v>45900</v>
      </c>
      <c r="J361" s="123">
        <f>0+'táj.2'!J361</f>
        <v>0</v>
      </c>
      <c r="K361" s="123">
        <f>0+'táj.2'!K361</f>
        <v>0</v>
      </c>
      <c r="L361" s="123">
        <f>0+'táj.2'!L361</f>
        <v>0</v>
      </c>
      <c r="M361" s="123">
        <f>477559+'táj.2'!M361</f>
        <v>465234</v>
      </c>
      <c r="N361" s="123">
        <f>0+'táj.2'!N361</f>
        <v>0</v>
      </c>
      <c r="O361" s="123">
        <f>0+'táj.2'!O361</f>
        <v>0</v>
      </c>
      <c r="P361" s="123">
        <f>0+'táj.2'!P361</f>
        <v>0</v>
      </c>
      <c r="Q361" s="123">
        <f t="shared" si="21"/>
        <v>511134</v>
      </c>
    </row>
    <row r="362" spans="1:17" ht="42" customHeight="1">
      <c r="A362" s="121"/>
      <c r="B362" s="121"/>
      <c r="C362" s="126" t="s">
        <v>1312</v>
      </c>
      <c r="D362" s="294" t="s">
        <v>1237</v>
      </c>
      <c r="E362" s="114"/>
      <c r="F362" s="331">
        <v>152117</v>
      </c>
      <c r="G362" s="123">
        <f>0+'táj.2'!G362</f>
        <v>0</v>
      </c>
      <c r="H362" s="123">
        <f>0+'táj.2'!H362</f>
        <v>0</v>
      </c>
      <c r="I362" s="123">
        <f>0+'táj.2'!I362</f>
        <v>0</v>
      </c>
      <c r="J362" s="123">
        <f>0+'táj.2'!J362</f>
        <v>0</v>
      </c>
      <c r="K362" s="123">
        <f>0+'táj.2'!K362</f>
        <v>0</v>
      </c>
      <c r="L362" s="123">
        <f>0+'táj.2'!L362</f>
        <v>0</v>
      </c>
      <c r="M362" s="123">
        <f>0+'táj.2'!M362</f>
        <v>0</v>
      </c>
      <c r="N362" s="123">
        <f>202966+'táj.2'!N362</f>
        <v>202966</v>
      </c>
      <c r="O362" s="123">
        <f>0+'táj.2'!O362</f>
        <v>0</v>
      </c>
      <c r="P362" s="123">
        <f>0+'táj.2'!P362</f>
        <v>0</v>
      </c>
      <c r="Q362" s="123">
        <f t="shared" si="21"/>
        <v>202966</v>
      </c>
    </row>
    <row r="363" spans="1:17" ht="12.75" customHeight="1">
      <c r="A363" s="121"/>
      <c r="B363" s="121"/>
      <c r="C363" s="121">
        <v>2</v>
      </c>
      <c r="D363" s="350" t="s">
        <v>520</v>
      </c>
      <c r="E363" s="114"/>
      <c r="F363" s="331"/>
      <c r="G363" s="123"/>
      <c r="H363" s="122"/>
      <c r="I363" s="122"/>
      <c r="J363" s="122"/>
      <c r="K363" s="122"/>
      <c r="L363" s="123"/>
      <c r="M363" s="123"/>
      <c r="N363" s="123"/>
      <c r="O363" s="122"/>
      <c r="P363" s="122"/>
      <c r="Q363" s="123"/>
    </row>
    <row r="364" spans="1:17" ht="12.75" customHeight="1">
      <c r="A364" s="121"/>
      <c r="B364" s="121"/>
      <c r="C364" s="121"/>
      <c r="D364" s="255" t="s">
        <v>421</v>
      </c>
      <c r="E364" s="114"/>
      <c r="F364" s="331"/>
      <c r="G364" s="123"/>
      <c r="H364" s="122"/>
      <c r="I364" s="122"/>
      <c r="J364" s="122"/>
      <c r="K364" s="122"/>
      <c r="L364" s="123"/>
      <c r="M364" s="123"/>
      <c r="N364" s="123"/>
      <c r="O364" s="122"/>
      <c r="P364" s="122"/>
      <c r="Q364" s="123"/>
    </row>
    <row r="365" spans="1:17" ht="12.75" customHeight="1">
      <c r="A365" s="121"/>
      <c r="B365" s="121"/>
      <c r="C365" s="126" t="s">
        <v>979</v>
      </c>
      <c r="D365" s="308" t="s">
        <v>1316</v>
      </c>
      <c r="E365" s="114"/>
      <c r="F365" s="331">
        <v>152201</v>
      </c>
      <c r="G365" s="123">
        <f>0+'táj.2'!G365</f>
        <v>0</v>
      </c>
      <c r="H365" s="123">
        <f>0+'táj.2'!H365</f>
        <v>0</v>
      </c>
      <c r="I365" s="123">
        <f>0+'táj.2'!I365</f>
        <v>0</v>
      </c>
      <c r="J365" s="123">
        <f>0+'táj.2'!J365</f>
        <v>0</v>
      </c>
      <c r="K365" s="123">
        <f>0+'táj.2'!K365</f>
        <v>0</v>
      </c>
      <c r="L365" s="123">
        <f>536+'táj.2'!L365</f>
        <v>536</v>
      </c>
      <c r="M365" s="123">
        <f>0+'táj.2'!M365</f>
        <v>0</v>
      </c>
      <c r="N365" s="123">
        <f>0+'táj.2'!N365</f>
        <v>0</v>
      </c>
      <c r="O365" s="123">
        <f>0+'táj.2'!O365</f>
        <v>0</v>
      </c>
      <c r="P365" s="123">
        <f>0+'táj.2'!P365</f>
        <v>0</v>
      </c>
      <c r="Q365" s="123">
        <f t="shared" si="21"/>
        <v>536</v>
      </c>
    </row>
    <row r="366" spans="1:17" ht="12.75" customHeight="1">
      <c r="A366" s="121"/>
      <c r="B366" s="121"/>
      <c r="C366" s="126" t="s">
        <v>979</v>
      </c>
      <c r="D366" s="308" t="s">
        <v>1317</v>
      </c>
      <c r="E366" s="114"/>
      <c r="F366" s="331">
        <v>152205</v>
      </c>
      <c r="G366" s="123">
        <f>0+'táj.2'!G366</f>
        <v>0</v>
      </c>
      <c r="H366" s="123">
        <f>0+'táj.2'!H366</f>
        <v>0</v>
      </c>
      <c r="I366" s="123">
        <f>0+'táj.2'!I366</f>
        <v>0</v>
      </c>
      <c r="J366" s="123">
        <f>0+'táj.2'!J366</f>
        <v>0</v>
      </c>
      <c r="K366" s="123">
        <f>0+'táj.2'!K366</f>
        <v>0</v>
      </c>
      <c r="L366" s="123">
        <f>0+'táj.2'!L366</f>
        <v>0</v>
      </c>
      <c r="M366" s="123">
        <f>0+'táj.2'!M366</f>
        <v>0</v>
      </c>
      <c r="N366" s="123">
        <f>0+'táj.2'!N366</f>
        <v>0</v>
      </c>
      <c r="O366" s="123">
        <f>0+'táj.2'!O366</f>
        <v>0</v>
      </c>
      <c r="P366" s="123">
        <f>0+'táj.2'!P366</f>
        <v>0</v>
      </c>
      <c r="Q366" s="123">
        <f t="shared" si="21"/>
        <v>0</v>
      </c>
    </row>
    <row r="367" spans="1:17" ht="12.75" customHeight="1">
      <c r="A367" s="121"/>
      <c r="B367" s="121"/>
      <c r="C367" s="100" t="s">
        <v>666</v>
      </c>
      <c r="D367" s="16" t="s">
        <v>667</v>
      </c>
      <c r="E367" s="114"/>
      <c r="F367" s="331">
        <v>151804</v>
      </c>
      <c r="G367" s="123">
        <f>0+'táj.2'!G367</f>
        <v>0</v>
      </c>
      <c r="H367" s="123">
        <f>0+'táj.2'!H367</f>
        <v>0</v>
      </c>
      <c r="I367" s="123">
        <f>0+'táj.2'!I367</f>
        <v>0</v>
      </c>
      <c r="J367" s="123">
        <f>0+'táj.2'!J367</f>
        <v>0</v>
      </c>
      <c r="K367" s="123">
        <f>0+'táj.2'!K367</f>
        <v>0</v>
      </c>
      <c r="L367" s="123">
        <f>0+'táj.2'!L367</f>
        <v>0</v>
      </c>
      <c r="M367" s="123">
        <f>0+'táj.2'!M367</f>
        <v>0</v>
      </c>
      <c r="N367" s="123">
        <f>0+'táj.2'!N367</f>
        <v>0</v>
      </c>
      <c r="O367" s="123">
        <f>0+'táj.2'!O367</f>
        <v>0</v>
      </c>
      <c r="P367" s="123">
        <f>0+'táj.2'!P367</f>
        <v>0</v>
      </c>
      <c r="Q367" s="123">
        <f t="shared" si="21"/>
        <v>0</v>
      </c>
    </row>
    <row r="368" spans="1:17" ht="12.75" customHeight="1">
      <c r="A368" s="121"/>
      <c r="B368" s="121"/>
      <c r="C368" s="121" t="s">
        <v>1289</v>
      </c>
      <c r="D368" s="366" t="s">
        <v>521</v>
      </c>
      <c r="E368" s="114"/>
      <c r="F368" s="331"/>
      <c r="G368" s="123"/>
      <c r="H368" s="122"/>
      <c r="I368" s="122"/>
      <c r="J368" s="122"/>
      <c r="K368" s="122"/>
      <c r="L368" s="123"/>
      <c r="M368" s="123"/>
      <c r="N368" s="123"/>
      <c r="O368" s="122"/>
      <c r="P368" s="122"/>
      <c r="Q368" s="123"/>
    </row>
    <row r="369" spans="1:17" ht="12.75" customHeight="1">
      <c r="A369" s="121"/>
      <c r="B369" s="121"/>
      <c r="C369" s="126" t="s">
        <v>1320</v>
      </c>
      <c r="D369" s="367" t="s">
        <v>599</v>
      </c>
      <c r="E369" s="114"/>
      <c r="F369" s="331">
        <v>152325</v>
      </c>
      <c r="G369" s="123">
        <f>0+'táj.2'!G369</f>
        <v>0</v>
      </c>
      <c r="H369" s="123">
        <f>0+'táj.2'!H369</f>
        <v>0</v>
      </c>
      <c r="I369" s="123">
        <f>0+'táj.2'!I369</f>
        <v>0</v>
      </c>
      <c r="J369" s="123">
        <f>0+'táj.2'!J369</f>
        <v>0</v>
      </c>
      <c r="K369" s="123">
        <f>0+'táj.2'!K369</f>
        <v>0</v>
      </c>
      <c r="L369" s="123">
        <f>223+'táj.2'!L369</f>
        <v>223</v>
      </c>
      <c r="M369" s="123">
        <f>0+'táj.2'!M369</f>
        <v>0</v>
      </c>
      <c r="N369" s="123">
        <f>0+'táj.2'!N369</f>
        <v>0</v>
      </c>
      <c r="O369" s="123">
        <f>0+'táj.2'!O369</f>
        <v>0</v>
      </c>
      <c r="P369" s="123">
        <f>0+'táj.2'!P369</f>
        <v>0</v>
      </c>
      <c r="Q369" s="123">
        <f t="shared" si="21"/>
        <v>223</v>
      </c>
    </row>
    <row r="370" spans="1:17" ht="12.75" customHeight="1">
      <c r="A370" s="121"/>
      <c r="B370" s="121"/>
      <c r="C370" s="126" t="s">
        <v>1322</v>
      </c>
      <c r="D370" s="368" t="s">
        <v>600</v>
      </c>
      <c r="E370" s="114"/>
      <c r="F370" s="331">
        <v>152326</v>
      </c>
      <c r="G370" s="123">
        <f>0+'táj.2'!G370</f>
        <v>0</v>
      </c>
      <c r="H370" s="123">
        <f>0+'táj.2'!H370</f>
        <v>0</v>
      </c>
      <c r="I370" s="123">
        <f>0+'táj.2'!I370</f>
        <v>0</v>
      </c>
      <c r="J370" s="123">
        <f>0+'táj.2'!J370</f>
        <v>0</v>
      </c>
      <c r="K370" s="123">
        <f>0+'táj.2'!K370</f>
        <v>0</v>
      </c>
      <c r="L370" s="123">
        <f>1400+'táj.2'!L370</f>
        <v>1400</v>
      </c>
      <c r="M370" s="123">
        <f>0+'táj.2'!M370</f>
        <v>0</v>
      </c>
      <c r="N370" s="123">
        <f>0+'táj.2'!N370</f>
        <v>0</v>
      </c>
      <c r="O370" s="123">
        <f>0+'táj.2'!O370</f>
        <v>0</v>
      </c>
      <c r="P370" s="123">
        <f>0+'táj.2'!P370</f>
        <v>0</v>
      </c>
      <c r="Q370" s="123">
        <f t="shared" si="21"/>
        <v>1400</v>
      </c>
    </row>
    <row r="371" spans="1:17" ht="12.75" customHeight="1">
      <c r="A371" s="121"/>
      <c r="B371" s="121"/>
      <c r="C371" s="126" t="s">
        <v>1323</v>
      </c>
      <c r="D371" s="368" t="s">
        <v>601</v>
      </c>
      <c r="E371" s="114"/>
      <c r="F371" s="331">
        <v>152327</v>
      </c>
      <c r="G371" s="123">
        <f>0+'táj.2'!G371</f>
        <v>0</v>
      </c>
      <c r="H371" s="123">
        <f>0+'táj.2'!H371</f>
        <v>0</v>
      </c>
      <c r="I371" s="123">
        <f>0+'táj.2'!I371</f>
        <v>0</v>
      </c>
      <c r="J371" s="123">
        <f>0+'táj.2'!J371</f>
        <v>0</v>
      </c>
      <c r="K371" s="123">
        <f>0+'táj.2'!K371</f>
        <v>0</v>
      </c>
      <c r="L371" s="123">
        <f>1119+'táj.2'!L371</f>
        <v>1119</v>
      </c>
      <c r="M371" s="123">
        <f>0+'táj.2'!M371</f>
        <v>0</v>
      </c>
      <c r="N371" s="123">
        <f>0+'táj.2'!N371</f>
        <v>0</v>
      </c>
      <c r="O371" s="123">
        <f>0+'táj.2'!O371</f>
        <v>0</v>
      </c>
      <c r="P371" s="123">
        <f>0+'táj.2'!P371</f>
        <v>0</v>
      </c>
      <c r="Q371" s="123">
        <f t="shared" si="21"/>
        <v>1119</v>
      </c>
    </row>
    <row r="372" spans="1:17" ht="12.75" customHeight="1">
      <c r="A372" s="121"/>
      <c r="B372" s="121"/>
      <c r="C372" s="126" t="s">
        <v>1324</v>
      </c>
      <c r="D372" s="368" t="s">
        <v>603</v>
      </c>
      <c r="E372" s="114"/>
      <c r="F372" s="331">
        <v>152328</v>
      </c>
      <c r="G372" s="123">
        <f>0+'táj.2'!G372</f>
        <v>0</v>
      </c>
      <c r="H372" s="123">
        <f>0+'táj.2'!H372</f>
        <v>0</v>
      </c>
      <c r="I372" s="123">
        <f>0+'táj.2'!I372</f>
        <v>0</v>
      </c>
      <c r="J372" s="123">
        <f>0+'táj.2'!J372</f>
        <v>0</v>
      </c>
      <c r="K372" s="123">
        <f>0+'táj.2'!K372</f>
        <v>0</v>
      </c>
      <c r="L372" s="123">
        <f>707+'táj.2'!L372</f>
        <v>707</v>
      </c>
      <c r="M372" s="123">
        <f>0+'táj.2'!M372</f>
        <v>0</v>
      </c>
      <c r="N372" s="123">
        <f>0+'táj.2'!N372</f>
        <v>0</v>
      </c>
      <c r="O372" s="123">
        <f>0+'táj.2'!O372</f>
        <v>0</v>
      </c>
      <c r="P372" s="123">
        <f>0+'táj.2'!P372</f>
        <v>0</v>
      </c>
      <c r="Q372" s="123">
        <f t="shared" si="21"/>
        <v>707</v>
      </c>
    </row>
    <row r="373" spans="1:17" ht="12.75" customHeight="1">
      <c r="A373" s="121"/>
      <c r="B373" s="121"/>
      <c r="C373" s="126" t="s">
        <v>1325</v>
      </c>
      <c r="D373" s="368" t="s">
        <v>604</v>
      </c>
      <c r="E373" s="114"/>
      <c r="F373" s="331">
        <v>152329</v>
      </c>
      <c r="G373" s="123">
        <f>0+'táj.2'!G373</f>
        <v>0</v>
      </c>
      <c r="H373" s="123">
        <f>0+'táj.2'!H373</f>
        <v>0</v>
      </c>
      <c r="I373" s="123">
        <f>0+'táj.2'!I373</f>
        <v>0</v>
      </c>
      <c r="J373" s="123">
        <f>0+'táj.2'!J373</f>
        <v>0</v>
      </c>
      <c r="K373" s="123">
        <f>0+'táj.2'!K373</f>
        <v>0</v>
      </c>
      <c r="L373" s="123">
        <f>2394+'táj.2'!L373</f>
        <v>2394</v>
      </c>
      <c r="M373" s="123">
        <f>0+'táj.2'!M373</f>
        <v>0</v>
      </c>
      <c r="N373" s="123">
        <f>0+'táj.2'!N373</f>
        <v>0</v>
      </c>
      <c r="O373" s="123">
        <f>0+'táj.2'!O373</f>
        <v>0</v>
      </c>
      <c r="P373" s="123">
        <f>0+'táj.2'!P373</f>
        <v>0</v>
      </c>
      <c r="Q373" s="123">
        <f t="shared" si="21"/>
        <v>2394</v>
      </c>
    </row>
    <row r="374" spans="1:17" ht="12.75" customHeight="1">
      <c r="A374" s="121"/>
      <c r="B374" s="121"/>
      <c r="C374" s="126" t="s">
        <v>1326</v>
      </c>
      <c r="D374" s="368" t="s">
        <v>605</v>
      </c>
      <c r="E374" s="114"/>
      <c r="F374" s="331">
        <v>152330</v>
      </c>
      <c r="G374" s="123">
        <f>0+'táj.2'!G374</f>
        <v>0</v>
      </c>
      <c r="H374" s="123">
        <f>0+'táj.2'!H374</f>
        <v>0</v>
      </c>
      <c r="I374" s="123">
        <f>0+'táj.2'!I374</f>
        <v>0</v>
      </c>
      <c r="J374" s="123">
        <f>0+'táj.2'!J374</f>
        <v>0</v>
      </c>
      <c r="K374" s="123">
        <f>0+'táj.2'!K374</f>
        <v>0</v>
      </c>
      <c r="L374" s="123">
        <f>1251+'táj.2'!L374</f>
        <v>1251</v>
      </c>
      <c r="M374" s="123">
        <f>0+'táj.2'!M374</f>
        <v>0</v>
      </c>
      <c r="N374" s="123">
        <f>0+'táj.2'!N374</f>
        <v>0</v>
      </c>
      <c r="O374" s="123">
        <f>0+'táj.2'!O374</f>
        <v>0</v>
      </c>
      <c r="P374" s="123">
        <f>0+'táj.2'!P374</f>
        <v>0</v>
      </c>
      <c r="Q374" s="123">
        <f t="shared" si="21"/>
        <v>1251</v>
      </c>
    </row>
    <row r="375" spans="1:17" ht="27" customHeight="1">
      <c r="A375" s="121"/>
      <c r="B375" s="121"/>
      <c r="C375" s="126" t="s">
        <v>1327</v>
      </c>
      <c r="D375" s="368" t="s">
        <v>606</v>
      </c>
      <c r="E375" s="114"/>
      <c r="F375" s="331">
        <v>152331</v>
      </c>
      <c r="G375" s="123">
        <f>0+'táj.2'!G375</f>
        <v>0</v>
      </c>
      <c r="H375" s="123">
        <f>0+'táj.2'!H375</f>
        <v>0</v>
      </c>
      <c r="I375" s="123">
        <f>0+'táj.2'!I375</f>
        <v>0</v>
      </c>
      <c r="J375" s="123">
        <f>0+'táj.2'!J375</f>
        <v>0</v>
      </c>
      <c r="K375" s="123">
        <f>0+'táj.2'!K375</f>
        <v>0</v>
      </c>
      <c r="L375" s="123">
        <f>0+'táj.2'!L375</f>
        <v>0</v>
      </c>
      <c r="M375" s="123">
        <f>499+'táj.2'!M375</f>
        <v>499</v>
      </c>
      <c r="N375" s="123">
        <f>0+'táj.2'!N375</f>
        <v>0</v>
      </c>
      <c r="O375" s="123">
        <f>0+'táj.2'!O375</f>
        <v>0</v>
      </c>
      <c r="P375" s="123">
        <f>0+'táj.2'!P375</f>
        <v>0</v>
      </c>
      <c r="Q375" s="123">
        <f t="shared" si="21"/>
        <v>499</v>
      </c>
    </row>
    <row r="376" spans="1:17" ht="25.5">
      <c r="A376" s="121"/>
      <c r="B376" s="121"/>
      <c r="C376" s="126" t="s">
        <v>659</v>
      </c>
      <c r="D376" s="455" t="s">
        <v>159</v>
      </c>
      <c r="E376" s="114"/>
      <c r="F376" s="331">
        <v>152316</v>
      </c>
      <c r="G376" s="123">
        <f>0+'táj.2'!G376</f>
        <v>0</v>
      </c>
      <c r="H376" s="123">
        <f>0+'táj.2'!H376</f>
        <v>0</v>
      </c>
      <c r="I376" s="123">
        <f>0+'táj.2'!I376</f>
        <v>0</v>
      </c>
      <c r="J376" s="123">
        <f>0+'táj.2'!J376</f>
        <v>0</v>
      </c>
      <c r="K376" s="123">
        <f>0+'táj.2'!K376</f>
        <v>0</v>
      </c>
      <c r="L376" s="123">
        <f>778+'táj.2'!L376</f>
        <v>778</v>
      </c>
      <c r="M376" s="123">
        <f>222+'táj.2'!M376</f>
        <v>222</v>
      </c>
      <c r="N376" s="123">
        <f>0+'táj.2'!N376</f>
        <v>0</v>
      </c>
      <c r="O376" s="123">
        <f>0+'táj.2'!O376</f>
        <v>0</v>
      </c>
      <c r="P376" s="123">
        <f>0+'táj.2'!P376</f>
        <v>0</v>
      </c>
      <c r="Q376" s="123">
        <f t="shared" si="21"/>
        <v>1000</v>
      </c>
    </row>
    <row r="377" spans="1:17" ht="12.75" customHeight="1">
      <c r="A377" s="121"/>
      <c r="B377" s="121"/>
      <c r="C377" s="126" t="s">
        <v>690</v>
      </c>
      <c r="D377" s="457" t="s">
        <v>692</v>
      </c>
      <c r="E377" s="114"/>
      <c r="F377" s="331">
        <v>152320</v>
      </c>
      <c r="G377" s="123">
        <f>0+'táj.2'!G377</f>
        <v>0</v>
      </c>
      <c r="H377" s="123">
        <f>0+'táj.2'!H377</f>
        <v>0</v>
      </c>
      <c r="I377" s="123">
        <f>0+'táj.2'!I377</f>
        <v>0</v>
      </c>
      <c r="J377" s="123">
        <f>0+'táj.2'!J377</f>
        <v>0</v>
      </c>
      <c r="K377" s="123">
        <f>0+'táj.2'!K377</f>
        <v>0</v>
      </c>
      <c r="L377" s="123">
        <f>750+'táj.2'!L377</f>
        <v>750</v>
      </c>
      <c r="M377" s="123">
        <f>0+'táj.2'!M377</f>
        <v>0</v>
      </c>
      <c r="N377" s="123">
        <f>0+'táj.2'!N377</f>
        <v>0</v>
      </c>
      <c r="O377" s="123">
        <f>0+'táj.2'!O377</f>
        <v>0</v>
      </c>
      <c r="P377" s="123">
        <f>0+'táj.2'!P377</f>
        <v>0</v>
      </c>
      <c r="Q377" s="123">
        <f t="shared" si="21"/>
        <v>750</v>
      </c>
    </row>
    <row r="378" spans="1:17" ht="12.75" customHeight="1">
      <c r="A378" s="121"/>
      <c r="B378" s="121"/>
      <c r="C378" s="126" t="s">
        <v>691</v>
      </c>
      <c r="D378" s="457" t="s">
        <v>693</v>
      </c>
      <c r="E378" s="114"/>
      <c r="F378" s="331">
        <v>152332</v>
      </c>
      <c r="G378" s="123">
        <f>0+'táj.2'!G378</f>
        <v>0</v>
      </c>
      <c r="H378" s="123">
        <f>0+'táj.2'!H378</f>
        <v>0</v>
      </c>
      <c r="I378" s="123">
        <f>0+'táj.2'!I378</f>
        <v>0</v>
      </c>
      <c r="J378" s="123">
        <f>0+'táj.2'!J378</f>
        <v>0</v>
      </c>
      <c r="K378" s="123">
        <f>0+'táj.2'!K378</f>
        <v>0</v>
      </c>
      <c r="L378" s="123">
        <f>750+'táj.2'!L378</f>
        <v>750</v>
      </c>
      <c r="M378" s="123">
        <f>0+'táj.2'!M378</f>
        <v>0</v>
      </c>
      <c r="N378" s="123">
        <f>0+'táj.2'!N378</f>
        <v>0</v>
      </c>
      <c r="O378" s="123">
        <f>0+'táj.2'!O378</f>
        <v>0</v>
      </c>
      <c r="P378" s="123">
        <f>0+'táj.2'!P378</f>
        <v>0</v>
      </c>
      <c r="Q378" s="123">
        <f t="shared" si="21"/>
        <v>750</v>
      </c>
    </row>
    <row r="379" spans="1:17" ht="29.25" customHeight="1">
      <c r="A379" s="112"/>
      <c r="B379" s="121"/>
      <c r="C379" s="126" t="s">
        <v>1413</v>
      </c>
      <c r="D379" s="374" t="s">
        <v>859</v>
      </c>
      <c r="E379" s="114" t="s">
        <v>773</v>
      </c>
      <c r="F379" s="331">
        <v>162975</v>
      </c>
      <c r="G379" s="123">
        <f>0+'táj.2'!G379</f>
        <v>0</v>
      </c>
      <c r="H379" s="123">
        <f>0+'táj.2'!H379</f>
        <v>0</v>
      </c>
      <c r="I379" s="123">
        <f>0+'táj.2'!I379</f>
        <v>0</v>
      </c>
      <c r="J379" s="123">
        <f>0+'táj.2'!J379</f>
        <v>0</v>
      </c>
      <c r="K379" s="123">
        <f>0+'táj.2'!K379</f>
        <v>0</v>
      </c>
      <c r="L379" s="123">
        <f>8000+'táj.2'!L379</f>
        <v>8000</v>
      </c>
      <c r="M379" s="123">
        <f>0+'táj.2'!M379</f>
        <v>0</v>
      </c>
      <c r="N379" s="123">
        <f>0+'táj.2'!N379</f>
        <v>0</v>
      </c>
      <c r="O379" s="123">
        <f>0+'táj.2'!O379</f>
        <v>0</v>
      </c>
      <c r="P379" s="123">
        <f>0+'táj.2'!P379</f>
        <v>0</v>
      </c>
      <c r="Q379" s="123">
        <f t="shared" si="21"/>
        <v>8000</v>
      </c>
    </row>
    <row r="380" spans="1:17" ht="12.75" customHeight="1">
      <c r="A380" s="121"/>
      <c r="B380" s="121"/>
      <c r="C380" s="121"/>
      <c r="D380" s="255" t="s">
        <v>421</v>
      </c>
      <c r="E380" s="114"/>
      <c r="F380" s="331"/>
      <c r="G380" s="123"/>
      <c r="H380" s="122"/>
      <c r="I380" s="122"/>
      <c r="J380" s="122"/>
      <c r="K380" s="122"/>
      <c r="L380" s="123"/>
      <c r="M380" s="123"/>
      <c r="N380" s="123"/>
      <c r="O380" s="122"/>
      <c r="P380" s="122"/>
      <c r="Q380" s="123"/>
    </row>
    <row r="381" spans="1:17" ht="12.75" customHeight="1">
      <c r="A381" s="121"/>
      <c r="B381" s="121"/>
      <c r="C381" s="126" t="s">
        <v>1123</v>
      </c>
      <c r="D381" s="256" t="s">
        <v>1122</v>
      </c>
      <c r="E381" s="114"/>
      <c r="F381" s="331">
        <v>152315</v>
      </c>
      <c r="G381" s="123">
        <f>0+'táj.2'!G381</f>
        <v>0</v>
      </c>
      <c r="H381" s="123">
        <f>0+'táj.2'!H381</f>
        <v>0</v>
      </c>
      <c r="I381" s="123">
        <f>0+'táj.2'!I381</f>
        <v>0</v>
      </c>
      <c r="J381" s="123">
        <f>0+'táj.2'!J381</f>
        <v>0</v>
      </c>
      <c r="K381" s="123">
        <f>0+'táj.2'!K381</f>
        <v>0</v>
      </c>
      <c r="L381" s="123">
        <f>16366+'táj.2'!L381</f>
        <v>16366</v>
      </c>
      <c r="M381" s="123">
        <f>0+'táj.2'!M381</f>
        <v>0</v>
      </c>
      <c r="N381" s="123">
        <f>0+'táj.2'!N381</f>
        <v>0</v>
      </c>
      <c r="O381" s="123">
        <f>0+'táj.2'!O381</f>
        <v>0</v>
      </c>
      <c r="P381" s="123">
        <f>0+'táj.2'!P381</f>
        <v>0</v>
      </c>
      <c r="Q381" s="123">
        <f aca="true" t="shared" si="22" ref="Q381:Q387">SUM(G381:P381)</f>
        <v>16366</v>
      </c>
    </row>
    <row r="382" spans="1:17" ht="12.75" customHeight="1">
      <c r="A382" s="121"/>
      <c r="B382" s="121"/>
      <c r="C382" s="126" t="s">
        <v>1124</v>
      </c>
      <c r="D382" s="224" t="s">
        <v>1321</v>
      </c>
      <c r="E382" s="114"/>
      <c r="F382" s="331">
        <v>152323</v>
      </c>
      <c r="G382" s="123">
        <f>0+'táj.2'!G382</f>
        <v>0</v>
      </c>
      <c r="H382" s="123">
        <f>0+'táj.2'!H382</f>
        <v>0</v>
      </c>
      <c r="I382" s="123">
        <f>0+'táj.2'!I382</f>
        <v>0</v>
      </c>
      <c r="J382" s="123">
        <f>0+'táj.2'!J382</f>
        <v>0</v>
      </c>
      <c r="K382" s="123">
        <f>0+'táj.2'!K382</f>
        <v>0</v>
      </c>
      <c r="L382" s="123">
        <f>2756+'táj.2'!L382</f>
        <v>2756</v>
      </c>
      <c r="M382" s="123">
        <f>0+'táj.2'!M382</f>
        <v>0</v>
      </c>
      <c r="N382" s="123">
        <f>0+'táj.2'!N382</f>
        <v>0</v>
      </c>
      <c r="O382" s="123">
        <f>0+'táj.2'!O382</f>
        <v>0</v>
      </c>
      <c r="P382" s="123">
        <f>0+'táj.2'!P382</f>
        <v>0</v>
      </c>
      <c r="Q382" s="123">
        <f t="shared" si="22"/>
        <v>2756</v>
      </c>
    </row>
    <row r="383" spans="1:17" ht="12.75" customHeight="1">
      <c r="A383" s="121"/>
      <c r="B383" s="121"/>
      <c r="C383" s="121" t="s">
        <v>1290</v>
      </c>
      <c r="D383" s="270" t="s">
        <v>337</v>
      </c>
      <c r="E383" s="114"/>
      <c r="F383" s="331"/>
      <c r="G383" s="123"/>
      <c r="H383" s="122"/>
      <c r="I383" s="122"/>
      <c r="J383" s="122"/>
      <c r="K383" s="122"/>
      <c r="L383" s="123"/>
      <c r="M383" s="123"/>
      <c r="N383" s="123"/>
      <c r="O383" s="122"/>
      <c r="P383" s="122"/>
      <c r="Q383" s="123"/>
    </row>
    <row r="384" spans="1:17" ht="15.75" customHeight="1">
      <c r="A384" s="121"/>
      <c r="B384" s="121"/>
      <c r="C384" s="126" t="s">
        <v>1292</v>
      </c>
      <c r="D384" s="460" t="s">
        <v>1047</v>
      </c>
      <c r="E384" s="114"/>
      <c r="F384" s="331">
        <v>152406</v>
      </c>
      <c r="G384" s="123">
        <f>0+'táj.2'!G384</f>
        <v>0</v>
      </c>
      <c r="H384" s="123">
        <f>0+'táj.2'!H384</f>
        <v>0</v>
      </c>
      <c r="I384" s="123">
        <f>3434+'táj.2'!I384</f>
        <v>3434</v>
      </c>
      <c r="J384" s="123">
        <f>0+'táj.2'!J384</f>
        <v>0</v>
      </c>
      <c r="K384" s="123">
        <f>0+'táj.2'!K384</f>
        <v>0</v>
      </c>
      <c r="L384" s="123">
        <f>0+'táj.2'!L384</f>
        <v>0</v>
      </c>
      <c r="M384" s="123">
        <f>0+'táj.2'!M384</f>
        <v>0</v>
      </c>
      <c r="N384" s="123">
        <f>0+'táj.2'!N384</f>
        <v>0</v>
      </c>
      <c r="O384" s="123">
        <f>0+'táj.2'!O384</f>
        <v>0</v>
      </c>
      <c r="P384" s="123">
        <f>0+'táj.2'!P384</f>
        <v>0</v>
      </c>
      <c r="Q384" s="123">
        <f t="shared" si="22"/>
        <v>3434</v>
      </c>
    </row>
    <row r="385" spans="1:17" ht="15.75" customHeight="1">
      <c r="A385" s="121"/>
      <c r="B385" s="121"/>
      <c r="C385" s="126" t="s">
        <v>806</v>
      </c>
      <c r="D385" s="460" t="s">
        <v>611</v>
      </c>
      <c r="E385" s="114"/>
      <c r="F385" s="331">
        <v>152452</v>
      </c>
      <c r="G385" s="123">
        <f>0+'táj.2'!G385</f>
        <v>0</v>
      </c>
      <c r="H385" s="123">
        <f>0+'táj.2'!H385</f>
        <v>0</v>
      </c>
      <c r="I385" s="123">
        <f>0+'táj.2'!I385</f>
        <v>0</v>
      </c>
      <c r="J385" s="123">
        <f>0+'táj.2'!J385</f>
        <v>0</v>
      </c>
      <c r="K385" s="123">
        <f>0+'táj.2'!K385</f>
        <v>0</v>
      </c>
      <c r="L385" s="123">
        <f>1019+'táj.2'!L385</f>
        <v>1019</v>
      </c>
      <c r="M385" s="123">
        <f>0+'táj.2'!M385</f>
        <v>0</v>
      </c>
      <c r="N385" s="123">
        <f>981+'táj.2'!N385</f>
        <v>981</v>
      </c>
      <c r="O385" s="123">
        <f>0+'táj.2'!O385</f>
        <v>0</v>
      </c>
      <c r="P385" s="123">
        <f>0+'táj.2'!P385</f>
        <v>0</v>
      </c>
      <c r="Q385" s="123">
        <f t="shared" si="22"/>
        <v>2000</v>
      </c>
    </row>
    <row r="386" spans="1:17" ht="15.75" customHeight="1">
      <c r="A386" s="121"/>
      <c r="B386" s="121"/>
      <c r="C386" s="126" t="s">
        <v>1372</v>
      </c>
      <c r="D386" s="460" t="s">
        <v>612</v>
      </c>
      <c r="E386" s="114"/>
      <c r="F386" s="331">
        <v>154404</v>
      </c>
      <c r="G386" s="123">
        <f>0+'táj.2'!G386</f>
        <v>0</v>
      </c>
      <c r="H386" s="123">
        <f>0+'táj.2'!H386</f>
        <v>0</v>
      </c>
      <c r="I386" s="123">
        <f>0+'táj.2'!I386</f>
        <v>0</v>
      </c>
      <c r="J386" s="123">
        <f>0+'táj.2'!J386</f>
        <v>0</v>
      </c>
      <c r="K386" s="123">
        <f>0+'táj.2'!K386</f>
        <v>0</v>
      </c>
      <c r="L386" s="123">
        <f>0+'táj.2'!L386</f>
        <v>0</v>
      </c>
      <c r="M386" s="123">
        <f>4808+'táj.2'!M386</f>
        <v>4808</v>
      </c>
      <c r="N386" s="123">
        <f>0+'táj.2'!N386</f>
        <v>0</v>
      </c>
      <c r="O386" s="123">
        <f>0+'táj.2'!O386</f>
        <v>0</v>
      </c>
      <c r="P386" s="123">
        <f>0+'táj.2'!P386</f>
        <v>0</v>
      </c>
      <c r="Q386" s="123">
        <f t="shared" si="22"/>
        <v>4808</v>
      </c>
    </row>
    <row r="387" spans="1:17" ht="15.75" customHeight="1">
      <c r="A387" s="121"/>
      <c r="B387" s="121"/>
      <c r="C387" s="126" t="s">
        <v>1373</v>
      </c>
      <c r="D387" s="460" t="s">
        <v>613</v>
      </c>
      <c r="E387" s="114"/>
      <c r="F387" s="331">
        <v>155444</v>
      </c>
      <c r="G387" s="123">
        <f>0+'táj.2'!G387</f>
        <v>0</v>
      </c>
      <c r="H387" s="123">
        <f>0+'táj.2'!H387</f>
        <v>0</v>
      </c>
      <c r="I387" s="123">
        <f>0+'táj.2'!I387</f>
        <v>0</v>
      </c>
      <c r="J387" s="123">
        <f>0+'táj.2'!J387</f>
        <v>0</v>
      </c>
      <c r="K387" s="123">
        <f>0+'táj.2'!K387</f>
        <v>0</v>
      </c>
      <c r="L387" s="123">
        <f>0+'táj.2'!L387</f>
        <v>0</v>
      </c>
      <c r="M387" s="123">
        <f>3000+'táj.2'!M387</f>
        <v>3000</v>
      </c>
      <c r="N387" s="123">
        <f>0+'táj.2'!N387</f>
        <v>0</v>
      </c>
      <c r="O387" s="123">
        <f>0+'táj.2'!O387</f>
        <v>0</v>
      </c>
      <c r="P387" s="123">
        <f>0+'táj.2'!P387</f>
        <v>0</v>
      </c>
      <c r="Q387" s="123">
        <f t="shared" si="22"/>
        <v>3000</v>
      </c>
    </row>
    <row r="388" spans="1:17" ht="15.75" customHeight="1">
      <c r="A388" s="121"/>
      <c r="B388" s="121"/>
      <c r="C388" s="126" t="s">
        <v>1374</v>
      </c>
      <c r="D388" s="460" t="s">
        <v>614</v>
      </c>
      <c r="E388" s="114"/>
      <c r="F388" s="331">
        <v>155445</v>
      </c>
      <c r="G388" s="123">
        <f>0+'táj.2'!G388</f>
        <v>0</v>
      </c>
      <c r="H388" s="123">
        <f>0+'táj.2'!H388</f>
        <v>0</v>
      </c>
      <c r="I388" s="123">
        <f>0+'táj.2'!I388</f>
        <v>0</v>
      </c>
      <c r="J388" s="123">
        <f>0+'táj.2'!J388</f>
        <v>0</v>
      </c>
      <c r="K388" s="123">
        <f>0+'táj.2'!K388</f>
        <v>0</v>
      </c>
      <c r="L388" s="123">
        <f>0+'táj.2'!L388</f>
        <v>0</v>
      </c>
      <c r="M388" s="123">
        <f>4951+'táj.2'!M388</f>
        <v>4951</v>
      </c>
      <c r="N388" s="123">
        <f>0+'táj.2'!N388</f>
        <v>0</v>
      </c>
      <c r="O388" s="123">
        <f>0+'táj.2'!O388</f>
        <v>0</v>
      </c>
      <c r="P388" s="123">
        <f>0+'táj.2'!P388</f>
        <v>0</v>
      </c>
      <c r="Q388" s="123">
        <f aca="true" t="shared" si="23" ref="Q388:Q461">SUM(G388:P388)</f>
        <v>4951</v>
      </c>
    </row>
    <row r="389" spans="1:17" ht="15.75" customHeight="1">
      <c r="A389" s="121"/>
      <c r="B389" s="121"/>
      <c r="C389" s="126" t="s">
        <v>1375</v>
      </c>
      <c r="D389" s="460" t="s">
        <v>48</v>
      </c>
      <c r="E389" s="114"/>
      <c r="F389" s="331">
        <v>154485</v>
      </c>
      <c r="G389" s="123">
        <f>0+'táj.2'!G389</f>
        <v>0</v>
      </c>
      <c r="H389" s="123">
        <f>0+'táj.2'!H389</f>
        <v>0</v>
      </c>
      <c r="I389" s="123">
        <f>0+'táj.2'!I389</f>
        <v>0</v>
      </c>
      <c r="J389" s="123">
        <f>0+'táj.2'!J389</f>
        <v>0</v>
      </c>
      <c r="K389" s="123">
        <f>0+'táj.2'!K389</f>
        <v>0</v>
      </c>
      <c r="L389" s="123">
        <f>0+'táj.2'!L389</f>
        <v>0</v>
      </c>
      <c r="M389" s="123">
        <f>2825+'táj.2'!M389</f>
        <v>2825</v>
      </c>
      <c r="N389" s="123">
        <f>0+'táj.2'!N389</f>
        <v>0</v>
      </c>
      <c r="O389" s="123">
        <f>0+'táj.2'!O389</f>
        <v>0</v>
      </c>
      <c r="P389" s="123">
        <f>0+'táj.2'!P389</f>
        <v>0</v>
      </c>
      <c r="Q389" s="123">
        <f t="shared" si="23"/>
        <v>2825</v>
      </c>
    </row>
    <row r="390" spans="1:17" ht="15.75" customHeight="1">
      <c r="A390" s="121"/>
      <c r="B390" s="121"/>
      <c r="C390" s="126" t="s">
        <v>1376</v>
      </c>
      <c r="D390" s="460" t="s">
        <v>615</v>
      </c>
      <c r="E390" s="114"/>
      <c r="F390" s="331">
        <v>154493</v>
      </c>
      <c r="G390" s="123">
        <f>0+'táj.2'!G390</f>
        <v>0</v>
      </c>
      <c r="H390" s="123">
        <f>0+'táj.2'!H390</f>
        <v>0</v>
      </c>
      <c r="I390" s="123">
        <f>0+'táj.2'!I390</f>
        <v>0</v>
      </c>
      <c r="J390" s="123">
        <f>0+'táj.2'!J390</f>
        <v>0</v>
      </c>
      <c r="K390" s="123">
        <f>0+'táj.2'!K390</f>
        <v>0</v>
      </c>
      <c r="L390" s="123">
        <f>0+'táj.2'!L390</f>
        <v>0</v>
      </c>
      <c r="M390" s="123">
        <f>4936+'táj.2'!M390</f>
        <v>4936</v>
      </c>
      <c r="N390" s="123">
        <f>0+'táj.2'!N390</f>
        <v>0</v>
      </c>
      <c r="O390" s="123">
        <f>0+'táj.2'!O390</f>
        <v>0</v>
      </c>
      <c r="P390" s="123">
        <f>0+'táj.2'!P390</f>
        <v>0</v>
      </c>
      <c r="Q390" s="123">
        <f t="shared" si="23"/>
        <v>4936</v>
      </c>
    </row>
    <row r="391" spans="1:17" ht="15.75" customHeight="1">
      <c r="A391" s="121"/>
      <c r="B391" s="121"/>
      <c r="C391" s="126" t="s">
        <v>1377</v>
      </c>
      <c r="D391" s="461" t="s">
        <v>616</v>
      </c>
      <c r="E391" s="114"/>
      <c r="F391" s="331">
        <v>155446</v>
      </c>
      <c r="G391" s="123">
        <f>0+'táj.2'!G391</f>
        <v>0</v>
      </c>
      <c r="H391" s="123">
        <f>0+'táj.2'!H391</f>
        <v>0</v>
      </c>
      <c r="I391" s="123">
        <f>0+'táj.2'!I391</f>
        <v>0</v>
      </c>
      <c r="J391" s="123">
        <f>0+'táj.2'!J391</f>
        <v>0</v>
      </c>
      <c r="K391" s="123">
        <f>0+'táj.2'!K391</f>
        <v>0</v>
      </c>
      <c r="L391" s="123">
        <f>0+'táj.2'!L391</f>
        <v>0</v>
      </c>
      <c r="M391" s="123">
        <f>1986+'táj.2'!M391</f>
        <v>1986</v>
      </c>
      <c r="N391" s="123">
        <f>0+'táj.2'!N391</f>
        <v>0</v>
      </c>
      <c r="O391" s="123">
        <f>0+'táj.2'!O391</f>
        <v>0</v>
      </c>
      <c r="P391" s="123">
        <f>0+'táj.2'!P391</f>
        <v>0</v>
      </c>
      <c r="Q391" s="123">
        <f t="shared" si="23"/>
        <v>1986</v>
      </c>
    </row>
    <row r="392" spans="1:17" ht="15.75" customHeight="1">
      <c r="A392" s="121"/>
      <c r="B392" s="121"/>
      <c r="C392" s="126" t="s">
        <v>1378</v>
      </c>
      <c r="D392" s="461" t="s">
        <v>617</v>
      </c>
      <c r="E392" s="114"/>
      <c r="F392" s="331">
        <v>155416</v>
      </c>
      <c r="G392" s="123">
        <f>0+'táj.2'!G392</f>
        <v>0</v>
      </c>
      <c r="H392" s="123">
        <f>0+'táj.2'!H392</f>
        <v>0</v>
      </c>
      <c r="I392" s="123">
        <f>0+'táj.2'!I392</f>
        <v>0</v>
      </c>
      <c r="J392" s="123">
        <f>0+'táj.2'!J392</f>
        <v>0</v>
      </c>
      <c r="K392" s="123">
        <f>0+'táj.2'!K392</f>
        <v>0</v>
      </c>
      <c r="L392" s="123">
        <f>0+'táj.2'!L392</f>
        <v>0</v>
      </c>
      <c r="M392" s="123">
        <f>3000+'táj.2'!M392</f>
        <v>3000</v>
      </c>
      <c r="N392" s="123">
        <f>0+'táj.2'!N392</f>
        <v>0</v>
      </c>
      <c r="O392" s="123">
        <f>0+'táj.2'!O392</f>
        <v>0</v>
      </c>
      <c r="P392" s="123">
        <f>0+'táj.2'!P392</f>
        <v>0</v>
      </c>
      <c r="Q392" s="123">
        <f t="shared" si="23"/>
        <v>3000</v>
      </c>
    </row>
    <row r="393" spans="1:17" ht="15.75" customHeight="1">
      <c r="A393" s="121"/>
      <c r="B393" s="121"/>
      <c r="C393" s="126" t="s">
        <v>1379</v>
      </c>
      <c r="D393" s="460" t="s">
        <v>618</v>
      </c>
      <c r="E393" s="114"/>
      <c r="F393" s="331">
        <v>155447</v>
      </c>
      <c r="G393" s="123">
        <f>0+'táj.2'!G393</f>
        <v>0</v>
      </c>
      <c r="H393" s="123">
        <f>0+'táj.2'!H393</f>
        <v>0</v>
      </c>
      <c r="I393" s="123">
        <f>0+'táj.2'!I393</f>
        <v>0</v>
      </c>
      <c r="J393" s="123">
        <f>0+'táj.2'!J393</f>
        <v>0</v>
      </c>
      <c r="K393" s="123">
        <f>0+'táj.2'!K393</f>
        <v>0</v>
      </c>
      <c r="L393" s="123">
        <f>0+'táj.2'!L393</f>
        <v>0</v>
      </c>
      <c r="M393" s="123">
        <f>5233+'táj.2'!M393</f>
        <v>5233</v>
      </c>
      <c r="N393" s="123">
        <f>0+'táj.2'!N393</f>
        <v>0</v>
      </c>
      <c r="O393" s="123">
        <f>0+'táj.2'!O393</f>
        <v>0</v>
      </c>
      <c r="P393" s="123">
        <f>0+'táj.2'!P393</f>
        <v>0</v>
      </c>
      <c r="Q393" s="123">
        <f t="shared" si="23"/>
        <v>5233</v>
      </c>
    </row>
    <row r="394" spans="1:17" ht="26.25" customHeight="1">
      <c r="A394" s="121"/>
      <c r="B394" s="121"/>
      <c r="C394" s="126" t="s">
        <v>1388</v>
      </c>
      <c r="D394" s="460" t="s">
        <v>622</v>
      </c>
      <c r="E394" s="114"/>
      <c r="F394" s="328">
        <v>154412</v>
      </c>
      <c r="G394" s="123">
        <f>0+'táj.2'!G394</f>
        <v>0</v>
      </c>
      <c r="H394" s="123">
        <f>0+'táj.2'!H394</f>
        <v>0</v>
      </c>
      <c r="I394" s="123">
        <f>0+'táj.2'!I394</f>
        <v>0</v>
      </c>
      <c r="J394" s="123">
        <f>0+'táj.2'!J394</f>
        <v>0</v>
      </c>
      <c r="K394" s="123">
        <f>0+'táj.2'!K394</f>
        <v>0</v>
      </c>
      <c r="L394" s="123">
        <f>0+'táj.2'!L394</f>
        <v>0</v>
      </c>
      <c r="M394" s="123">
        <f>0+'táj.2'!M394</f>
        <v>0</v>
      </c>
      <c r="N394" s="123">
        <f>0+'táj.2'!N394</f>
        <v>0</v>
      </c>
      <c r="O394" s="123">
        <f>0+'táj.2'!O394</f>
        <v>0</v>
      </c>
      <c r="P394" s="123">
        <f>0+'táj.2'!P394</f>
        <v>0</v>
      </c>
      <c r="Q394" s="123">
        <f t="shared" si="23"/>
        <v>0</v>
      </c>
    </row>
    <row r="395" spans="1:17" ht="15.75" customHeight="1">
      <c r="A395" s="121"/>
      <c r="B395" s="121"/>
      <c r="C395" s="126" t="s">
        <v>1389</v>
      </c>
      <c r="D395" s="460" t="s">
        <v>623</v>
      </c>
      <c r="E395" s="114"/>
      <c r="F395" s="331">
        <v>154487</v>
      </c>
      <c r="G395" s="123">
        <f>0+'táj.2'!G395</f>
        <v>0</v>
      </c>
      <c r="H395" s="123">
        <f>0+'táj.2'!H395</f>
        <v>0</v>
      </c>
      <c r="I395" s="123">
        <f>0+'táj.2'!I395</f>
        <v>0</v>
      </c>
      <c r="J395" s="123">
        <f>0+'táj.2'!J395</f>
        <v>0</v>
      </c>
      <c r="K395" s="123">
        <f>0+'táj.2'!K395</f>
        <v>0</v>
      </c>
      <c r="L395" s="123">
        <f>0+'táj.2'!L395</f>
        <v>0</v>
      </c>
      <c r="M395" s="123">
        <f>0+'táj.2'!M395</f>
        <v>0</v>
      </c>
      <c r="N395" s="123">
        <f>0+'táj.2'!N395</f>
        <v>0</v>
      </c>
      <c r="O395" s="123">
        <f>0+'táj.2'!O395</f>
        <v>0</v>
      </c>
      <c r="P395" s="123">
        <f>0+'táj.2'!P395</f>
        <v>0</v>
      </c>
      <c r="Q395" s="123">
        <f t="shared" si="23"/>
        <v>0</v>
      </c>
    </row>
    <row r="396" spans="1:17" ht="15.75" customHeight="1">
      <c r="A396" s="121"/>
      <c r="B396" s="121"/>
      <c r="C396" s="126" t="s">
        <v>1390</v>
      </c>
      <c r="D396" s="460" t="s">
        <v>860</v>
      </c>
      <c r="E396" s="114"/>
      <c r="F396" s="331">
        <v>155448</v>
      </c>
      <c r="G396" s="123">
        <f>0+'táj.2'!G396</f>
        <v>0</v>
      </c>
      <c r="H396" s="123">
        <f>0+'táj.2'!H396</f>
        <v>0</v>
      </c>
      <c r="I396" s="123">
        <f>0+'táj.2'!I396</f>
        <v>0</v>
      </c>
      <c r="J396" s="123">
        <f>0+'táj.2'!J396</f>
        <v>0</v>
      </c>
      <c r="K396" s="123">
        <f>0+'táj.2'!K396</f>
        <v>0</v>
      </c>
      <c r="L396" s="123">
        <f>0+'táj.2'!L396</f>
        <v>0</v>
      </c>
      <c r="M396" s="123">
        <f>3000+'táj.2'!M396</f>
        <v>3000</v>
      </c>
      <c r="N396" s="123">
        <f>0+'táj.2'!N396</f>
        <v>0</v>
      </c>
      <c r="O396" s="123">
        <f>0+'táj.2'!O396</f>
        <v>0</v>
      </c>
      <c r="P396" s="123">
        <f>0+'táj.2'!P396</f>
        <v>0</v>
      </c>
      <c r="Q396" s="123">
        <f t="shared" si="23"/>
        <v>3000</v>
      </c>
    </row>
    <row r="397" spans="1:17" ht="24.75" customHeight="1">
      <c r="A397" s="121"/>
      <c r="B397" s="121"/>
      <c r="C397" s="126" t="s">
        <v>1391</v>
      </c>
      <c r="D397" s="460" t="s">
        <v>624</v>
      </c>
      <c r="E397" s="114"/>
      <c r="F397" s="331">
        <v>155449</v>
      </c>
      <c r="G397" s="123">
        <f>0+'táj.2'!G397</f>
        <v>0</v>
      </c>
      <c r="H397" s="123">
        <f>0+'táj.2'!H397</f>
        <v>0</v>
      </c>
      <c r="I397" s="123">
        <f>0+'táj.2'!I397</f>
        <v>0</v>
      </c>
      <c r="J397" s="123">
        <f>0+'táj.2'!J397</f>
        <v>0</v>
      </c>
      <c r="K397" s="123">
        <f>0+'táj.2'!K397</f>
        <v>0</v>
      </c>
      <c r="L397" s="123">
        <f>0+'táj.2'!L397</f>
        <v>0</v>
      </c>
      <c r="M397" s="123">
        <f>3500+'táj.2'!M397</f>
        <v>3500</v>
      </c>
      <c r="N397" s="123">
        <f>0+'táj.2'!N397</f>
        <v>0</v>
      </c>
      <c r="O397" s="123">
        <f>0+'táj.2'!O397</f>
        <v>0</v>
      </c>
      <c r="P397" s="123">
        <f>0+'táj.2'!P397</f>
        <v>0</v>
      </c>
      <c r="Q397" s="123">
        <f t="shared" si="23"/>
        <v>3500</v>
      </c>
    </row>
    <row r="398" spans="1:17" ht="15.75" customHeight="1">
      <c r="A398" s="121"/>
      <c r="B398" s="121"/>
      <c r="C398" s="126" t="s">
        <v>1392</v>
      </c>
      <c r="D398" s="462" t="s">
        <v>625</v>
      </c>
      <c r="E398" s="114"/>
      <c r="F398" s="331">
        <v>154492</v>
      </c>
      <c r="G398" s="123">
        <f>0+'táj.2'!G398</f>
        <v>0</v>
      </c>
      <c r="H398" s="123">
        <f>0+'táj.2'!H398</f>
        <v>0</v>
      </c>
      <c r="I398" s="123">
        <f>0+'táj.2'!I398</f>
        <v>0</v>
      </c>
      <c r="J398" s="123">
        <f>0+'táj.2'!J398</f>
        <v>0</v>
      </c>
      <c r="K398" s="123">
        <f>0+'táj.2'!K398</f>
        <v>0</v>
      </c>
      <c r="L398" s="123">
        <f>0+'táj.2'!L398</f>
        <v>0</v>
      </c>
      <c r="M398" s="123">
        <f>6500+'táj.2'!M398</f>
        <v>6500</v>
      </c>
      <c r="N398" s="123">
        <f>0+'táj.2'!N398</f>
        <v>0</v>
      </c>
      <c r="O398" s="123">
        <f>0+'táj.2'!O398</f>
        <v>0</v>
      </c>
      <c r="P398" s="123">
        <f>0+'táj.2'!P398</f>
        <v>0</v>
      </c>
      <c r="Q398" s="123">
        <f t="shared" si="23"/>
        <v>6500</v>
      </c>
    </row>
    <row r="399" spans="1:17" ht="15.75" customHeight="1">
      <c r="A399" s="121"/>
      <c r="B399" s="121"/>
      <c r="C399" s="126" t="s">
        <v>1393</v>
      </c>
      <c r="D399" s="460" t="s">
        <v>626</v>
      </c>
      <c r="E399" s="114"/>
      <c r="F399" s="331">
        <v>155450</v>
      </c>
      <c r="G399" s="123">
        <f>0+'táj.2'!G399</f>
        <v>0</v>
      </c>
      <c r="H399" s="123">
        <f>0+'táj.2'!H399</f>
        <v>0</v>
      </c>
      <c r="I399" s="123">
        <f>0+'táj.2'!I399</f>
        <v>0</v>
      </c>
      <c r="J399" s="123">
        <f>0+'táj.2'!J399</f>
        <v>0</v>
      </c>
      <c r="K399" s="123">
        <f>0+'táj.2'!K399</f>
        <v>0</v>
      </c>
      <c r="L399" s="123">
        <f>0+'táj.2'!L399</f>
        <v>0</v>
      </c>
      <c r="M399" s="123">
        <f>4412+'táj.2'!M399</f>
        <v>4412</v>
      </c>
      <c r="N399" s="123">
        <f>0+'táj.2'!N399</f>
        <v>0</v>
      </c>
      <c r="O399" s="123">
        <f>0+'táj.2'!O399</f>
        <v>0</v>
      </c>
      <c r="P399" s="123">
        <f>0+'táj.2'!P399</f>
        <v>0</v>
      </c>
      <c r="Q399" s="123">
        <f t="shared" si="23"/>
        <v>4412</v>
      </c>
    </row>
    <row r="400" spans="1:17" ht="15.75" customHeight="1">
      <c r="A400" s="121"/>
      <c r="B400" s="121"/>
      <c r="C400" s="126" t="s">
        <v>1394</v>
      </c>
      <c r="D400" s="460" t="s">
        <v>627</v>
      </c>
      <c r="E400" s="283"/>
      <c r="F400" s="542">
        <v>155451</v>
      </c>
      <c r="G400" s="123">
        <f>0+'táj.2'!G400</f>
        <v>0</v>
      </c>
      <c r="H400" s="123">
        <f>0+'táj.2'!H400</f>
        <v>0</v>
      </c>
      <c r="I400" s="123">
        <f>0+'táj.2'!I400</f>
        <v>0</v>
      </c>
      <c r="J400" s="123">
        <f>0+'táj.2'!J400</f>
        <v>0</v>
      </c>
      <c r="K400" s="123">
        <f>0+'táj.2'!K400</f>
        <v>0</v>
      </c>
      <c r="L400" s="123">
        <f>0+'táj.2'!L400</f>
        <v>0</v>
      </c>
      <c r="M400" s="123">
        <f>2442+'táj.2'!M400</f>
        <v>2442</v>
      </c>
      <c r="N400" s="123">
        <f>0+'táj.2'!N400</f>
        <v>0</v>
      </c>
      <c r="O400" s="123">
        <f>0+'táj.2'!O400</f>
        <v>0</v>
      </c>
      <c r="P400" s="123">
        <f>0+'táj.2'!P400</f>
        <v>0</v>
      </c>
      <c r="Q400" s="524">
        <f t="shared" si="23"/>
        <v>2442</v>
      </c>
    </row>
    <row r="401" spans="1:17" ht="15" customHeight="1">
      <c r="A401" s="121"/>
      <c r="B401" s="121"/>
      <c r="C401" s="126" t="s">
        <v>1395</v>
      </c>
      <c r="D401" s="463" t="s">
        <v>638</v>
      </c>
      <c r="E401" s="527"/>
      <c r="F401" s="543">
        <v>155452</v>
      </c>
      <c r="G401" s="123">
        <f>0+'táj.2'!G401</f>
        <v>0</v>
      </c>
      <c r="H401" s="123">
        <f>0+'táj.2'!H401</f>
        <v>0</v>
      </c>
      <c r="I401" s="123">
        <f>0+'táj.2'!I401</f>
        <v>0</v>
      </c>
      <c r="J401" s="123">
        <f>0+'táj.2'!J401</f>
        <v>0</v>
      </c>
      <c r="K401" s="123">
        <f>0+'táj.2'!K401</f>
        <v>0</v>
      </c>
      <c r="L401" s="123">
        <f>0+'táj.2'!L401</f>
        <v>0</v>
      </c>
      <c r="M401" s="123">
        <f>3570+'táj.2'!M401</f>
        <v>3570</v>
      </c>
      <c r="N401" s="123">
        <f>0+'táj.2'!N401</f>
        <v>0</v>
      </c>
      <c r="O401" s="123">
        <f>0+'táj.2'!O401</f>
        <v>0</v>
      </c>
      <c r="P401" s="123">
        <f>0+'táj.2'!P401</f>
        <v>0</v>
      </c>
      <c r="Q401" s="527">
        <f t="shared" si="23"/>
        <v>3570</v>
      </c>
    </row>
    <row r="402" spans="1:17" ht="26.25" customHeight="1">
      <c r="A402" s="121"/>
      <c r="B402" s="121"/>
      <c r="C402" s="126" t="s">
        <v>1396</v>
      </c>
      <c r="D402" s="463" t="s">
        <v>639</v>
      </c>
      <c r="E402" s="287"/>
      <c r="F402" s="544">
        <v>155442</v>
      </c>
      <c r="G402" s="123">
        <f>0+'táj.2'!G402</f>
        <v>0</v>
      </c>
      <c r="H402" s="123">
        <f>0+'táj.2'!H402</f>
        <v>0</v>
      </c>
      <c r="I402" s="123">
        <f>0+'táj.2'!I402</f>
        <v>0</v>
      </c>
      <c r="J402" s="123">
        <f>0+'táj.2'!J402</f>
        <v>0</v>
      </c>
      <c r="K402" s="123">
        <f>0+'táj.2'!K402</f>
        <v>0</v>
      </c>
      <c r="L402" s="123">
        <f>0+'táj.2'!L402</f>
        <v>0</v>
      </c>
      <c r="M402" s="123">
        <f>985+'táj.2'!M402</f>
        <v>985</v>
      </c>
      <c r="N402" s="123">
        <f>0+'táj.2'!N402</f>
        <v>0</v>
      </c>
      <c r="O402" s="123">
        <f>0+'táj.2'!O402</f>
        <v>0</v>
      </c>
      <c r="P402" s="123">
        <f>0+'táj.2'!P402</f>
        <v>0</v>
      </c>
      <c r="Q402" s="526">
        <f t="shared" si="23"/>
        <v>985</v>
      </c>
    </row>
    <row r="403" spans="1:17" ht="12.75" customHeight="1">
      <c r="A403" s="121"/>
      <c r="B403" s="121"/>
      <c r="C403" s="126" t="s">
        <v>1397</v>
      </c>
      <c r="D403" s="465" t="s">
        <v>644</v>
      </c>
      <c r="E403" s="114"/>
      <c r="F403" s="331">
        <v>154406</v>
      </c>
      <c r="G403" s="123">
        <f>0+'táj.2'!G403</f>
        <v>0</v>
      </c>
      <c r="H403" s="123">
        <f>0+'táj.2'!H403</f>
        <v>0</v>
      </c>
      <c r="I403" s="123">
        <f>0+'táj.2'!I403</f>
        <v>0</v>
      </c>
      <c r="J403" s="123">
        <f>0+'táj.2'!J403</f>
        <v>0</v>
      </c>
      <c r="K403" s="123">
        <f>0+'táj.2'!K403</f>
        <v>0</v>
      </c>
      <c r="L403" s="123">
        <f>0+'táj.2'!L403</f>
        <v>0</v>
      </c>
      <c r="M403" s="123">
        <f>1000+'táj.2'!M403</f>
        <v>1000</v>
      </c>
      <c r="N403" s="123">
        <f>0+'táj.2'!N403</f>
        <v>0</v>
      </c>
      <c r="O403" s="123">
        <f>0+'táj.2'!O403</f>
        <v>0</v>
      </c>
      <c r="P403" s="123">
        <f>0+'táj.2'!P403</f>
        <v>0</v>
      </c>
      <c r="Q403" s="123">
        <f t="shared" si="23"/>
        <v>1000</v>
      </c>
    </row>
    <row r="404" spans="1:17" ht="12.75" customHeight="1">
      <c r="A404" s="121"/>
      <c r="B404" s="121"/>
      <c r="C404" s="126" t="s">
        <v>1407</v>
      </c>
      <c r="D404" s="456" t="s">
        <v>645</v>
      </c>
      <c r="E404" s="114"/>
      <c r="F404" s="331">
        <v>155401</v>
      </c>
      <c r="G404" s="123">
        <f>0+'táj.2'!G404</f>
        <v>0</v>
      </c>
      <c r="H404" s="123">
        <f>0+'táj.2'!H404</f>
        <v>0</v>
      </c>
      <c r="I404" s="123">
        <f>0+'táj.2'!I404</f>
        <v>0</v>
      </c>
      <c r="J404" s="123">
        <f>0+'táj.2'!J404</f>
        <v>0</v>
      </c>
      <c r="K404" s="123">
        <f>0+'táj.2'!K404</f>
        <v>0</v>
      </c>
      <c r="L404" s="123">
        <f>0+'táj.2'!L404</f>
        <v>0</v>
      </c>
      <c r="M404" s="123">
        <f>5692+'táj.2'!M404</f>
        <v>5692</v>
      </c>
      <c r="N404" s="123">
        <f>0+'táj.2'!N404</f>
        <v>0</v>
      </c>
      <c r="O404" s="123">
        <f>0+'táj.2'!O404</f>
        <v>0</v>
      </c>
      <c r="P404" s="123">
        <f>0+'táj.2'!P404</f>
        <v>0</v>
      </c>
      <c r="Q404" s="123">
        <f t="shared" si="23"/>
        <v>5692</v>
      </c>
    </row>
    <row r="405" spans="1:17" ht="12.75" customHeight="1">
      <c r="A405" s="121"/>
      <c r="B405" s="121"/>
      <c r="C405" s="126" t="s">
        <v>1408</v>
      </c>
      <c r="D405" s="463" t="s">
        <v>646</v>
      </c>
      <c r="E405" s="114"/>
      <c r="F405" s="331">
        <v>155423</v>
      </c>
      <c r="G405" s="123">
        <f>0+'táj.2'!G405</f>
        <v>0</v>
      </c>
      <c r="H405" s="123">
        <f>0+'táj.2'!H405</f>
        <v>0</v>
      </c>
      <c r="I405" s="123">
        <f>0+'táj.2'!I405</f>
        <v>0</v>
      </c>
      <c r="J405" s="123">
        <f>0+'táj.2'!J405</f>
        <v>0</v>
      </c>
      <c r="K405" s="123">
        <f>0+'táj.2'!K405</f>
        <v>0</v>
      </c>
      <c r="L405" s="123">
        <f>0+'táj.2'!L405</f>
        <v>0</v>
      </c>
      <c r="M405" s="123">
        <f>6218+'táj.2'!M405</f>
        <v>6218</v>
      </c>
      <c r="N405" s="123">
        <f>0+'táj.2'!N405</f>
        <v>0</v>
      </c>
      <c r="O405" s="123">
        <f>0+'táj.2'!O405</f>
        <v>0</v>
      </c>
      <c r="P405" s="123">
        <f>0+'táj.2'!P405</f>
        <v>0</v>
      </c>
      <c r="Q405" s="123">
        <f t="shared" si="23"/>
        <v>6218</v>
      </c>
    </row>
    <row r="406" spans="1:17" ht="15.75" customHeight="1">
      <c r="A406" s="121"/>
      <c r="B406" s="121"/>
      <c r="C406" s="126" t="s">
        <v>1409</v>
      </c>
      <c r="D406" s="457" t="s">
        <v>649</v>
      </c>
      <c r="E406" s="114"/>
      <c r="F406" s="331">
        <v>155420</v>
      </c>
      <c r="G406" s="123">
        <f>0+'táj.2'!G406</f>
        <v>0</v>
      </c>
      <c r="H406" s="123">
        <f>0+'táj.2'!H406</f>
        <v>0</v>
      </c>
      <c r="I406" s="123">
        <f>0+'táj.2'!I406</f>
        <v>0</v>
      </c>
      <c r="J406" s="123">
        <f>0+'táj.2'!J406</f>
        <v>0</v>
      </c>
      <c r="K406" s="123">
        <f>0+'táj.2'!K406</f>
        <v>0</v>
      </c>
      <c r="L406" s="123">
        <f>0+'táj.2'!L406</f>
        <v>0</v>
      </c>
      <c r="M406" s="123">
        <f>4000+'táj.2'!M406</f>
        <v>4000</v>
      </c>
      <c r="N406" s="123">
        <f>0+'táj.2'!N406</f>
        <v>0</v>
      </c>
      <c r="O406" s="123">
        <f>0+'táj.2'!O406</f>
        <v>0</v>
      </c>
      <c r="P406" s="123">
        <f>0+'táj.2'!P406</f>
        <v>0</v>
      </c>
      <c r="Q406" s="123">
        <f t="shared" si="23"/>
        <v>4000</v>
      </c>
    </row>
    <row r="407" spans="1:17" ht="27" customHeight="1">
      <c r="A407" s="121"/>
      <c r="B407" s="121"/>
      <c r="C407" s="126" t="s">
        <v>1410</v>
      </c>
      <c r="D407" s="457" t="s">
        <v>650</v>
      </c>
      <c r="E407" s="114"/>
      <c r="F407" s="331">
        <v>155453</v>
      </c>
      <c r="G407" s="123">
        <f>0+'táj.2'!G407</f>
        <v>0</v>
      </c>
      <c r="H407" s="123">
        <f>0+'táj.2'!H407</f>
        <v>0</v>
      </c>
      <c r="I407" s="123">
        <f>0+'táj.2'!I407</f>
        <v>0</v>
      </c>
      <c r="J407" s="123">
        <f>0+'táj.2'!J407</f>
        <v>0</v>
      </c>
      <c r="K407" s="123">
        <f>0+'táj.2'!K407</f>
        <v>0</v>
      </c>
      <c r="L407" s="123">
        <f>0+'táj.2'!L407</f>
        <v>0</v>
      </c>
      <c r="M407" s="123">
        <f>2482+'táj.2'!M407</f>
        <v>2482</v>
      </c>
      <c r="N407" s="123">
        <f>0+'táj.2'!N407</f>
        <v>0</v>
      </c>
      <c r="O407" s="123">
        <f>0+'táj.2'!O407</f>
        <v>0</v>
      </c>
      <c r="P407" s="123">
        <f>0+'táj.2'!P407</f>
        <v>0</v>
      </c>
      <c r="Q407" s="123">
        <f t="shared" si="23"/>
        <v>2482</v>
      </c>
    </row>
    <row r="408" spans="1:17" ht="27" customHeight="1">
      <c r="A408" s="121"/>
      <c r="B408" s="121"/>
      <c r="C408" s="126" t="s">
        <v>1411</v>
      </c>
      <c r="D408" s="457" t="s">
        <v>651</v>
      </c>
      <c r="E408" s="114"/>
      <c r="F408" s="331">
        <v>155425</v>
      </c>
      <c r="G408" s="123">
        <f>0+'táj.2'!G408</f>
        <v>0</v>
      </c>
      <c r="H408" s="123">
        <f>0+'táj.2'!H408</f>
        <v>0</v>
      </c>
      <c r="I408" s="123">
        <f>0+'táj.2'!I408</f>
        <v>0</v>
      </c>
      <c r="J408" s="123">
        <f>0+'táj.2'!J408</f>
        <v>0</v>
      </c>
      <c r="K408" s="123">
        <f>0+'táj.2'!K408</f>
        <v>0</v>
      </c>
      <c r="L408" s="123">
        <f>0+'táj.2'!L408</f>
        <v>0</v>
      </c>
      <c r="M408" s="123">
        <f>1500+'táj.2'!M408</f>
        <v>1500</v>
      </c>
      <c r="N408" s="123">
        <f>0+'táj.2'!N408</f>
        <v>0</v>
      </c>
      <c r="O408" s="123">
        <f>0+'táj.2'!O408</f>
        <v>0</v>
      </c>
      <c r="P408" s="123">
        <f>0+'táj.2'!P408</f>
        <v>0</v>
      </c>
      <c r="Q408" s="123">
        <f t="shared" si="23"/>
        <v>1500</v>
      </c>
    </row>
    <row r="409" spans="1:17" ht="12.75" customHeight="1">
      <c r="A409" s="121"/>
      <c r="B409" s="121"/>
      <c r="C409" s="126" t="s">
        <v>1412</v>
      </c>
      <c r="D409" s="457" t="s">
        <v>652</v>
      </c>
      <c r="E409" s="114"/>
      <c r="F409" s="331">
        <v>155454</v>
      </c>
      <c r="G409" s="123">
        <f>0+'táj.2'!G409</f>
        <v>0</v>
      </c>
      <c r="H409" s="123">
        <f>0+'táj.2'!H409</f>
        <v>0</v>
      </c>
      <c r="I409" s="123">
        <f>0+'táj.2'!I409</f>
        <v>0</v>
      </c>
      <c r="J409" s="123">
        <f>0+'táj.2'!J409</f>
        <v>0</v>
      </c>
      <c r="K409" s="123">
        <f>0+'táj.2'!K409</f>
        <v>0</v>
      </c>
      <c r="L409" s="123">
        <f>0+'táj.2'!L409</f>
        <v>0</v>
      </c>
      <c r="M409" s="123">
        <f>1000+'táj.2'!M409</f>
        <v>1000</v>
      </c>
      <c r="N409" s="123">
        <f>0+'táj.2'!N409</f>
        <v>0</v>
      </c>
      <c r="O409" s="123">
        <f>0+'táj.2'!O409</f>
        <v>0</v>
      </c>
      <c r="P409" s="123">
        <f>0+'táj.2'!P409</f>
        <v>0</v>
      </c>
      <c r="Q409" s="123">
        <f t="shared" si="23"/>
        <v>1000</v>
      </c>
    </row>
    <row r="410" spans="1:17" ht="23.25" customHeight="1">
      <c r="A410" s="121"/>
      <c r="B410" s="121"/>
      <c r="C410" s="126" t="s">
        <v>762</v>
      </c>
      <c r="D410" s="457" t="s">
        <v>883</v>
      </c>
      <c r="E410" s="114"/>
      <c r="F410" s="331">
        <v>155455</v>
      </c>
      <c r="G410" s="123">
        <f>0+'táj.2'!G410</f>
        <v>0</v>
      </c>
      <c r="H410" s="123">
        <f>0+'táj.2'!H410</f>
        <v>0</v>
      </c>
      <c r="I410" s="123">
        <f>0+'táj.2'!I410</f>
        <v>0</v>
      </c>
      <c r="J410" s="123">
        <f>0+'táj.2'!J410</f>
        <v>0</v>
      </c>
      <c r="K410" s="123">
        <f>0+'táj.2'!K410</f>
        <v>0</v>
      </c>
      <c r="L410" s="123">
        <f>0+'táj.2'!L410</f>
        <v>0</v>
      </c>
      <c r="M410" s="123">
        <f>6518+'táj.2'!M410</f>
        <v>6518</v>
      </c>
      <c r="N410" s="123">
        <f>0+'táj.2'!N410</f>
        <v>0</v>
      </c>
      <c r="O410" s="123">
        <f>0+'táj.2'!O410</f>
        <v>0</v>
      </c>
      <c r="P410" s="123">
        <f>0+'táj.2'!P410</f>
        <v>0</v>
      </c>
      <c r="Q410" s="123">
        <f t="shared" si="23"/>
        <v>6518</v>
      </c>
    </row>
    <row r="411" spans="1:17" ht="12.75" customHeight="1">
      <c r="A411" s="121"/>
      <c r="B411" s="121"/>
      <c r="C411" s="126" t="s">
        <v>763</v>
      </c>
      <c r="D411" s="455" t="s">
        <v>653</v>
      </c>
      <c r="E411" s="114"/>
      <c r="F411" s="331">
        <v>155456</v>
      </c>
      <c r="G411" s="123">
        <f>0+'táj.2'!G411</f>
        <v>0</v>
      </c>
      <c r="H411" s="123">
        <f>0+'táj.2'!H411</f>
        <v>0</v>
      </c>
      <c r="I411" s="123">
        <f>0+'táj.2'!I411</f>
        <v>0</v>
      </c>
      <c r="J411" s="123">
        <f>0+'táj.2'!J411</f>
        <v>0</v>
      </c>
      <c r="K411" s="123">
        <f>0+'táj.2'!K411</f>
        <v>0</v>
      </c>
      <c r="L411" s="123">
        <f>0+'táj.2'!L411</f>
        <v>0</v>
      </c>
      <c r="M411" s="123">
        <f>53+'táj.2'!M411</f>
        <v>53</v>
      </c>
      <c r="N411" s="123">
        <f>0+'táj.2'!N411</f>
        <v>0</v>
      </c>
      <c r="O411" s="123">
        <f>0+'táj.2'!O411</f>
        <v>0</v>
      </c>
      <c r="P411" s="123">
        <f>0+'táj.2'!P411</f>
        <v>0</v>
      </c>
      <c r="Q411" s="123">
        <f t="shared" si="23"/>
        <v>53</v>
      </c>
    </row>
    <row r="412" spans="1:17" ht="12.75" customHeight="1">
      <c r="A412" s="121"/>
      <c r="B412" s="121"/>
      <c r="C412" s="126" t="s">
        <v>764</v>
      </c>
      <c r="D412" s="455" t="s">
        <v>657</v>
      </c>
      <c r="E412" s="114"/>
      <c r="F412" s="331">
        <v>155407</v>
      </c>
      <c r="G412" s="123">
        <f>0+'táj.2'!G412</f>
        <v>0</v>
      </c>
      <c r="H412" s="123">
        <f>0+'táj.2'!H412</f>
        <v>0</v>
      </c>
      <c r="I412" s="123">
        <f>0+'táj.2'!I412</f>
        <v>0</v>
      </c>
      <c r="J412" s="123">
        <f>0+'táj.2'!J412</f>
        <v>0</v>
      </c>
      <c r="K412" s="123">
        <f>0+'táj.2'!K412</f>
        <v>0</v>
      </c>
      <c r="L412" s="123">
        <f>0+'táj.2'!L412</f>
        <v>0</v>
      </c>
      <c r="M412" s="123">
        <f>1214+'táj.2'!M412</f>
        <v>1214</v>
      </c>
      <c r="N412" s="123">
        <f>0+'táj.2'!N412</f>
        <v>0</v>
      </c>
      <c r="O412" s="123">
        <f>0+'táj.2'!O412</f>
        <v>0</v>
      </c>
      <c r="P412" s="123">
        <f>0+'táj.2'!P412</f>
        <v>0</v>
      </c>
      <c r="Q412" s="123">
        <f t="shared" si="23"/>
        <v>1214</v>
      </c>
    </row>
    <row r="413" spans="1:17" ht="21.75" customHeight="1">
      <c r="A413" s="121"/>
      <c r="B413" s="121"/>
      <c r="C413" s="126" t="s">
        <v>765</v>
      </c>
      <c r="D413" s="455" t="s">
        <v>658</v>
      </c>
      <c r="E413" s="114"/>
      <c r="F413" s="331">
        <v>155457</v>
      </c>
      <c r="G413" s="123">
        <f>0+'táj.2'!G413</f>
        <v>0</v>
      </c>
      <c r="H413" s="123">
        <f>0+'táj.2'!H413</f>
        <v>0</v>
      </c>
      <c r="I413" s="123">
        <f>0+'táj.2'!I413</f>
        <v>0</v>
      </c>
      <c r="J413" s="123">
        <f>0+'táj.2'!J413</f>
        <v>0</v>
      </c>
      <c r="K413" s="123">
        <f>0+'táj.2'!K413</f>
        <v>0</v>
      </c>
      <c r="L413" s="123">
        <f>1245+'táj.2'!L413</f>
        <v>1245</v>
      </c>
      <c r="M413" s="123">
        <f>0+'táj.2'!M413</f>
        <v>0</v>
      </c>
      <c r="N413" s="123">
        <f>0+'táj.2'!N413</f>
        <v>0</v>
      </c>
      <c r="O413" s="123">
        <f>0+'táj.2'!O413</f>
        <v>0</v>
      </c>
      <c r="P413" s="123">
        <f>0+'táj.2'!P413</f>
        <v>0</v>
      </c>
      <c r="Q413" s="123">
        <f t="shared" si="23"/>
        <v>1245</v>
      </c>
    </row>
    <row r="414" spans="1:17" ht="12.75" customHeight="1">
      <c r="A414" s="121"/>
      <c r="B414" s="121"/>
      <c r="C414" s="126" t="s">
        <v>766</v>
      </c>
      <c r="D414" s="455" t="s">
        <v>668</v>
      </c>
      <c r="E414" s="114"/>
      <c r="F414" s="331">
        <v>155458</v>
      </c>
      <c r="G414" s="123">
        <f>0+'táj.2'!G414</f>
        <v>0</v>
      </c>
      <c r="H414" s="123">
        <f>0+'táj.2'!H414</f>
        <v>0</v>
      </c>
      <c r="I414" s="123">
        <f>0+'táj.2'!I414</f>
        <v>0</v>
      </c>
      <c r="J414" s="123">
        <f>0+'táj.2'!J414</f>
        <v>0</v>
      </c>
      <c r="K414" s="123">
        <f>0+'táj.2'!K414</f>
        <v>0</v>
      </c>
      <c r="L414" s="123">
        <f>0+'táj.2'!L414</f>
        <v>0</v>
      </c>
      <c r="M414" s="123">
        <f>1269+'táj.2'!M414</f>
        <v>1269</v>
      </c>
      <c r="N414" s="123">
        <f>0+'táj.2'!N414</f>
        <v>0</v>
      </c>
      <c r="O414" s="123">
        <f>0+'táj.2'!O414</f>
        <v>0</v>
      </c>
      <c r="P414" s="123">
        <f>0+'táj.2'!P414</f>
        <v>0</v>
      </c>
      <c r="Q414" s="123">
        <f t="shared" si="23"/>
        <v>1269</v>
      </c>
    </row>
    <row r="415" spans="1:17" ht="12.75" customHeight="1">
      <c r="A415" s="121"/>
      <c r="B415" s="121"/>
      <c r="C415" s="126" t="s">
        <v>767</v>
      </c>
      <c r="D415" s="455" t="s">
        <v>671</v>
      </c>
      <c r="E415" s="114"/>
      <c r="F415" s="331">
        <v>154407</v>
      </c>
      <c r="G415" s="123">
        <f>0+'táj.2'!G415</f>
        <v>0</v>
      </c>
      <c r="H415" s="123">
        <f>0+'táj.2'!H415</f>
        <v>0</v>
      </c>
      <c r="I415" s="123">
        <f>0+'táj.2'!I415</f>
        <v>0</v>
      </c>
      <c r="J415" s="123">
        <f>0+'táj.2'!J415</f>
        <v>0</v>
      </c>
      <c r="K415" s="123">
        <f>0+'táj.2'!K415</f>
        <v>0</v>
      </c>
      <c r="L415" s="123">
        <f>0+'táj.2'!L415</f>
        <v>0</v>
      </c>
      <c r="M415" s="123">
        <f>708+'táj.2'!M415</f>
        <v>708</v>
      </c>
      <c r="N415" s="123">
        <f>0+'táj.2'!N415</f>
        <v>0</v>
      </c>
      <c r="O415" s="123">
        <f>0+'táj.2'!O415</f>
        <v>0</v>
      </c>
      <c r="P415" s="123">
        <f>0+'táj.2'!P415</f>
        <v>0</v>
      </c>
      <c r="Q415" s="123">
        <f t="shared" si="23"/>
        <v>708</v>
      </c>
    </row>
    <row r="416" spans="1:17" ht="25.5" customHeight="1">
      <c r="A416" s="121"/>
      <c r="B416" s="121"/>
      <c r="C416" s="126" t="s">
        <v>768</v>
      </c>
      <c r="D416" s="455" t="s">
        <v>669</v>
      </c>
      <c r="E416" s="114"/>
      <c r="F416" s="331">
        <v>155459</v>
      </c>
      <c r="G416" s="123">
        <f>0+'táj.2'!G416</f>
        <v>0</v>
      </c>
      <c r="H416" s="123">
        <f>0+'táj.2'!H416</f>
        <v>0</v>
      </c>
      <c r="I416" s="123">
        <f>0+'táj.2'!I416</f>
        <v>0</v>
      </c>
      <c r="J416" s="123">
        <f>0+'táj.2'!J416</f>
        <v>0</v>
      </c>
      <c r="K416" s="123">
        <f>0+'táj.2'!K416</f>
        <v>0</v>
      </c>
      <c r="L416" s="123">
        <f>0+'táj.2'!L416</f>
        <v>0</v>
      </c>
      <c r="M416" s="123">
        <f>2401+'táj.2'!M416</f>
        <v>2401</v>
      </c>
      <c r="N416" s="123">
        <f>0+'táj.2'!N416</f>
        <v>0</v>
      </c>
      <c r="O416" s="123">
        <f>0+'táj.2'!O416</f>
        <v>0</v>
      </c>
      <c r="P416" s="123">
        <f>0+'táj.2'!P416</f>
        <v>0</v>
      </c>
      <c r="Q416" s="123">
        <f t="shared" si="23"/>
        <v>2401</v>
      </c>
    </row>
    <row r="417" spans="1:17" ht="12.75" customHeight="1">
      <c r="A417" s="121"/>
      <c r="B417" s="121"/>
      <c r="C417" s="126" t="s">
        <v>769</v>
      </c>
      <c r="D417" s="455" t="s">
        <v>670</v>
      </c>
      <c r="E417" s="114"/>
      <c r="F417" s="331">
        <v>155460</v>
      </c>
      <c r="G417" s="123">
        <f>0+'táj.2'!G417</f>
        <v>0</v>
      </c>
      <c r="H417" s="123">
        <f>0+'táj.2'!H417</f>
        <v>0</v>
      </c>
      <c r="I417" s="123">
        <f>0+'táj.2'!I417</f>
        <v>0</v>
      </c>
      <c r="J417" s="123">
        <f>0+'táj.2'!J417</f>
        <v>0</v>
      </c>
      <c r="K417" s="123">
        <f>0+'táj.2'!K417</f>
        <v>0</v>
      </c>
      <c r="L417" s="123">
        <f>0+'táj.2'!L417</f>
        <v>0</v>
      </c>
      <c r="M417" s="123">
        <f>0+'táj.2'!M417</f>
        <v>0</v>
      </c>
      <c r="N417" s="123">
        <f>0+'táj.2'!N417</f>
        <v>0</v>
      </c>
      <c r="O417" s="123">
        <f>0+'táj.2'!O417</f>
        <v>0</v>
      </c>
      <c r="P417" s="123">
        <f>0+'táj.2'!P417</f>
        <v>0</v>
      </c>
      <c r="Q417" s="123">
        <f t="shared" si="23"/>
        <v>0</v>
      </c>
    </row>
    <row r="418" spans="1:17" ht="14.25" customHeight="1">
      <c r="A418" s="121"/>
      <c r="B418" s="121"/>
      <c r="C418" s="126" t="s">
        <v>770</v>
      </c>
      <c r="D418" s="455" t="s">
        <v>672</v>
      </c>
      <c r="E418" s="114"/>
      <c r="F418" s="331">
        <v>154405</v>
      </c>
      <c r="G418" s="123">
        <f>0+'táj.2'!G418</f>
        <v>0</v>
      </c>
      <c r="H418" s="123">
        <f>0+'táj.2'!H418</f>
        <v>0</v>
      </c>
      <c r="I418" s="123">
        <f>0+'táj.2'!I418</f>
        <v>0</v>
      </c>
      <c r="J418" s="123">
        <f>0+'táj.2'!J418</f>
        <v>0</v>
      </c>
      <c r="K418" s="123">
        <f>0+'táj.2'!K418</f>
        <v>0</v>
      </c>
      <c r="L418" s="123">
        <f>0+'táj.2'!L418</f>
        <v>0</v>
      </c>
      <c r="M418" s="123">
        <f>8217+'táj.2'!M418</f>
        <v>8217</v>
      </c>
      <c r="N418" s="123">
        <f>0+'táj.2'!N418</f>
        <v>0</v>
      </c>
      <c r="O418" s="123">
        <f>0+'táj.2'!O418</f>
        <v>0</v>
      </c>
      <c r="P418" s="123">
        <f>0+'táj.2'!P418</f>
        <v>0</v>
      </c>
      <c r="Q418" s="123">
        <f t="shared" si="23"/>
        <v>8217</v>
      </c>
    </row>
    <row r="419" spans="1:17" ht="12.75" customHeight="1">
      <c r="A419" s="121"/>
      <c r="B419" s="121"/>
      <c r="C419" s="126" t="s">
        <v>771</v>
      </c>
      <c r="D419" s="455" t="s">
        <v>673</v>
      </c>
      <c r="E419" s="114"/>
      <c r="F419" s="331">
        <v>151618</v>
      </c>
      <c r="G419" s="123">
        <f>0+'táj.2'!G419</f>
        <v>0</v>
      </c>
      <c r="H419" s="123">
        <f>0+'táj.2'!H419</f>
        <v>0</v>
      </c>
      <c r="I419" s="123">
        <f>0+'táj.2'!I419</f>
        <v>0</v>
      </c>
      <c r="J419" s="123">
        <f>0+'táj.2'!J419</f>
        <v>0</v>
      </c>
      <c r="K419" s="123">
        <f>0+'táj.2'!K419</f>
        <v>0</v>
      </c>
      <c r="L419" s="123">
        <f>0+'táj.2'!L419</f>
        <v>0</v>
      </c>
      <c r="M419" s="123">
        <f>0+'táj.2'!M419</f>
        <v>0</v>
      </c>
      <c r="N419" s="123">
        <f>0+'táj.2'!N419</f>
        <v>0</v>
      </c>
      <c r="O419" s="123">
        <f>0+'táj.2'!O419</f>
        <v>0</v>
      </c>
      <c r="P419" s="123">
        <f>0+'táj.2'!P419</f>
        <v>0</v>
      </c>
      <c r="Q419" s="123">
        <f t="shared" si="23"/>
        <v>0</v>
      </c>
    </row>
    <row r="420" spans="1:17" ht="15.75" customHeight="1">
      <c r="A420" s="121"/>
      <c r="B420" s="121"/>
      <c r="C420" s="126" t="s">
        <v>772</v>
      </c>
      <c r="D420" s="457" t="s">
        <v>682</v>
      </c>
      <c r="E420" s="114"/>
      <c r="F420" s="331">
        <v>152453</v>
      </c>
      <c r="G420" s="123">
        <f>0+'táj.2'!G420</f>
        <v>0</v>
      </c>
      <c r="H420" s="123">
        <f>0+'táj.2'!H420</f>
        <v>0</v>
      </c>
      <c r="I420" s="123">
        <f>0+'táj.2'!I420</f>
        <v>0</v>
      </c>
      <c r="J420" s="123">
        <f>0+'táj.2'!J420</f>
        <v>0</v>
      </c>
      <c r="K420" s="123">
        <f>0+'táj.2'!K420</f>
        <v>0</v>
      </c>
      <c r="L420" s="123">
        <f>1000+'táj.2'!L420</f>
        <v>1000</v>
      </c>
      <c r="M420" s="123">
        <f>0+'táj.2'!M420</f>
        <v>0</v>
      </c>
      <c r="N420" s="123">
        <f>0+'táj.2'!N420</f>
        <v>0</v>
      </c>
      <c r="O420" s="123">
        <f>0+'táj.2'!O420</f>
        <v>0</v>
      </c>
      <c r="P420" s="123">
        <f>0+'táj.2'!P420</f>
        <v>0</v>
      </c>
      <c r="Q420" s="123">
        <f t="shared" si="23"/>
        <v>1000</v>
      </c>
    </row>
    <row r="421" spans="1:17" ht="15" customHeight="1">
      <c r="A421" s="121"/>
      <c r="B421" s="121"/>
      <c r="C421" s="126" t="s">
        <v>509</v>
      </c>
      <c r="D421" s="457" t="s">
        <v>683</v>
      </c>
      <c r="E421" s="114"/>
      <c r="F421" s="331">
        <v>155461</v>
      </c>
      <c r="G421" s="123">
        <f>0+'táj.2'!G421</f>
        <v>0</v>
      </c>
      <c r="H421" s="123">
        <f>0+'táj.2'!H421</f>
        <v>0</v>
      </c>
      <c r="I421" s="123">
        <f>0+'táj.2'!I421</f>
        <v>0</v>
      </c>
      <c r="J421" s="123">
        <f>0+'táj.2'!J421</f>
        <v>0</v>
      </c>
      <c r="K421" s="123">
        <f>0+'táj.2'!K421</f>
        <v>0</v>
      </c>
      <c r="L421" s="123">
        <f>0+'táj.2'!L421</f>
        <v>0</v>
      </c>
      <c r="M421" s="123">
        <f>3000+'táj.2'!M421</f>
        <v>3000</v>
      </c>
      <c r="N421" s="123">
        <f>0+'táj.2'!N421</f>
        <v>0</v>
      </c>
      <c r="O421" s="123">
        <f>0+'táj.2'!O421</f>
        <v>0</v>
      </c>
      <c r="P421" s="123">
        <f>0+'táj.2'!P421</f>
        <v>0</v>
      </c>
      <c r="Q421" s="123">
        <f t="shared" si="23"/>
        <v>3000</v>
      </c>
    </row>
    <row r="422" spans="1:17" ht="15.75" customHeight="1">
      <c r="A422" s="121"/>
      <c r="B422" s="121"/>
      <c r="C422" s="126" t="s">
        <v>510</v>
      </c>
      <c r="D422" s="457" t="s">
        <v>689</v>
      </c>
      <c r="E422" s="114"/>
      <c r="F422" s="331">
        <v>155462</v>
      </c>
      <c r="G422" s="123">
        <f>0+'táj.2'!G422</f>
        <v>0</v>
      </c>
      <c r="H422" s="123">
        <f>0+'táj.2'!H422</f>
        <v>0</v>
      </c>
      <c r="I422" s="123">
        <f>0+'táj.2'!I422</f>
        <v>0</v>
      </c>
      <c r="J422" s="123">
        <f>0+'táj.2'!J422</f>
        <v>0</v>
      </c>
      <c r="K422" s="123">
        <f>0+'táj.2'!K422</f>
        <v>0</v>
      </c>
      <c r="L422" s="123">
        <f>0+'táj.2'!L422</f>
        <v>0</v>
      </c>
      <c r="M422" s="123">
        <f>2500+'táj.2'!M422</f>
        <v>2500</v>
      </c>
      <c r="N422" s="123">
        <f>0+'táj.2'!N422</f>
        <v>0</v>
      </c>
      <c r="O422" s="123">
        <f>0+'táj.2'!O422</f>
        <v>0</v>
      </c>
      <c r="P422" s="123">
        <f>0+'táj.2'!P422</f>
        <v>0</v>
      </c>
      <c r="Q422" s="123">
        <f t="shared" si="23"/>
        <v>2500</v>
      </c>
    </row>
    <row r="423" spans="1:17" ht="24.75" customHeight="1">
      <c r="A423" s="121"/>
      <c r="B423" s="121"/>
      <c r="C423" s="126" t="s">
        <v>511</v>
      </c>
      <c r="D423" s="456" t="s">
        <v>694</v>
      </c>
      <c r="E423" s="114"/>
      <c r="F423" s="331">
        <v>155463</v>
      </c>
      <c r="G423" s="123">
        <f>0+'táj.2'!G423</f>
        <v>0</v>
      </c>
      <c r="H423" s="123">
        <f>0+'táj.2'!H423</f>
        <v>0</v>
      </c>
      <c r="I423" s="123">
        <f>0+'táj.2'!I423</f>
        <v>0</v>
      </c>
      <c r="J423" s="123">
        <f>0+'táj.2'!J423</f>
        <v>0</v>
      </c>
      <c r="K423" s="123">
        <f>0+'táj.2'!K423</f>
        <v>0</v>
      </c>
      <c r="L423" s="123">
        <f>0+'táj.2'!L423</f>
        <v>0</v>
      </c>
      <c r="M423" s="123">
        <f>500+'táj.2'!M423</f>
        <v>500</v>
      </c>
      <c r="N423" s="123">
        <f>0+'táj.2'!N423</f>
        <v>0</v>
      </c>
      <c r="O423" s="123">
        <f>0+'táj.2'!O423</f>
        <v>0</v>
      </c>
      <c r="P423" s="123">
        <f>0+'táj.2'!P423</f>
        <v>0</v>
      </c>
      <c r="Q423" s="123">
        <f t="shared" si="23"/>
        <v>500</v>
      </c>
    </row>
    <row r="424" spans="1:17" ht="23.25" customHeight="1">
      <c r="A424" s="121"/>
      <c r="B424" s="121"/>
      <c r="C424" s="126" t="s">
        <v>512</v>
      </c>
      <c r="D424" s="456" t="s">
        <v>696</v>
      </c>
      <c r="E424" s="114"/>
      <c r="F424" s="331">
        <v>154418</v>
      </c>
      <c r="G424" s="123">
        <f>0+'táj.2'!G424</f>
        <v>0</v>
      </c>
      <c r="H424" s="123">
        <f>0+'táj.2'!H424</f>
        <v>0</v>
      </c>
      <c r="I424" s="123">
        <f>0+'táj.2'!I424</f>
        <v>0</v>
      </c>
      <c r="J424" s="123">
        <f>0+'táj.2'!J424</f>
        <v>0</v>
      </c>
      <c r="K424" s="123">
        <f>0+'táj.2'!K424</f>
        <v>0</v>
      </c>
      <c r="L424" s="123">
        <f>0+'táj.2'!L424</f>
        <v>0</v>
      </c>
      <c r="M424" s="123">
        <f>1500+'táj.2'!M424</f>
        <v>1500</v>
      </c>
      <c r="N424" s="123">
        <f>0+'táj.2'!N424</f>
        <v>0</v>
      </c>
      <c r="O424" s="123">
        <f>0+'táj.2'!O424</f>
        <v>0</v>
      </c>
      <c r="P424" s="123">
        <f>0+'táj.2'!P424</f>
        <v>0</v>
      </c>
      <c r="Q424" s="123">
        <f t="shared" si="23"/>
        <v>1500</v>
      </c>
    </row>
    <row r="425" spans="1:17" ht="27" customHeight="1">
      <c r="A425" s="121"/>
      <c r="B425" s="121"/>
      <c r="C425" s="126" t="s">
        <v>684</v>
      </c>
      <c r="D425" s="456" t="s">
        <v>697</v>
      </c>
      <c r="E425" s="114"/>
      <c r="F425" s="331">
        <v>155464</v>
      </c>
      <c r="G425" s="123">
        <f>0+'táj.2'!G425</f>
        <v>0</v>
      </c>
      <c r="H425" s="123">
        <f>0+'táj.2'!H425</f>
        <v>0</v>
      </c>
      <c r="I425" s="123">
        <f>0+'táj.2'!I425</f>
        <v>0</v>
      </c>
      <c r="J425" s="123">
        <f>0+'táj.2'!J425</f>
        <v>0</v>
      </c>
      <c r="K425" s="123">
        <f>0+'táj.2'!K425</f>
        <v>0</v>
      </c>
      <c r="L425" s="123">
        <f>0+'táj.2'!L425</f>
        <v>0</v>
      </c>
      <c r="M425" s="123">
        <f>1000+'táj.2'!M425</f>
        <v>1000</v>
      </c>
      <c r="N425" s="123">
        <f>0+'táj.2'!N425</f>
        <v>0</v>
      </c>
      <c r="O425" s="123">
        <f>0+'táj.2'!O425</f>
        <v>0</v>
      </c>
      <c r="P425" s="123">
        <f>0+'táj.2'!P425</f>
        <v>0</v>
      </c>
      <c r="Q425" s="123">
        <f t="shared" si="23"/>
        <v>1000</v>
      </c>
    </row>
    <row r="426" spans="1:17" ht="12.75" customHeight="1">
      <c r="A426" s="121"/>
      <c r="B426" s="121"/>
      <c r="C426" s="126" t="s">
        <v>685</v>
      </c>
      <c r="D426" s="456" t="s">
        <v>699</v>
      </c>
      <c r="E426" s="114"/>
      <c r="F426" s="331">
        <v>155465</v>
      </c>
      <c r="G426" s="123">
        <f>0+'táj.2'!G426</f>
        <v>0</v>
      </c>
      <c r="H426" s="123">
        <f>0+'táj.2'!H426</f>
        <v>0</v>
      </c>
      <c r="I426" s="123">
        <f>0+'táj.2'!I426</f>
        <v>0</v>
      </c>
      <c r="J426" s="123">
        <f>0+'táj.2'!J426</f>
        <v>0</v>
      </c>
      <c r="K426" s="123">
        <f>0+'táj.2'!K426</f>
        <v>0</v>
      </c>
      <c r="L426" s="123">
        <f>0+'táj.2'!L426</f>
        <v>0</v>
      </c>
      <c r="M426" s="123">
        <f>2000+'táj.2'!M426</f>
        <v>2000</v>
      </c>
      <c r="N426" s="123">
        <f>0+'táj.2'!N426</f>
        <v>0</v>
      </c>
      <c r="O426" s="123">
        <f>0+'táj.2'!O426</f>
        <v>0</v>
      </c>
      <c r="P426" s="123">
        <f>0+'táj.2'!P426</f>
        <v>0</v>
      </c>
      <c r="Q426" s="123">
        <f t="shared" si="23"/>
        <v>2000</v>
      </c>
    </row>
    <row r="427" spans="1:17" ht="12.75" customHeight="1">
      <c r="A427" s="121"/>
      <c r="B427" s="121"/>
      <c r="C427" s="126" t="s">
        <v>686</v>
      </c>
      <c r="D427" s="456" t="s">
        <v>700</v>
      </c>
      <c r="E427" s="114"/>
      <c r="F427" s="331">
        <v>155466</v>
      </c>
      <c r="G427" s="123">
        <f>0+'táj.2'!G427</f>
        <v>0</v>
      </c>
      <c r="H427" s="123">
        <f>0+'táj.2'!H427</f>
        <v>0</v>
      </c>
      <c r="I427" s="123">
        <f>0+'táj.2'!I427</f>
        <v>0</v>
      </c>
      <c r="J427" s="123">
        <f>0+'táj.2'!J427</f>
        <v>0</v>
      </c>
      <c r="K427" s="123">
        <f>0+'táj.2'!K427</f>
        <v>0</v>
      </c>
      <c r="L427" s="123">
        <f>0+'táj.2'!L427</f>
        <v>0</v>
      </c>
      <c r="M427" s="123">
        <f>0+'táj.2'!M427</f>
        <v>0</v>
      </c>
      <c r="N427" s="123">
        <f>0+'táj.2'!N427</f>
        <v>0</v>
      </c>
      <c r="O427" s="123">
        <f>0+'táj.2'!O427</f>
        <v>0</v>
      </c>
      <c r="P427" s="123">
        <f>0+'táj.2'!P427</f>
        <v>0</v>
      </c>
      <c r="Q427" s="123">
        <f t="shared" si="23"/>
        <v>0</v>
      </c>
    </row>
    <row r="428" spans="1:17" ht="12.75" customHeight="1">
      <c r="A428" s="121"/>
      <c r="B428" s="121"/>
      <c r="C428" s="126" t="s">
        <v>687</v>
      </c>
      <c r="D428" s="456" t="s">
        <v>701</v>
      </c>
      <c r="E428" s="114"/>
      <c r="F428" s="331">
        <v>155467</v>
      </c>
      <c r="G428" s="123">
        <f>0+'táj.2'!G428</f>
        <v>0</v>
      </c>
      <c r="H428" s="123">
        <f>0+'táj.2'!H428</f>
        <v>0</v>
      </c>
      <c r="I428" s="123">
        <f>0+'táj.2'!I428</f>
        <v>0</v>
      </c>
      <c r="J428" s="123">
        <f>0+'táj.2'!J428</f>
        <v>0</v>
      </c>
      <c r="K428" s="123">
        <f>0+'táj.2'!K428</f>
        <v>0</v>
      </c>
      <c r="L428" s="123">
        <f>0+'táj.2'!L428</f>
        <v>0</v>
      </c>
      <c r="M428" s="123">
        <f>1453+'táj.2'!M428</f>
        <v>1453</v>
      </c>
      <c r="N428" s="123">
        <f>0+'táj.2'!N428</f>
        <v>0</v>
      </c>
      <c r="O428" s="123">
        <f>0+'táj.2'!O428</f>
        <v>0</v>
      </c>
      <c r="P428" s="123">
        <f>0+'táj.2'!P428</f>
        <v>0</v>
      </c>
      <c r="Q428" s="123">
        <f t="shared" si="23"/>
        <v>1453</v>
      </c>
    </row>
    <row r="429" spans="1:17" ht="25.5" customHeight="1">
      <c r="A429" s="121"/>
      <c r="B429" s="121"/>
      <c r="C429" s="126" t="s">
        <v>688</v>
      </c>
      <c r="D429" s="455" t="s">
        <v>704</v>
      </c>
      <c r="E429" s="114"/>
      <c r="F429" s="331">
        <v>155468</v>
      </c>
      <c r="G429" s="123">
        <f>0+'táj.2'!G429</f>
        <v>0</v>
      </c>
      <c r="H429" s="123">
        <f>0+'táj.2'!H429</f>
        <v>0</v>
      </c>
      <c r="I429" s="123">
        <f>0+'táj.2'!I429</f>
        <v>0</v>
      </c>
      <c r="J429" s="123">
        <f>0+'táj.2'!J429</f>
        <v>0</v>
      </c>
      <c r="K429" s="123">
        <f>0+'táj.2'!K429</f>
        <v>0</v>
      </c>
      <c r="L429" s="123">
        <f>0+'táj.2'!L429</f>
        <v>0</v>
      </c>
      <c r="M429" s="123">
        <f>5000+'táj.2'!M429</f>
        <v>5000</v>
      </c>
      <c r="N429" s="123">
        <f>0+'táj.2'!N429</f>
        <v>0</v>
      </c>
      <c r="O429" s="123">
        <f>0+'táj.2'!O429</f>
        <v>0</v>
      </c>
      <c r="P429" s="123">
        <f>0+'táj.2'!P429</f>
        <v>0</v>
      </c>
      <c r="Q429" s="123">
        <f t="shared" si="23"/>
        <v>5000</v>
      </c>
    </row>
    <row r="430" spans="1:17" ht="18" customHeight="1">
      <c r="A430" s="121"/>
      <c r="B430" s="121"/>
      <c r="C430" s="126" t="s">
        <v>705</v>
      </c>
      <c r="D430" s="456" t="s">
        <v>709</v>
      </c>
      <c r="E430" s="114"/>
      <c r="F430" s="331">
        <v>155469</v>
      </c>
      <c r="G430" s="123">
        <f>0+'táj.2'!G430</f>
        <v>0</v>
      </c>
      <c r="H430" s="123">
        <f>0+'táj.2'!H430</f>
        <v>0</v>
      </c>
      <c r="I430" s="123">
        <f>0+'táj.2'!I430</f>
        <v>0</v>
      </c>
      <c r="J430" s="123">
        <f>0+'táj.2'!J430</f>
        <v>0</v>
      </c>
      <c r="K430" s="123">
        <f>0+'táj.2'!K430</f>
        <v>0</v>
      </c>
      <c r="L430" s="123">
        <f>0+'táj.2'!L430</f>
        <v>0</v>
      </c>
      <c r="M430" s="123">
        <f>1199+'táj.2'!M430</f>
        <v>1199</v>
      </c>
      <c r="N430" s="123">
        <f>0+'táj.2'!N430</f>
        <v>0</v>
      </c>
      <c r="O430" s="123">
        <f>0+'táj.2'!O430</f>
        <v>0</v>
      </c>
      <c r="P430" s="122"/>
      <c r="Q430" s="123">
        <f t="shared" si="23"/>
        <v>1199</v>
      </c>
    </row>
    <row r="431" spans="1:17" ht="25.5" customHeight="1">
      <c r="A431" s="121"/>
      <c r="B431" s="121"/>
      <c r="C431" s="126" t="s">
        <v>706</v>
      </c>
      <c r="D431" s="456" t="s">
        <v>719</v>
      </c>
      <c r="E431" s="114"/>
      <c r="F431" s="331">
        <v>152454</v>
      </c>
      <c r="G431" s="123">
        <f>0+'táj.2'!G431</f>
        <v>0</v>
      </c>
      <c r="H431" s="123">
        <f>0+'táj.2'!H431</f>
        <v>0</v>
      </c>
      <c r="I431" s="123">
        <f>0+'táj.2'!I431</f>
        <v>0</v>
      </c>
      <c r="J431" s="123">
        <f>0+'táj.2'!J431</f>
        <v>0</v>
      </c>
      <c r="K431" s="123">
        <f>0+'táj.2'!K431</f>
        <v>0</v>
      </c>
      <c r="L431" s="123">
        <f>0+'táj.2'!L431</f>
        <v>0</v>
      </c>
      <c r="M431" s="123">
        <f>2451+'táj.2'!M431</f>
        <v>2451</v>
      </c>
      <c r="N431" s="123">
        <f>0+'táj.2'!N431</f>
        <v>0</v>
      </c>
      <c r="O431" s="123">
        <f>0+'táj.2'!O431</f>
        <v>0</v>
      </c>
      <c r="P431" s="123">
        <f>0+'táj.2'!P431</f>
        <v>0</v>
      </c>
      <c r="Q431" s="123">
        <f t="shared" si="23"/>
        <v>2451</v>
      </c>
    </row>
    <row r="432" spans="1:17" ht="25.5" customHeight="1">
      <c r="A432" s="121"/>
      <c r="B432" s="121"/>
      <c r="C432" s="126" t="s">
        <v>724</v>
      </c>
      <c r="D432" s="456" t="s">
        <v>722</v>
      </c>
      <c r="E432" s="114"/>
      <c r="F432" s="331">
        <v>155471</v>
      </c>
      <c r="G432" s="123">
        <f>0+'táj.2'!G432</f>
        <v>0</v>
      </c>
      <c r="H432" s="123">
        <f>0+'táj.2'!H432</f>
        <v>0</v>
      </c>
      <c r="I432" s="123">
        <f>0+'táj.2'!I432</f>
        <v>0</v>
      </c>
      <c r="J432" s="123">
        <f>0+'táj.2'!J432</f>
        <v>0</v>
      </c>
      <c r="K432" s="123">
        <f>0+'táj.2'!K432</f>
        <v>0</v>
      </c>
      <c r="L432" s="123">
        <f>0+'táj.2'!L432</f>
        <v>0</v>
      </c>
      <c r="M432" s="123">
        <f>6185+'táj.2'!M432</f>
        <v>6185</v>
      </c>
      <c r="N432" s="123">
        <f>0+'táj.2'!N432</f>
        <v>0</v>
      </c>
      <c r="O432" s="123">
        <f>0+'táj.2'!O432</f>
        <v>0</v>
      </c>
      <c r="P432" s="123">
        <f>0+'táj.2'!P432</f>
        <v>0</v>
      </c>
      <c r="Q432" s="123">
        <f t="shared" si="23"/>
        <v>6185</v>
      </c>
    </row>
    <row r="433" spans="1:17" ht="14.25" customHeight="1">
      <c r="A433" s="121"/>
      <c r="B433" s="121"/>
      <c r="C433" s="126" t="s">
        <v>725</v>
      </c>
      <c r="D433" s="456" t="s">
        <v>723</v>
      </c>
      <c r="E433" s="114"/>
      <c r="F433" s="331">
        <v>155472</v>
      </c>
      <c r="G433" s="123">
        <f>0+'táj.2'!G433</f>
        <v>0</v>
      </c>
      <c r="H433" s="123">
        <f>0+'táj.2'!H433</f>
        <v>0</v>
      </c>
      <c r="I433" s="123">
        <f>0+'táj.2'!I433</f>
        <v>0</v>
      </c>
      <c r="J433" s="123">
        <f>0+'táj.2'!J433</f>
        <v>0</v>
      </c>
      <c r="K433" s="123">
        <f>0+'táj.2'!K433</f>
        <v>0</v>
      </c>
      <c r="L433" s="123">
        <f>0+'táj.2'!L433</f>
        <v>0</v>
      </c>
      <c r="M433" s="123">
        <f>665+'táj.2'!M433</f>
        <v>665</v>
      </c>
      <c r="N433" s="123">
        <f>0+'táj.2'!N433</f>
        <v>0</v>
      </c>
      <c r="O433" s="123">
        <f>0+'táj.2'!O433</f>
        <v>0</v>
      </c>
      <c r="P433" s="122"/>
      <c r="Q433" s="123">
        <f t="shared" si="23"/>
        <v>665</v>
      </c>
    </row>
    <row r="434" spans="1:17" ht="28.5" customHeight="1">
      <c r="A434" s="121"/>
      <c r="B434" s="121"/>
      <c r="C434" s="126" t="s">
        <v>726</v>
      </c>
      <c r="D434" s="456" t="s">
        <v>728</v>
      </c>
      <c r="E434" s="114"/>
      <c r="F434" s="331">
        <v>155473</v>
      </c>
      <c r="G434" s="123">
        <f>0+'táj.2'!G434</f>
        <v>0</v>
      </c>
      <c r="H434" s="123">
        <f>0+'táj.2'!H434</f>
        <v>0</v>
      </c>
      <c r="I434" s="123">
        <f>0+'táj.2'!I434</f>
        <v>0</v>
      </c>
      <c r="J434" s="123">
        <f>0+'táj.2'!J434</f>
        <v>0</v>
      </c>
      <c r="K434" s="123">
        <f>0+'táj.2'!K434</f>
        <v>0</v>
      </c>
      <c r="L434" s="123">
        <f>0+'táj.2'!L434</f>
        <v>0</v>
      </c>
      <c r="M434" s="123">
        <f>350+'táj.2'!M434</f>
        <v>350</v>
      </c>
      <c r="N434" s="123">
        <f>0+'táj.2'!N434</f>
        <v>0</v>
      </c>
      <c r="O434" s="123">
        <f>0+'táj.2'!O434</f>
        <v>0</v>
      </c>
      <c r="P434" s="123">
        <f>0+'táj.2'!P434</f>
        <v>0</v>
      </c>
      <c r="Q434" s="123">
        <f t="shared" si="23"/>
        <v>350</v>
      </c>
    </row>
    <row r="435" spans="1:17" ht="12.75" customHeight="1">
      <c r="A435" s="121"/>
      <c r="B435" s="121"/>
      <c r="C435" s="126" t="s">
        <v>727</v>
      </c>
      <c r="D435" s="466" t="s">
        <v>729</v>
      </c>
      <c r="E435" s="114"/>
      <c r="F435" s="331">
        <v>155474</v>
      </c>
      <c r="G435" s="123">
        <f>0+'táj.2'!G435</f>
        <v>0</v>
      </c>
      <c r="H435" s="123">
        <f>0+'táj.2'!H435</f>
        <v>0</v>
      </c>
      <c r="I435" s="123">
        <f>0+'táj.2'!I435</f>
        <v>0</v>
      </c>
      <c r="J435" s="123">
        <f>0+'táj.2'!J435</f>
        <v>0</v>
      </c>
      <c r="K435" s="123">
        <f>0+'táj.2'!K435</f>
        <v>0</v>
      </c>
      <c r="L435" s="123">
        <f>0+'táj.2'!L435</f>
        <v>0</v>
      </c>
      <c r="M435" s="123">
        <f>912+'táj.2'!M435</f>
        <v>912</v>
      </c>
      <c r="N435" s="123">
        <f>0+'táj.2'!N435</f>
        <v>0</v>
      </c>
      <c r="O435" s="123">
        <f>0+'táj.2'!O435</f>
        <v>0</v>
      </c>
      <c r="P435" s="123">
        <f>0+'táj.2'!P435</f>
        <v>0</v>
      </c>
      <c r="Q435" s="123">
        <f t="shared" si="23"/>
        <v>912</v>
      </c>
    </row>
    <row r="436" spans="1:17" ht="12.75" customHeight="1">
      <c r="A436" s="121"/>
      <c r="B436" s="121"/>
      <c r="C436" s="126" t="s">
        <v>733</v>
      </c>
      <c r="D436" s="457" t="s">
        <v>730</v>
      </c>
      <c r="E436" s="114"/>
      <c r="F436" s="331">
        <v>155475</v>
      </c>
      <c r="G436" s="123">
        <f>0+'táj.2'!G436</f>
        <v>0</v>
      </c>
      <c r="H436" s="123">
        <f>0+'táj.2'!H436</f>
        <v>0</v>
      </c>
      <c r="I436" s="123">
        <f>0+'táj.2'!I436</f>
        <v>0</v>
      </c>
      <c r="J436" s="123">
        <f>0+'táj.2'!J436</f>
        <v>0</v>
      </c>
      <c r="K436" s="123">
        <f>0+'táj.2'!K436</f>
        <v>0</v>
      </c>
      <c r="L436" s="123">
        <f>0+'táj.2'!L436</f>
        <v>0</v>
      </c>
      <c r="M436" s="123">
        <f>651+'táj.2'!M436</f>
        <v>651</v>
      </c>
      <c r="N436" s="123">
        <f>0+'táj.2'!N436</f>
        <v>0</v>
      </c>
      <c r="O436" s="123">
        <f>0+'táj.2'!O436</f>
        <v>0</v>
      </c>
      <c r="P436" s="123">
        <f>0+'táj.2'!P436</f>
        <v>0</v>
      </c>
      <c r="Q436" s="123">
        <f t="shared" si="23"/>
        <v>651</v>
      </c>
    </row>
    <row r="437" spans="1:17" ht="36.75" customHeight="1">
      <c r="A437" s="121"/>
      <c r="B437" s="121"/>
      <c r="C437" s="126" t="s">
        <v>734</v>
      </c>
      <c r="D437" s="457" t="s">
        <v>731</v>
      </c>
      <c r="E437" s="114"/>
      <c r="F437" s="331">
        <v>155476</v>
      </c>
      <c r="G437" s="123">
        <f>0+'táj.2'!G437</f>
        <v>0</v>
      </c>
      <c r="H437" s="123">
        <f>0+'táj.2'!H437</f>
        <v>0</v>
      </c>
      <c r="I437" s="123">
        <f>0+'táj.2'!I437</f>
        <v>0</v>
      </c>
      <c r="J437" s="123">
        <f>0+'táj.2'!J437</f>
        <v>0</v>
      </c>
      <c r="K437" s="123">
        <f>0+'táj.2'!K437</f>
        <v>0</v>
      </c>
      <c r="L437" s="123">
        <f>0+'táj.2'!L437</f>
        <v>0</v>
      </c>
      <c r="M437" s="123">
        <f>4000+'táj.2'!M437</f>
        <v>4000</v>
      </c>
      <c r="N437" s="123">
        <f>0+'táj.2'!N437</f>
        <v>0</v>
      </c>
      <c r="O437" s="123">
        <f>0+'táj.2'!O437</f>
        <v>0</v>
      </c>
      <c r="P437" s="123">
        <f>0+'táj.2'!P437</f>
        <v>0</v>
      </c>
      <c r="Q437" s="123">
        <f t="shared" si="23"/>
        <v>4000</v>
      </c>
    </row>
    <row r="438" spans="1:17" ht="12.75" customHeight="1">
      <c r="A438" s="121"/>
      <c r="B438" s="121"/>
      <c r="C438" s="126" t="s">
        <v>735</v>
      </c>
      <c r="D438" s="457" t="s">
        <v>732</v>
      </c>
      <c r="E438" s="114"/>
      <c r="F438" s="331">
        <v>155477</v>
      </c>
      <c r="G438" s="123">
        <f>0+'táj.2'!G438</f>
        <v>0</v>
      </c>
      <c r="H438" s="123">
        <f>0+'táj.2'!H438</f>
        <v>0</v>
      </c>
      <c r="I438" s="123">
        <f>0+'táj.2'!I438</f>
        <v>0</v>
      </c>
      <c r="J438" s="123">
        <f>0+'táj.2'!J438</f>
        <v>0</v>
      </c>
      <c r="K438" s="123">
        <f>0+'táj.2'!K438</f>
        <v>0</v>
      </c>
      <c r="L438" s="123">
        <f>0+'táj.2'!L438</f>
        <v>0</v>
      </c>
      <c r="M438" s="123">
        <f>1333+'táj.2'!M438</f>
        <v>1333</v>
      </c>
      <c r="N438" s="123">
        <f>0+'táj.2'!N438</f>
        <v>0</v>
      </c>
      <c r="O438" s="123">
        <f>0+'táj.2'!O438</f>
        <v>0</v>
      </c>
      <c r="P438" s="123">
        <f>0+'táj.2'!P438</f>
        <v>0</v>
      </c>
      <c r="Q438" s="123">
        <f t="shared" si="23"/>
        <v>1333</v>
      </c>
    </row>
    <row r="439" spans="1:17" ht="12.75" customHeight="1">
      <c r="A439" s="121"/>
      <c r="B439" s="121"/>
      <c r="C439" s="126" t="s">
        <v>736</v>
      </c>
      <c r="D439" s="456" t="s">
        <v>1457</v>
      </c>
      <c r="E439" s="114"/>
      <c r="F439" s="331">
        <v>155478</v>
      </c>
      <c r="G439" s="123">
        <f>0+'táj.2'!G439</f>
        <v>0</v>
      </c>
      <c r="H439" s="123">
        <f>0+'táj.2'!H439</f>
        <v>0</v>
      </c>
      <c r="I439" s="123">
        <f>0+'táj.2'!I439</f>
        <v>0</v>
      </c>
      <c r="J439" s="123">
        <f>0+'táj.2'!J439</f>
        <v>0</v>
      </c>
      <c r="K439" s="123">
        <f>0+'táj.2'!K439</f>
        <v>0</v>
      </c>
      <c r="L439" s="123">
        <f>0+'táj.2'!L439</f>
        <v>0</v>
      </c>
      <c r="M439" s="123">
        <f>1314+'táj.2'!M439</f>
        <v>1314</v>
      </c>
      <c r="N439" s="123">
        <f>0+'táj.2'!N439</f>
        <v>0</v>
      </c>
      <c r="O439" s="123">
        <f>0+'táj.2'!O439</f>
        <v>0</v>
      </c>
      <c r="P439" s="123">
        <f>0+'táj.2'!P439</f>
        <v>0</v>
      </c>
      <c r="Q439" s="123">
        <f t="shared" si="23"/>
        <v>1314</v>
      </c>
    </row>
    <row r="440" spans="1:17" ht="12.75" customHeight="1">
      <c r="A440" s="121"/>
      <c r="B440" s="121"/>
      <c r="C440" s="126" t="s">
        <v>740</v>
      </c>
      <c r="D440" s="456" t="s">
        <v>737</v>
      </c>
      <c r="E440" s="114"/>
      <c r="F440" s="331">
        <v>152455</v>
      </c>
      <c r="G440" s="123">
        <f>0+'táj.2'!G440</f>
        <v>0</v>
      </c>
      <c r="H440" s="123">
        <f>0+'táj.2'!H440</f>
        <v>0</v>
      </c>
      <c r="I440" s="123">
        <f>0+'táj.2'!I440</f>
        <v>0</v>
      </c>
      <c r="J440" s="123">
        <f>0+'táj.2'!J440</f>
        <v>0</v>
      </c>
      <c r="K440" s="123">
        <f>0+'táj.2'!K440</f>
        <v>0</v>
      </c>
      <c r="L440" s="123">
        <f>1126+'táj.2'!L440</f>
        <v>1126</v>
      </c>
      <c r="M440" s="123">
        <f>0+'táj.2'!M440</f>
        <v>0</v>
      </c>
      <c r="N440" s="123">
        <f>0+'táj.2'!N440</f>
        <v>0</v>
      </c>
      <c r="O440" s="123">
        <f>0+'táj.2'!O440</f>
        <v>0</v>
      </c>
      <c r="P440" s="123">
        <f>0+'táj.2'!P440</f>
        <v>0</v>
      </c>
      <c r="Q440" s="123">
        <f t="shared" si="23"/>
        <v>1126</v>
      </c>
    </row>
    <row r="441" spans="1:17" ht="12.75" customHeight="1">
      <c r="A441" s="121"/>
      <c r="B441" s="121"/>
      <c r="C441" s="126" t="s">
        <v>741</v>
      </c>
      <c r="D441" s="456" t="s">
        <v>738</v>
      </c>
      <c r="E441" s="114"/>
      <c r="F441" s="331">
        <v>154420</v>
      </c>
      <c r="G441" s="123">
        <f>0+'táj.2'!G441</f>
        <v>0</v>
      </c>
      <c r="H441" s="123">
        <f>0+'táj.2'!H441</f>
        <v>0</v>
      </c>
      <c r="I441" s="123">
        <f>0+'táj.2'!I441</f>
        <v>0</v>
      </c>
      <c r="J441" s="123">
        <f>0+'táj.2'!J441</f>
        <v>0</v>
      </c>
      <c r="K441" s="123">
        <f>0+'táj.2'!K441</f>
        <v>0</v>
      </c>
      <c r="L441" s="123">
        <f>0+'táj.2'!L441</f>
        <v>0</v>
      </c>
      <c r="M441" s="123">
        <f>3779+'táj.2'!M441</f>
        <v>3779</v>
      </c>
      <c r="N441" s="123">
        <f>0+'táj.2'!N441</f>
        <v>0</v>
      </c>
      <c r="O441" s="123">
        <f>0+'táj.2'!O441</f>
        <v>0</v>
      </c>
      <c r="P441" s="123">
        <f>0+'táj.2'!P441</f>
        <v>0</v>
      </c>
      <c r="Q441" s="123">
        <f t="shared" si="23"/>
        <v>3779</v>
      </c>
    </row>
    <row r="442" spans="1:17" ht="12.75" customHeight="1">
      <c r="A442" s="121"/>
      <c r="B442" s="121"/>
      <c r="C442" s="126" t="s">
        <v>742</v>
      </c>
      <c r="D442" s="456" t="s">
        <v>739</v>
      </c>
      <c r="E442" s="114"/>
      <c r="F442" s="331">
        <v>155479</v>
      </c>
      <c r="G442" s="123">
        <f>0+'táj.2'!G442</f>
        <v>0</v>
      </c>
      <c r="H442" s="123">
        <f>0+'táj.2'!H442</f>
        <v>0</v>
      </c>
      <c r="I442" s="123">
        <f>0+'táj.2'!I442</f>
        <v>0</v>
      </c>
      <c r="J442" s="123">
        <f>0+'táj.2'!J442</f>
        <v>0</v>
      </c>
      <c r="K442" s="123">
        <f>0+'táj.2'!K442</f>
        <v>0</v>
      </c>
      <c r="L442" s="123">
        <f>0+'táj.2'!L442</f>
        <v>0</v>
      </c>
      <c r="M442" s="123">
        <f>5370+'táj.2'!M442</f>
        <v>5370</v>
      </c>
      <c r="N442" s="123">
        <f>0+'táj.2'!N442</f>
        <v>0</v>
      </c>
      <c r="O442" s="123">
        <f>0+'táj.2'!O442</f>
        <v>0</v>
      </c>
      <c r="P442" s="123">
        <f>0+'táj.2'!P442</f>
        <v>0</v>
      </c>
      <c r="Q442" s="123">
        <f t="shared" si="23"/>
        <v>5370</v>
      </c>
    </row>
    <row r="443" spans="1:17" ht="12.75" customHeight="1">
      <c r="A443" s="121"/>
      <c r="B443" s="121"/>
      <c r="C443" s="126" t="s">
        <v>753</v>
      </c>
      <c r="D443" s="457" t="s">
        <v>748</v>
      </c>
      <c r="E443" s="114"/>
      <c r="F443" s="331">
        <v>152456</v>
      </c>
      <c r="G443" s="123">
        <f>0+'táj.2'!G443</f>
        <v>0</v>
      </c>
      <c r="H443" s="123">
        <f>0+'táj.2'!H443</f>
        <v>0</v>
      </c>
      <c r="I443" s="123">
        <f>0+'táj.2'!I443</f>
        <v>0</v>
      </c>
      <c r="J443" s="123">
        <f>0+'táj.2'!J443</f>
        <v>0</v>
      </c>
      <c r="K443" s="123">
        <f>0+'táj.2'!K443</f>
        <v>0</v>
      </c>
      <c r="L443" s="123">
        <f>3000+'táj.2'!L443</f>
        <v>3000</v>
      </c>
      <c r="M443" s="123">
        <f>0+'táj.2'!M443</f>
        <v>0</v>
      </c>
      <c r="N443" s="123">
        <f>0+'táj.2'!N443</f>
        <v>0</v>
      </c>
      <c r="O443" s="123">
        <f>0+'táj.2'!O443</f>
        <v>0</v>
      </c>
      <c r="P443" s="123">
        <f>0+'táj.2'!P443</f>
        <v>0</v>
      </c>
      <c r="Q443" s="123">
        <f t="shared" si="23"/>
        <v>3000</v>
      </c>
    </row>
    <row r="444" spans="1:17" ht="12.75" customHeight="1">
      <c r="A444" s="121"/>
      <c r="B444" s="121"/>
      <c r="C444" s="126" t="s">
        <v>754</v>
      </c>
      <c r="D444" s="457" t="s">
        <v>749</v>
      </c>
      <c r="E444" s="114"/>
      <c r="F444" s="331">
        <v>152457</v>
      </c>
      <c r="G444" s="123">
        <f>0+'táj.2'!G444</f>
        <v>0</v>
      </c>
      <c r="H444" s="123">
        <f>0+'táj.2'!H444</f>
        <v>0</v>
      </c>
      <c r="I444" s="123">
        <f>0+'táj.2'!I444</f>
        <v>0</v>
      </c>
      <c r="J444" s="123">
        <f>0+'táj.2'!J444</f>
        <v>0</v>
      </c>
      <c r="K444" s="123">
        <f>0+'táj.2'!K444</f>
        <v>0</v>
      </c>
      <c r="L444" s="123">
        <f>1951+'táj.2'!L444</f>
        <v>1951</v>
      </c>
      <c r="M444" s="123">
        <f>0+'táj.2'!M444</f>
        <v>0</v>
      </c>
      <c r="N444" s="123">
        <f>0+'táj.2'!N444</f>
        <v>0</v>
      </c>
      <c r="O444" s="123">
        <f>0+'táj.2'!O444</f>
        <v>0</v>
      </c>
      <c r="P444" s="123">
        <f>0+'táj.2'!P444</f>
        <v>0</v>
      </c>
      <c r="Q444" s="123">
        <f t="shared" si="23"/>
        <v>1951</v>
      </c>
    </row>
    <row r="445" spans="1:17" ht="12.75" customHeight="1">
      <c r="A445" s="121"/>
      <c r="B445" s="121"/>
      <c r="C445" s="126" t="s">
        <v>755</v>
      </c>
      <c r="D445" s="457" t="s">
        <v>751</v>
      </c>
      <c r="E445" s="114"/>
      <c r="F445" s="331">
        <v>152458</v>
      </c>
      <c r="G445" s="123">
        <f>0+'táj.2'!G445</f>
        <v>0</v>
      </c>
      <c r="H445" s="123">
        <f>0+'táj.2'!H445</f>
        <v>0</v>
      </c>
      <c r="I445" s="123">
        <f>0+'táj.2'!I445</f>
        <v>0</v>
      </c>
      <c r="J445" s="123">
        <f>0+'táj.2'!J445</f>
        <v>0</v>
      </c>
      <c r="K445" s="123">
        <f>0+'táj.2'!K445</f>
        <v>0</v>
      </c>
      <c r="L445" s="123">
        <f>5252+'táj.2'!L445</f>
        <v>5252</v>
      </c>
      <c r="M445" s="123">
        <f>0+'táj.2'!M445</f>
        <v>0</v>
      </c>
      <c r="N445" s="123">
        <f>0+'táj.2'!N445</f>
        <v>0</v>
      </c>
      <c r="O445" s="123">
        <f>0+'táj.2'!O445</f>
        <v>0</v>
      </c>
      <c r="P445" s="123">
        <f>0+'táj.2'!P445</f>
        <v>0</v>
      </c>
      <c r="Q445" s="123">
        <f t="shared" si="23"/>
        <v>5252</v>
      </c>
    </row>
    <row r="446" spans="1:17" ht="12.75" customHeight="1">
      <c r="A446" s="121"/>
      <c r="B446" s="121"/>
      <c r="C446" s="126" t="s">
        <v>756</v>
      </c>
      <c r="D446" s="457" t="s">
        <v>752</v>
      </c>
      <c r="E446" s="114"/>
      <c r="F446" s="331">
        <v>155470</v>
      </c>
      <c r="G446" s="123">
        <f>0+'táj.2'!G446</f>
        <v>0</v>
      </c>
      <c r="H446" s="123">
        <f>0+'táj.2'!H446</f>
        <v>0</v>
      </c>
      <c r="I446" s="123">
        <f>0+'táj.2'!I446</f>
        <v>0</v>
      </c>
      <c r="J446" s="123">
        <f>0+'táj.2'!J446</f>
        <v>0</v>
      </c>
      <c r="K446" s="123">
        <f>0+'táj.2'!K446</f>
        <v>0</v>
      </c>
      <c r="L446" s="123">
        <f>0+'táj.2'!L446</f>
        <v>0</v>
      </c>
      <c r="M446" s="123">
        <f>2000+'táj.2'!M446</f>
        <v>2000</v>
      </c>
      <c r="N446" s="123">
        <f>0+'táj.2'!N446</f>
        <v>0</v>
      </c>
      <c r="O446" s="123">
        <f>0+'táj.2'!O446</f>
        <v>0</v>
      </c>
      <c r="P446" s="123">
        <f>0+'táj.2'!P446</f>
        <v>0</v>
      </c>
      <c r="Q446" s="123">
        <f t="shared" si="23"/>
        <v>2000</v>
      </c>
    </row>
    <row r="447" spans="1:17" ht="12.75" customHeight="1">
      <c r="A447" s="121"/>
      <c r="B447" s="121"/>
      <c r="C447" s="100" t="s">
        <v>835</v>
      </c>
      <c r="D447" s="680" t="s">
        <v>383</v>
      </c>
      <c r="E447" s="102"/>
      <c r="F447" s="328">
        <v>152460</v>
      </c>
      <c r="G447" s="123">
        <f>0+'táj.2'!G447</f>
        <v>0</v>
      </c>
      <c r="H447" s="123">
        <f>0+'táj.2'!H447</f>
        <v>0</v>
      </c>
      <c r="I447" s="123">
        <f>0+'táj.2'!I447</f>
        <v>0</v>
      </c>
      <c r="J447" s="123">
        <f>0+'táj.2'!J447</f>
        <v>0</v>
      </c>
      <c r="K447" s="123">
        <f>0+'táj.2'!K447</f>
        <v>0</v>
      </c>
      <c r="L447" s="123">
        <f>4542+'táj.2'!L447</f>
        <v>4542</v>
      </c>
      <c r="M447" s="123">
        <f>0+'táj.2'!M447</f>
        <v>0</v>
      </c>
      <c r="N447" s="123">
        <f>0+'táj.2'!N447</f>
        <v>0</v>
      </c>
      <c r="O447" s="123">
        <f>0+'táj.2'!O447</f>
        <v>0</v>
      </c>
      <c r="P447" s="123">
        <f>0+'táj.2'!P447</f>
        <v>0</v>
      </c>
      <c r="Q447" s="123">
        <f t="shared" si="23"/>
        <v>4542</v>
      </c>
    </row>
    <row r="448" spans="1:17" ht="12.75" customHeight="1">
      <c r="A448" s="121"/>
      <c r="B448" s="121"/>
      <c r="C448" s="100" t="s">
        <v>836</v>
      </c>
      <c r="D448" s="680" t="s">
        <v>837</v>
      </c>
      <c r="E448" s="102"/>
      <c r="F448" s="328">
        <v>154496</v>
      </c>
      <c r="G448" s="123">
        <f>0+'táj.2'!G448</f>
        <v>0</v>
      </c>
      <c r="H448" s="123">
        <f>0+'táj.2'!H448</f>
        <v>0</v>
      </c>
      <c r="I448" s="123">
        <f>0+'táj.2'!I448</f>
        <v>0</v>
      </c>
      <c r="J448" s="123">
        <f>0+'táj.2'!J448</f>
        <v>0</v>
      </c>
      <c r="K448" s="123">
        <f>0+'táj.2'!K448</f>
        <v>0</v>
      </c>
      <c r="L448" s="123">
        <f>0+'táj.2'!L448</f>
        <v>0</v>
      </c>
      <c r="M448" s="123">
        <f>3132+'táj.2'!M448</f>
        <v>3132</v>
      </c>
      <c r="N448" s="123">
        <f>0+'táj.2'!N448</f>
        <v>0</v>
      </c>
      <c r="O448" s="123">
        <f>0+'táj.2'!O448</f>
        <v>0</v>
      </c>
      <c r="P448" s="123">
        <f>0+'táj.2'!P448</f>
        <v>0</v>
      </c>
      <c r="Q448" s="123">
        <f t="shared" si="23"/>
        <v>3132</v>
      </c>
    </row>
    <row r="449" spans="1:17" ht="12.75" customHeight="1">
      <c r="A449" s="121"/>
      <c r="B449" s="121"/>
      <c r="C449" s="100" t="s">
        <v>838</v>
      </c>
      <c r="D449" s="680" t="s">
        <v>839</v>
      </c>
      <c r="E449" s="102"/>
      <c r="F449" s="328">
        <v>152459</v>
      </c>
      <c r="G449" s="123">
        <f>0+'táj.2'!G449</f>
        <v>0</v>
      </c>
      <c r="H449" s="123">
        <f>0+'táj.2'!H449</f>
        <v>0</v>
      </c>
      <c r="I449" s="123">
        <f>0+'táj.2'!I449</f>
        <v>0</v>
      </c>
      <c r="J449" s="123">
        <f>0+'táj.2'!J449</f>
        <v>0</v>
      </c>
      <c r="K449" s="123">
        <f>0+'táj.2'!K449</f>
        <v>0</v>
      </c>
      <c r="L449" s="123">
        <f>0+'táj.2'!L449</f>
        <v>0</v>
      </c>
      <c r="M449" s="123">
        <f>3000+'táj.2'!M449</f>
        <v>3000</v>
      </c>
      <c r="N449" s="123">
        <f>0+'táj.2'!N449</f>
        <v>0</v>
      </c>
      <c r="O449" s="123">
        <f>0+'táj.2'!O449</f>
        <v>0</v>
      </c>
      <c r="P449" s="123">
        <f>0+'táj.2'!P449</f>
        <v>0</v>
      </c>
      <c r="Q449" s="123">
        <f t="shared" si="23"/>
        <v>3000</v>
      </c>
    </row>
    <row r="450" spans="1:17" ht="12.75" customHeight="1">
      <c r="A450" s="121"/>
      <c r="B450" s="121"/>
      <c r="C450" s="100" t="s">
        <v>1424</v>
      </c>
      <c r="D450" s="717" t="s">
        <v>1423</v>
      </c>
      <c r="E450" s="102"/>
      <c r="F450" s="328">
        <v>152461</v>
      </c>
      <c r="G450" s="123">
        <f>0+'táj.2'!G450</f>
        <v>0</v>
      </c>
      <c r="H450" s="123">
        <f>0+'táj.2'!H450</f>
        <v>0</v>
      </c>
      <c r="I450" s="123">
        <f>0+'táj.2'!I450</f>
        <v>0</v>
      </c>
      <c r="J450" s="123">
        <f>0+'táj.2'!J450</f>
        <v>0</v>
      </c>
      <c r="K450" s="123">
        <f>0+'táj.2'!K450</f>
        <v>0</v>
      </c>
      <c r="L450" s="123">
        <f>0+'táj.2'!L450</f>
        <v>0</v>
      </c>
      <c r="M450" s="123">
        <f>1269+'táj.2'!M450</f>
        <v>1269</v>
      </c>
      <c r="N450" s="123">
        <f>0+'táj.2'!N450</f>
        <v>0</v>
      </c>
      <c r="O450" s="123">
        <f>0+'táj.2'!O450</f>
        <v>0</v>
      </c>
      <c r="P450" s="123">
        <f>0+'táj.2'!P450</f>
        <v>0</v>
      </c>
      <c r="Q450" s="123">
        <f t="shared" si="23"/>
        <v>1269</v>
      </c>
    </row>
    <row r="451" spans="1:17" ht="12.75" customHeight="1">
      <c r="A451" s="121"/>
      <c r="B451" s="121"/>
      <c r="C451" s="100" t="s">
        <v>1428</v>
      </c>
      <c r="D451" s="718" t="s">
        <v>1430</v>
      </c>
      <c r="E451" s="102"/>
      <c r="F451" s="328">
        <v>152462</v>
      </c>
      <c r="G451" s="123">
        <f>0+'táj.2'!G451</f>
        <v>0</v>
      </c>
      <c r="H451" s="123">
        <f>0+'táj.2'!H451</f>
        <v>0</v>
      </c>
      <c r="I451" s="123">
        <f>0+'táj.2'!I451</f>
        <v>0</v>
      </c>
      <c r="J451" s="123">
        <f>0+'táj.2'!J451</f>
        <v>0</v>
      </c>
      <c r="K451" s="123">
        <f>0+'táj.2'!K451</f>
        <v>0</v>
      </c>
      <c r="L451" s="123">
        <f>0+'táj.2'!L451</f>
        <v>0</v>
      </c>
      <c r="M451" s="123">
        <f>1261+'táj.2'!M451</f>
        <v>1261</v>
      </c>
      <c r="N451" s="123">
        <f>0+'táj.2'!N451</f>
        <v>0</v>
      </c>
      <c r="O451" s="123">
        <f>0+'táj.2'!O451</f>
        <v>0</v>
      </c>
      <c r="P451" s="123">
        <f>0+'táj.2'!P451</f>
        <v>0</v>
      </c>
      <c r="Q451" s="123">
        <f t="shared" si="23"/>
        <v>1261</v>
      </c>
    </row>
    <row r="452" spans="1:17" ht="12.75" customHeight="1">
      <c r="A452" s="121"/>
      <c r="B452" s="121"/>
      <c r="C452" s="100" t="s">
        <v>1429</v>
      </c>
      <c r="D452" s="718" t="s">
        <v>1431</v>
      </c>
      <c r="E452" s="102"/>
      <c r="F452" s="328">
        <v>152463</v>
      </c>
      <c r="G452" s="123">
        <f>0+'táj.2'!G452</f>
        <v>0</v>
      </c>
      <c r="H452" s="123">
        <f>0+'táj.2'!H452</f>
        <v>0</v>
      </c>
      <c r="I452" s="123">
        <f>0+'táj.2'!I452</f>
        <v>0</v>
      </c>
      <c r="J452" s="123">
        <f>0+'táj.2'!J452</f>
        <v>0</v>
      </c>
      <c r="K452" s="123">
        <f>0+'táj.2'!K452</f>
        <v>0</v>
      </c>
      <c r="L452" s="123">
        <f>0+'táj.2'!L452</f>
        <v>0</v>
      </c>
      <c r="M452" s="123">
        <f>1000+'táj.2'!M452</f>
        <v>755</v>
      </c>
      <c r="N452" s="123">
        <f>0+'táj.2'!N452</f>
        <v>0</v>
      </c>
      <c r="O452" s="123">
        <f>0+'táj.2'!O452</f>
        <v>0</v>
      </c>
      <c r="P452" s="123">
        <f>0+'táj.2'!P452</f>
        <v>0</v>
      </c>
      <c r="Q452" s="123">
        <f t="shared" si="23"/>
        <v>755</v>
      </c>
    </row>
    <row r="453" spans="1:17" ht="12.75" customHeight="1">
      <c r="A453" s="121"/>
      <c r="B453" s="121"/>
      <c r="C453" s="121"/>
      <c r="D453" s="255" t="s">
        <v>421</v>
      </c>
      <c r="E453" s="114"/>
      <c r="F453" s="331"/>
      <c r="G453" s="123"/>
      <c r="H453" s="122"/>
      <c r="I453" s="122"/>
      <c r="J453" s="122"/>
      <c r="K453" s="122"/>
      <c r="L453" s="123"/>
      <c r="M453" s="123"/>
      <c r="N453" s="123"/>
      <c r="O453" s="122"/>
      <c r="P453" s="122"/>
      <c r="Q453" s="123"/>
    </row>
    <row r="454" spans="1:17" ht="12.75" customHeight="1">
      <c r="A454" s="121"/>
      <c r="B454" s="121"/>
      <c r="C454" s="126" t="s">
        <v>1056</v>
      </c>
      <c r="D454" s="467" t="s">
        <v>919</v>
      </c>
      <c r="E454" s="114"/>
      <c r="F454" s="331">
        <v>152444</v>
      </c>
      <c r="G454" s="123">
        <f>0+'táj.2'!G454</f>
        <v>0</v>
      </c>
      <c r="H454" s="123">
        <f>0+'táj.2'!H454</f>
        <v>0</v>
      </c>
      <c r="I454" s="123">
        <f>0+'táj.2'!I454</f>
        <v>0</v>
      </c>
      <c r="J454" s="123">
        <f>0+'táj.2'!J454</f>
        <v>0</v>
      </c>
      <c r="K454" s="123">
        <f>0+'táj.2'!K454</f>
        <v>0</v>
      </c>
      <c r="L454" s="123">
        <f>6649+'táj.2'!L454</f>
        <v>6649</v>
      </c>
      <c r="M454" s="123">
        <f>0+'táj.2'!M454</f>
        <v>0</v>
      </c>
      <c r="N454" s="123">
        <f>0+'táj.2'!N454</f>
        <v>0</v>
      </c>
      <c r="O454" s="123">
        <f>0+'táj.2'!O454</f>
        <v>0</v>
      </c>
      <c r="P454" s="123">
        <f>0+'táj.2'!P454</f>
        <v>0</v>
      </c>
      <c r="Q454" s="123">
        <f t="shared" si="23"/>
        <v>6649</v>
      </c>
    </row>
    <row r="455" spans="1:17" ht="12.75" customHeight="1">
      <c r="A455" s="121"/>
      <c r="B455" s="121"/>
      <c r="C455" s="126" t="s">
        <v>1057</v>
      </c>
      <c r="D455" s="351" t="s">
        <v>227</v>
      </c>
      <c r="E455" s="114"/>
      <c r="F455" s="331">
        <v>154403</v>
      </c>
      <c r="G455" s="123">
        <f>0+'táj.2'!G455</f>
        <v>0</v>
      </c>
      <c r="H455" s="123">
        <f>0+'táj.2'!H455</f>
        <v>0</v>
      </c>
      <c r="I455" s="123">
        <f>0+'táj.2'!I455</f>
        <v>0</v>
      </c>
      <c r="J455" s="123">
        <f>0+'táj.2'!J455</f>
        <v>0</v>
      </c>
      <c r="K455" s="123">
        <f>0+'táj.2'!K455</f>
        <v>0</v>
      </c>
      <c r="L455" s="123">
        <f>0+'táj.2'!L455</f>
        <v>0</v>
      </c>
      <c r="M455" s="123">
        <f>15441+'táj.2'!M455</f>
        <v>15441</v>
      </c>
      <c r="N455" s="123">
        <f>0+'táj.2'!N455</f>
        <v>0</v>
      </c>
      <c r="O455" s="123">
        <f>0+'táj.2'!O455</f>
        <v>0</v>
      </c>
      <c r="P455" s="123">
        <f>0+'táj.2'!P455</f>
        <v>0</v>
      </c>
      <c r="Q455" s="123">
        <f t="shared" si="23"/>
        <v>15441</v>
      </c>
    </row>
    <row r="456" spans="1:17" ht="12.75" customHeight="1">
      <c r="A456" s="121"/>
      <c r="B456" s="121"/>
      <c r="C456" s="126" t="s">
        <v>1058</v>
      </c>
      <c r="D456" s="308" t="s">
        <v>920</v>
      </c>
      <c r="E456" s="114"/>
      <c r="F456" s="331">
        <v>154409</v>
      </c>
      <c r="G456" s="123">
        <f>0+'táj.2'!G456</f>
        <v>0</v>
      </c>
      <c r="H456" s="123">
        <f>0+'táj.2'!H456</f>
        <v>0</v>
      </c>
      <c r="I456" s="123">
        <f>0+'táj.2'!I456</f>
        <v>0</v>
      </c>
      <c r="J456" s="123">
        <f>0+'táj.2'!J456</f>
        <v>0</v>
      </c>
      <c r="K456" s="123">
        <f>0+'táj.2'!K456</f>
        <v>0</v>
      </c>
      <c r="L456" s="123">
        <f>0+'táj.2'!L456</f>
        <v>0</v>
      </c>
      <c r="M456" s="123">
        <f>3000+'táj.2'!M456</f>
        <v>3000</v>
      </c>
      <c r="N456" s="123">
        <f>0+'táj.2'!N456</f>
        <v>0</v>
      </c>
      <c r="O456" s="123">
        <f>0+'táj.2'!O456</f>
        <v>0</v>
      </c>
      <c r="P456" s="123">
        <f>0+'táj.2'!P456</f>
        <v>0</v>
      </c>
      <c r="Q456" s="123">
        <f t="shared" si="23"/>
        <v>3000</v>
      </c>
    </row>
    <row r="457" spans="1:17" ht="25.5" customHeight="1">
      <c r="A457" s="121"/>
      <c r="B457" s="121"/>
      <c r="C457" s="126" t="s">
        <v>49</v>
      </c>
      <c r="D457" s="468" t="s">
        <v>225</v>
      </c>
      <c r="E457" s="114"/>
      <c r="F457" s="331">
        <v>154418</v>
      </c>
      <c r="G457" s="123">
        <f>0+'táj.2'!G457</f>
        <v>0</v>
      </c>
      <c r="H457" s="123">
        <f>0+'táj.2'!H457</f>
        <v>0</v>
      </c>
      <c r="I457" s="123">
        <f>0+'táj.2'!I457</f>
        <v>0</v>
      </c>
      <c r="J457" s="123">
        <f>0+'táj.2'!J457</f>
        <v>0</v>
      </c>
      <c r="K457" s="123">
        <f>0+'táj.2'!K457</f>
        <v>0</v>
      </c>
      <c r="L457" s="123">
        <f>0+'táj.2'!L457</f>
        <v>0</v>
      </c>
      <c r="M457" s="123">
        <f>1500+'táj.2'!M457</f>
        <v>1500</v>
      </c>
      <c r="N457" s="123">
        <f>0+'táj.2'!N457</f>
        <v>0</v>
      </c>
      <c r="O457" s="123">
        <f>0+'táj.2'!O457</f>
        <v>0</v>
      </c>
      <c r="P457" s="123">
        <f>0+'táj.2'!P457</f>
        <v>0</v>
      </c>
      <c r="Q457" s="123">
        <f t="shared" si="23"/>
        <v>1500</v>
      </c>
    </row>
    <row r="458" spans="1:17" ht="12.75" customHeight="1">
      <c r="A458" s="121"/>
      <c r="B458" s="121"/>
      <c r="C458" s="126" t="s">
        <v>50</v>
      </c>
      <c r="D458" s="468" t="s">
        <v>226</v>
      </c>
      <c r="E458" s="114"/>
      <c r="F458" s="331">
        <v>154420</v>
      </c>
      <c r="G458" s="123">
        <f>0+'táj.2'!G458</f>
        <v>0</v>
      </c>
      <c r="H458" s="123">
        <f>0+'táj.2'!H458</f>
        <v>0</v>
      </c>
      <c r="I458" s="123">
        <f>0+'táj.2'!I458</f>
        <v>0</v>
      </c>
      <c r="J458" s="123">
        <f>0+'táj.2'!J458</f>
        <v>0</v>
      </c>
      <c r="K458" s="123">
        <f>0+'táj.2'!K458</f>
        <v>0</v>
      </c>
      <c r="L458" s="123">
        <f>0+'táj.2'!L458</f>
        <v>0</v>
      </c>
      <c r="M458" s="123">
        <f>0+'táj.2'!M458</f>
        <v>0</v>
      </c>
      <c r="N458" s="123">
        <f>0+'táj.2'!N458</f>
        <v>0</v>
      </c>
      <c r="O458" s="123">
        <f>0+'táj.2'!O458</f>
        <v>0</v>
      </c>
      <c r="P458" s="123">
        <f>0+'táj.2'!P458</f>
        <v>0</v>
      </c>
      <c r="Q458" s="123">
        <f t="shared" si="23"/>
        <v>0</v>
      </c>
    </row>
    <row r="459" spans="1:17" ht="26.25" customHeight="1">
      <c r="A459" s="121"/>
      <c r="B459" s="121"/>
      <c r="C459" s="126" t="s">
        <v>51</v>
      </c>
      <c r="D459" s="459" t="s">
        <v>925</v>
      </c>
      <c r="E459" s="114"/>
      <c r="F459" s="331">
        <v>152447</v>
      </c>
      <c r="G459" s="123">
        <f>0+'táj.2'!G459</f>
        <v>0</v>
      </c>
      <c r="H459" s="123">
        <f>0+'táj.2'!H459</f>
        <v>0</v>
      </c>
      <c r="I459" s="123">
        <f>0+'táj.2'!I459</f>
        <v>0</v>
      </c>
      <c r="J459" s="123">
        <f>0+'táj.2'!J459</f>
        <v>0</v>
      </c>
      <c r="K459" s="123">
        <f>0+'táj.2'!K459</f>
        <v>0</v>
      </c>
      <c r="L459" s="123">
        <f>0+'táj.2'!L459</f>
        <v>0</v>
      </c>
      <c r="M459" s="123">
        <f>7147+'táj.2'!M459</f>
        <v>7147</v>
      </c>
      <c r="N459" s="123">
        <f>0+'táj.2'!N459</f>
        <v>0</v>
      </c>
      <c r="O459" s="123">
        <f>0+'táj.2'!O459</f>
        <v>0</v>
      </c>
      <c r="P459" s="123">
        <f>0+'táj.2'!P459</f>
        <v>0</v>
      </c>
      <c r="Q459" s="123">
        <f t="shared" si="23"/>
        <v>7147</v>
      </c>
    </row>
    <row r="460" spans="1:17" ht="15.75" customHeight="1">
      <c r="A460" s="121"/>
      <c r="B460" s="121"/>
      <c r="C460" s="126" t="s">
        <v>52</v>
      </c>
      <c r="D460" s="459" t="s">
        <v>926</v>
      </c>
      <c r="E460" s="114"/>
      <c r="F460" s="331">
        <v>152449</v>
      </c>
      <c r="G460" s="123">
        <f>0+'táj.2'!G460</f>
        <v>0</v>
      </c>
      <c r="H460" s="123">
        <f>0+'táj.2'!H460</f>
        <v>0</v>
      </c>
      <c r="I460" s="123">
        <f>0+'táj.2'!I460</f>
        <v>0</v>
      </c>
      <c r="J460" s="123">
        <f>0+'táj.2'!J460</f>
        <v>0</v>
      </c>
      <c r="K460" s="123">
        <f>0+'táj.2'!K460</f>
        <v>0</v>
      </c>
      <c r="L460" s="123">
        <f>0+'táj.2'!L460</f>
        <v>0</v>
      </c>
      <c r="M460" s="123">
        <f>1799+'táj.2'!M460</f>
        <v>1799</v>
      </c>
      <c r="N460" s="123">
        <f>0+'táj.2'!N460</f>
        <v>0</v>
      </c>
      <c r="O460" s="123">
        <f>0+'táj.2'!O460</f>
        <v>0</v>
      </c>
      <c r="P460" s="123">
        <f>0+'táj.2'!P460</f>
        <v>0</v>
      </c>
      <c r="Q460" s="123">
        <f t="shared" si="23"/>
        <v>1799</v>
      </c>
    </row>
    <row r="461" spans="1:17" ht="25.5" customHeight="1">
      <c r="A461" s="121"/>
      <c r="B461" s="121"/>
      <c r="C461" s="126" t="s">
        <v>982</v>
      </c>
      <c r="D461" s="459" t="s">
        <v>930</v>
      </c>
      <c r="E461" s="114"/>
      <c r="F461" s="331">
        <v>154436</v>
      </c>
      <c r="G461" s="123">
        <f>0+'táj.2'!G461</f>
        <v>0</v>
      </c>
      <c r="H461" s="123">
        <f>0+'táj.2'!H461</f>
        <v>0</v>
      </c>
      <c r="I461" s="123">
        <f>0+'táj.2'!I461</f>
        <v>0</v>
      </c>
      <c r="J461" s="123">
        <f>0+'táj.2'!J461</f>
        <v>0</v>
      </c>
      <c r="K461" s="123">
        <f>0+'táj.2'!K461</f>
        <v>0</v>
      </c>
      <c r="L461" s="123">
        <f>0+'táj.2'!L461</f>
        <v>0</v>
      </c>
      <c r="M461" s="123">
        <f>6577+'táj.2'!M461</f>
        <v>6577</v>
      </c>
      <c r="N461" s="123">
        <f>0+'táj.2'!N461</f>
        <v>0</v>
      </c>
      <c r="O461" s="123">
        <f>0+'táj.2'!O461</f>
        <v>0</v>
      </c>
      <c r="P461" s="123">
        <f>0+'táj.2'!P461</f>
        <v>0</v>
      </c>
      <c r="Q461" s="123">
        <f t="shared" si="23"/>
        <v>6577</v>
      </c>
    </row>
    <row r="462" spans="1:17" ht="25.5" customHeight="1">
      <c r="A462" s="121"/>
      <c r="B462" s="121"/>
      <c r="C462" s="126" t="s">
        <v>983</v>
      </c>
      <c r="D462" s="333" t="s">
        <v>1102</v>
      </c>
      <c r="E462" s="114"/>
      <c r="F462" s="331">
        <v>152405</v>
      </c>
      <c r="G462" s="123">
        <f>0+'táj.2'!G462</f>
        <v>0</v>
      </c>
      <c r="H462" s="123">
        <f>0+'táj.2'!H462</f>
        <v>0</v>
      </c>
      <c r="I462" s="123">
        <f>1018+'táj.2'!I462</f>
        <v>1013</v>
      </c>
      <c r="J462" s="123">
        <f>0+'táj.2'!J462</f>
        <v>0</v>
      </c>
      <c r="K462" s="123">
        <f>0+'táj.2'!K462</f>
        <v>0</v>
      </c>
      <c r="L462" s="123">
        <f>3730+'táj.2'!L462</f>
        <v>4906</v>
      </c>
      <c r="M462" s="123">
        <f>10506+'táj.2'!M462</f>
        <v>10290</v>
      </c>
      <c r="N462" s="123">
        <f>0+'táj.2'!N462</f>
        <v>0</v>
      </c>
      <c r="O462" s="123">
        <f>0+'táj.2'!O462</f>
        <v>0</v>
      </c>
      <c r="P462" s="123">
        <f>0+'táj.2'!P462</f>
        <v>0</v>
      </c>
      <c r="Q462" s="123">
        <f>SUM(G462:P462)</f>
        <v>16209</v>
      </c>
    </row>
    <row r="463" spans="1:17" ht="12.75" customHeight="1">
      <c r="A463" s="121"/>
      <c r="B463" s="121"/>
      <c r="C463" s="126" t="s">
        <v>984</v>
      </c>
      <c r="D463" s="256" t="s">
        <v>980</v>
      </c>
      <c r="E463" s="114"/>
      <c r="F463" s="331">
        <v>152401</v>
      </c>
      <c r="G463" s="123">
        <f>0+'táj.2'!G463</f>
        <v>0</v>
      </c>
      <c r="H463" s="123">
        <f>0+'táj.2'!H463</f>
        <v>0</v>
      </c>
      <c r="I463" s="123">
        <f>0+'táj.2'!I463</f>
        <v>0</v>
      </c>
      <c r="J463" s="123">
        <f>0+'táj.2'!J463</f>
        <v>0</v>
      </c>
      <c r="K463" s="123">
        <f>0+'táj.2'!K463</f>
        <v>0</v>
      </c>
      <c r="L463" s="123">
        <f>756+'táj.2'!L463</f>
        <v>756</v>
      </c>
      <c r="M463" s="123">
        <f>0+'táj.2'!M463</f>
        <v>0</v>
      </c>
      <c r="N463" s="123">
        <f>0+'táj.2'!N463</f>
        <v>0</v>
      </c>
      <c r="O463" s="123">
        <f>0+'táj.2'!O463</f>
        <v>0</v>
      </c>
      <c r="P463" s="123">
        <f>0+'táj.2'!P463</f>
        <v>0</v>
      </c>
      <c r="Q463" s="123">
        <f>SUM(G463:P463)</f>
        <v>756</v>
      </c>
    </row>
    <row r="464" spans="1:17" ht="12.75" customHeight="1">
      <c r="A464" s="121"/>
      <c r="B464" s="121"/>
      <c r="C464" s="126" t="s">
        <v>369</v>
      </c>
      <c r="D464" s="360" t="s">
        <v>789</v>
      </c>
      <c r="E464" s="114"/>
      <c r="F464" s="331">
        <v>164406</v>
      </c>
      <c r="G464" s="123">
        <f>0+'táj.2'!G464</f>
        <v>0</v>
      </c>
      <c r="H464" s="123">
        <f>0+'táj.2'!H464</f>
        <v>0</v>
      </c>
      <c r="I464" s="123">
        <f>0+'táj.2'!I464</f>
        <v>0</v>
      </c>
      <c r="J464" s="123">
        <f>0+'táj.2'!J464</f>
        <v>0</v>
      </c>
      <c r="K464" s="123">
        <f>0+'táj.2'!K464</f>
        <v>0</v>
      </c>
      <c r="L464" s="123">
        <f>0+'táj.2'!L464</f>
        <v>0</v>
      </c>
      <c r="M464" s="123">
        <f>2000+'táj.2'!M464</f>
        <v>2000</v>
      </c>
      <c r="N464" s="123">
        <f>0+'táj.2'!N464</f>
        <v>0</v>
      </c>
      <c r="O464" s="123">
        <f>0+'táj.2'!O464</f>
        <v>0</v>
      </c>
      <c r="P464" s="123">
        <f>0+'táj.2'!P464</f>
        <v>0</v>
      </c>
      <c r="Q464" s="18">
        <f>SUM(G464:P464)</f>
        <v>2000</v>
      </c>
    </row>
    <row r="465" spans="1:17" ht="26.25" customHeight="1">
      <c r="A465" s="121"/>
      <c r="B465" s="121"/>
      <c r="C465" s="100" t="s">
        <v>312</v>
      </c>
      <c r="D465" s="308" t="s">
        <v>313</v>
      </c>
      <c r="E465" s="15"/>
      <c r="F465" s="100">
        <v>154421</v>
      </c>
      <c r="G465" s="123">
        <f>0+'táj.2'!G465</f>
        <v>0</v>
      </c>
      <c r="H465" s="123">
        <f>0+'táj.2'!H465</f>
        <v>0</v>
      </c>
      <c r="I465" s="123">
        <f>1736+'táj.2'!I465</f>
        <v>1736</v>
      </c>
      <c r="J465" s="123">
        <f>0+'táj.2'!J465</f>
        <v>0</v>
      </c>
      <c r="K465" s="123">
        <f>0+'táj.2'!K465</f>
        <v>0</v>
      </c>
      <c r="L465" s="123">
        <f>0+'táj.2'!L465</f>
        <v>0</v>
      </c>
      <c r="M465" s="123">
        <f>0+'táj.2'!M465</f>
        <v>0</v>
      </c>
      <c r="N465" s="123">
        <f>0+'táj.2'!N465</f>
        <v>0</v>
      </c>
      <c r="O465" s="123">
        <f>0+'táj.2'!O465</f>
        <v>0</v>
      </c>
      <c r="P465" s="123">
        <f>0+'táj.2'!P465</f>
        <v>0</v>
      </c>
      <c r="Q465" s="18">
        <f>SUM(G465:P465)</f>
        <v>1736</v>
      </c>
    </row>
    <row r="466" spans="1:17" ht="12.75" customHeight="1">
      <c r="A466" s="121"/>
      <c r="B466" s="121"/>
      <c r="C466" s="121" t="s">
        <v>1252</v>
      </c>
      <c r="D466" s="350" t="s">
        <v>150</v>
      </c>
      <c r="E466" s="114"/>
      <c r="F466" s="331"/>
      <c r="G466" s="123"/>
      <c r="H466" s="122"/>
      <c r="I466" s="122"/>
      <c r="J466" s="122"/>
      <c r="K466" s="122"/>
      <c r="L466" s="123"/>
      <c r="M466" s="123"/>
      <c r="N466" s="123"/>
      <c r="O466" s="122"/>
      <c r="P466" s="122"/>
      <c r="Q466" s="123"/>
    </row>
    <row r="467" spans="1:17" ht="12.75" customHeight="1">
      <c r="A467" s="121"/>
      <c r="B467" s="121"/>
      <c r="C467" s="126" t="s">
        <v>1249</v>
      </c>
      <c r="D467" s="469" t="s">
        <v>314</v>
      </c>
      <c r="E467" s="114"/>
      <c r="F467" s="331">
        <v>152537</v>
      </c>
      <c r="G467" s="123">
        <f>0+'táj.2'!G467</f>
        <v>0</v>
      </c>
      <c r="H467" s="123">
        <f>0+'táj.2'!H467</f>
        <v>0</v>
      </c>
      <c r="I467" s="123">
        <f>0+'táj.2'!I467</f>
        <v>0</v>
      </c>
      <c r="J467" s="123">
        <f>0+'táj.2'!J467</f>
        <v>0</v>
      </c>
      <c r="K467" s="123">
        <f>0+'táj.2'!K467</f>
        <v>0</v>
      </c>
      <c r="L467" s="123">
        <f>0+'táj.2'!L467</f>
        <v>0</v>
      </c>
      <c r="M467" s="123">
        <f>0+'táj.2'!M467</f>
        <v>0</v>
      </c>
      <c r="N467" s="123">
        <f>0+'táj.2'!N467</f>
        <v>0</v>
      </c>
      <c r="O467" s="123">
        <f>0+'táj.2'!O467</f>
        <v>0</v>
      </c>
      <c r="P467" s="123">
        <f>0+'táj.2'!P467</f>
        <v>0</v>
      </c>
      <c r="Q467" s="123">
        <f aca="true" t="shared" si="24" ref="Q467:Q504">SUM(G467:P467)</f>
        <v>0</v>
      </c>
    </row>
    <row r="468" spans="1:17" ht="12.75" customHeight="1">
      <c r="A468" s="121"/>
      <c r="B468" s="121"/>
      <c r="C468" s="126" t="s">
        <v>142</v>
      </c>
      <c r="D468" s="470" t="s">
        <v>373</v>
      </c>
      <c r="E468" s="114"/>
      <c r="F468" s="331">
        <v>152538</v>
      </c>
      <c r="G468" s="123">
        <f>0+'táj.2'!G468</f>
        <v>0</v>
      </c>
      <c r="H468" s="123">
        <f>0+'táj.2'!H468</f>
        <v>0</v>
      </c>
      <c r="I468" s="123">
        <f>317+'táj.2'!I468</f>
        <v>317</v>
      </c>
      <c r="J468" s="123">
        <f>0+'táj.2'!J468</f>
        <v>0</v>
      </c>
      <c r="K468" s="123">
        <f>0+'táj.2'!K468</f>
        <v>0</v>
      </c>
      <c r="L468" s="123">
        <f>0+'táj.2'!L468</f>
        <v>0</v>
      </c>
      <c r="M468" s="123">
        <f>0+'táj.2'!M468</f>
        <v>0</v>
      </c>
      <c r="N468" s="123">
        <f>0+'táj.2'!N468</f>
        <v>0</v>
      </c>
      <c r="O468" s="123">
        <f>0+'táj.2'!O468</f>
        <v>0</v>
      </c>
      <c r="P468" s="123">
        <f>0+'táj.2'!P468</f>
        <v>0</v>
      </c>
      <c r="Q468" s="123">
        <f t="shared" si="24"/>
        <v>317</v>
      </c>
    </row>
    <row r="469" spans="1:17" ht="12.75" customHeight="1">
      <c r="A469" s="121"/>
      <c r="B469" s="121"/>
      <c r="C469" s="126" t="s">
        <v>1382</v>
      </c>
      <c r="D469" s="458" t="s">
        <v>239</v>
      </c>
      <c r="E469" s="114"/>
      <c r="F469" s="331">
        <v>154504</v>
      </c>
      <c r="G469" s="123">
        <f>0+'táj.2'!G469</f>
        <v>0</v>
      </c>
      <c r="H469" s="123">
        <f>0+'táj.2'!H469</f>
        <v>0</v>
      </c>
      <c r="I469" s="123">
        <f>0+'táj.2'!I469</f>
        <v>0</v>
      </c>
      <c r="J469" s="123">
        <f>0+'táj.2'!J469</f>
        <v>0</v>
      </c>
      <c r="K469" s="123">
        <f>0+'táj.2'!K469</f>
        <v>0</v>
      </c>
      <c r="L469" s="123">
        <f>0+'táj.2'!L469</f>
        <v>0</v>
      </c>
      <c r="M469" s="123">
        <f>2500+'táj.2'!M469</f>
        <v>2500</v>
      </c>
      <c r="N469" s="123">
        <f>0+'táj.2'!N469</f>
        <v>0</v>
      </c>
      <c r="O469" s="123">
        <f>0+'táj.2'!O469</f>
        <v>0</v>
      </c>
      <c r="P469" s="123">
        <f>0+'táj.2'!P469</f>
        <v>0</v>
      </c>
      <c r="Q469" s="123">
        <f t="shared" si="24"/>
        <v>2500</v>
      </c>
    </row>
    <row r="470" spans="1:17" ht="24" customHeight="1">
      <c r="A470" s="121"/>
      <c r="B470" s="121"/>
      <c r="C470" s="126" t="s">
        <v>143</v>
      </c>
      <c r="D470" s="471" t="s">
        <v>884</v>
      </c>
      <c r="E470" s="114"/>
      <c r="F470" s="331">
        <v>152539</v>
      </c>
      <c r="G470" s="123">
        <f>0+'táj.2'!G470</f>
        <v>0</v>
      </c>
      <c r="H470" s="123">
        <f>0+'táj.2'!H470</f>
        <v>0</v>
      </c>
      <c r="I470" s="123">
        <f>635+'táj.2'!I470</f>
        <v>635</v>
      </c>
      <c r="J470" s="123">
        <f>0+'táj.2'!J470</f>
        <v>0</v>
      </c>
      <c r="K470" s="123">
        <f>0+'táj.2'!K470</f>
        <v>0</v>
      </c>
      <c r="L470" s="123">
        <f>699+'táj.2'!L470</f>
        <v>699</v>
      </c>
      <c r="M470" s="123">
        <f>0+'táj.2'!M470</f>
        <v>0</v>
      </c>
      <c r="N470" s="123">
        <f>0+'táj.2'!N470</f>
        <v>0</v>
      </c>
      <c r="O470" s="123">
        <f>0+'táj.2'!O470</f>
        <v>0</v>
      </c>
      <c r="P470" s="123">
        <f>0+'táj.2'!P470</f>
        <v>0</v>
      </c>
      <c r="Q470" s="123">
        <f t="shared" si="24"/>
        <v>1334</v>
      </c>
    </row>
    <row r="471" spans="1:17" ht="12.75" customHeight="1">
      <c r="A471" s="121"/>
      <c r="B471" s="121"/>
      <c r="C471" s="126" t="s">
        <v>1266</v>
      </c>
      <c r="D471" s="464" t="s">
        <v>640</v>
      </c>
      <c r="E471" s="114"/>
      <c r="F471" s="331">
        <v>152540</v>
      </c>
      <c r="G471" s="123">
        <f>0+'táj.2'!G471</f>
        <v>0</v>
      </c>
      <c r="H471" s="123">
        <f>0+'táj.2'!H471</f>
        <v>0</v>
      </c>
      <c r="I471" s="123">
        <f>0+'táj.2'!I471</f>
        <v>0</v>
      </c>
      <c r="J471" s="123">
        <f>0+'táj.2'!J471</f>
        <v>0</v>
      </c>
      <c r="K471" s="123">
        <f>0+'táj.2'!K471</f>
        <v>0</v>
      </c>
      <c r="L471" s="123">
        <f>0+'táj.2'!L471</f>
        <v>0</v>
      </c>
      <c r="M471" s="123">
        <f>0+'táj.2'!M471</f>
        <v>0</v>
      </c>
      <c r="N471" s="123">
        <f>0+'táj.2'!N471</f>
        <v>0</v>
      </c>
      <c r="O471" s="123">
        <f>0+'táj.2'!O471</f>
        <v>0</v>
      </c>
      <c r="P471" s="123">
        <f>0+'táj.2'!P471</f>
        <v>0</v>
      </c>
      <c r="Q471" s="123">
        <f t="shared" si="24"/>
        <v>0</v>
      </c>
    </row>
    <row r="472" spans="1:17" ht="12.75" customHeight="1">
      <c r="A472" s="121"/>
      <c r="B472" s="121"/>
      <c r="C472" s="126" t="s">
        <v>1267</v>
      </c>
      <c r="D472" s="308" t="s">
        <v>235</v>
      </c>
      <c r="E472" s="114"/>
      <c r="F472" s="331">
        <v>152925</v>
      </c>
      <c r="G472" s="123">
        <f>0+'táj.2'!G472</f>
        <v>0</v>
      </c>
      <c r="H472" s="123">
        <f>0+'táj.2'!H472</f>
        <v>0</v>
      </c>
      <c r="I472" s="123">
        <f>0+'táj.2'!I472</f>
        <v>0</v>
      </c>
      <c r="J472" s="123">
        <f>0+'táj.2'!J472</f>
        <v>0</v>
      </c>
      <c r="K472" s="123">
        <f>1000+'táj.2'!K472</f>
        <v>1000</v>
      </c>
      <c r="L472" s="123">
        <f>0+'táj.2'!L472</f>
        <v>0</v>
      </c>
      <c r="M472" s="123">
        <f>0+'táj.2'!M472</f>
        <v>0</v>
      </c>
      <c r="N472" s="123">
        <f>0+'táj.2'!N472</f>
        <v>0</v>
      </c>
      <c r="O472" s="123">
        <f>0+'táj.2'!O472</f>
        <v>0</v>
      </c>
      <c r="P472" s="123">
        <f>0+'táj.2'!P472</f>
        <v>0</v>
      </c>
      <c r="Q472" s="123">
        <f t="shared" si="24"/>
        <v>1000</v>
      </c>
    </row>
    <row r="473" spans="1:17" ht="12.75" customHeight="1">
      <c r="A473" s="121"/>
      <c r="B473" s="121"/>
      <c r="C473" s="126" t="s">
        <v>1383</v>
      </c>
      <c r="D473" s="464" t="s">
        <v>642</v>
      </c>
      <c r="E473" s="114"/>
      <c r="F473" s="331">
        <v>154513</v>
      </c>
      <c r="G473" s="123">
        <f>0+'táj.2'!G473</f>
        <v>0</v>
      </c>
      <c r="H473" s="123">
        <f>0+'táj.2'!H473</f>
        <v>0</v>
      </c>
      <c r="I473" s="123">
        <f>0+'táj.2'!I473</f>
        <v>0</v>
      </c>
      <c r="J473" s="123">
        <f>0+'táj.2'!J473</f>
        <v>0</v>
      </c>
      <c r="K473" s="123">
        <f>0+'táj.2'!K473</f>
        <v>0</v>
      </c>
      <c r="L473" s="123">
        <f>0+'táj.2'!L473</f>
        <v>0</v>
      </c>
      <c r="M473" s="123">
        <f>0+'táj.2'!M473</f>
        <v>0</v>
      </c>
      <c r="N473" s="123">
        <f>0+'táj.2'!N473</f>
        <v>0</v>
      </c>
      <c r="O473" s="123">
        <f>0+'táj.2'!O473</f>
        <v>0</v>
      </c>
      <c r="P473" s="123">
        <f>0+'táj.2'!P473</f>
        <v>0</v>
      </c>
      <c r="Q473" s="123">
        <f t="shared" si="24"/>
        <v>0</v>
      </c>
    </row>
    <row r="474" spans="1:17" ht="12.75" customHeight="1">
      <c r="A474" s="121"/>
      <c r="B474" s="121"/>
      <c r="C474" s="126" t="s">
        <v>1384</v>
      </c>
      <c r="D474" s="463" t="s">
        <v>1038</v>
      </c>
      <c r="E474" s="114"/>
      <c r="F474" s="331">
        <v>154514</v>
      </c>
      <c r="G474" s="123">
        <f>0+'táj.2'!G474</f>
        <v>0</v>
      </c>
      <c r="H474" s="123">
        <f>0+'táj.2'!H474</f>
        <v>0</v>
      </c>
      <c r="I474" s="123">
        <f>0+'táj.2'!I474</f>
        <v>0</v>
      </c>
      <c r="J474" s="123">
        <f>0+'táj.2'!J474</f>
        <v>0</v>
      </c>
      <c r="K474" s="123">
        <f>0+'táj.2'!K474</f>
        <v>0</v>
      </c>
      <c r="L474" s="123">
        <f>0+'táj.2'!L474</f>
        <v>0</v>
      </c>
      <c r="M474" s="123">
        <f>1408+'táj.2'!M474</f>
        <v>1408</v>
      </c>
      <c r="N474" s="123">
        <f>0+'táj.2'!N474</f>
        <v>0</v>
      </c>
      <c r="O474" s="123">
        <f>0+'táj.2'!O474</f>
        <v>0</v>
      </c>
      <c r="P474" s="123">
        <f>0+'táj.2'!P474</f>
        <v>0</v>
      </c>
      <c r="Q474" s="123">
        <f t="shared" si="24"/>
        <v>1408</v>
      </c>
    </row>
    <row r="475" spans="1:17" ht="27.75" customHeight="1">
      <c r="A475" s="121"/>
      <c r="B475" s="121"/>
      <c r="C475" s="126" t="s">
        <v>1385</v>
      </c>
      <c r="D475" s="463" t="s">
        <v>648</v>
      </c>
      <c r="E475" s="114"/>
      <c r="F475" s="331">
        <v>152926</v>
      </c>
      <c r="G475" s="123">
        <f>0+'táj.2'!G475</f>
        <v>0</v>
      </c>
      <c r="H475" s="123">
        <f>0+'táj.2'!H475</f>
        <v>0</v>
      </c>
      <c r="I475" s="123">
        <f>0+'táj.2'!I475</f>
        <v>0</v>
      </c>
      <c r="J475" s="123">
        <f>0+'táj.2'!J475</f>
        <v>0</v>
      </c>
      <c r="K475" s="123">
        <f>0+'táj.2'!K475</f>
        <v>0</v>
      </c>
      <c r="L475" s="123">
        <f>5174+'táj.2'!L475</f>
        <v>5174</v>
      </c>
      <c r="M475" s="123">
        <f>0+'táj.2'!M475</f>
        <v>0</v>
      </c>
      <c r="N475" s="123">
        <f>0+'táj.2'!N475</f>
        <v>0</v>
      </c>
      <c r="O475" s="123">
        <f>0+'táj.2'!O475</f>
        <v>0</v>
      </c>
      <c r="P475" s="123">
        <f>0+'táj.2'!P475</f>
        <v>0</v>
      </c>
      <c r="Q475" s="123">
        <f t="shared" si="24"/>
        <v>5174</v>
      </c>
    </row>
    <row r="476" spans="1:17" ht="15.75" customHeight="1">
      <c r="A476" s="121"/>
      <c r="B476" s="121"/>
      <c r="C476" s="126" t="s">
        <v>1386</v>
      </c>
      <c r="D476" s="457" t="s">
        <v>654</v>
      </c>
      <c r="E476" s="114"/>
      <c r="F476" s="331">
        <v>154515</v>
      </c>
      <c r="G476" s="123">
        <f>0+'táj.2'!G476</f>
        <v>0</v>
      </c>
      <c r="H476" s="123">
        <f>0+'táj.2'!H476</f>
        <v>0</v>
      </c>
      <c r="I476" s="123">
        <f>0+'táj.2'!I476</f>
        <v>0</v>
      </c>
      <c r="J476" s="123">
        <f>0+'táj.2'!J476</f>
        <v>0</v>
      </c>
      <c r="K476" s="123">
        <f>0+'táj.2'!K476</f>
        <v>0</v>
      </c>
      <c r="L476" s="123">
        <f>832+'táj.2'!L476</f>
        <v>832</v>
      </c>
      <c r="M476" s="123">
        <f>0+'táj.2'!M476</f>
        <v>0</v>
      </c>
      <c r="N476" s="123">
        <f>0+'táj.2'!N476</f>
        <v>0</v>
      </c>
      <c r="O476" s="123">
        <f>0+'táj.2'!O476</f>
        <v>0</v>
      </c>
      <c r="P476" s="123">
        <f>0+'táj.2'!P476</f>
        <v>0</v>
      </c>
      <c r="Q476" s="123">
        <f t="shared" si="24"/>
        <v>832</v>
      </c>
    </row>
    <row r="477" spans="1:17" ht="15" customHeight="1">
      <c r="A477" s="121"/>
      <c r="B477" s="121"/>
      <c r="C477" s="126" t="s">
        <v>1387</v>
      </c>
      <c r="D477" s="457" t="s">
        <v>655</v>
      </c>
      <c r="E477" s="114"/>
      <c r="F477" s="331">
        <v>152541</v>
      </c>
      <c r="G477" s="123">
        <f>0+'táj.2'!G477</f>
        <v>0</v>
      </c>
      <c r="H477" s="123">
        <f>0+'táj.2'!H477</f>
        <v>0</v>
      </c>
      <c r="I477" s="123">
        <f>0+'táj.2'!I477</f>
        <v>0</v>
      </c>
      <c r="J477" s="123">
        <f>0+'táj.2'!J477</f>
        <v>0</v>
      </c>
      <c r="K477" s="123">
        <f>0+'táj.2'!K477</f>
        <v>0</v>
      </c>
      <c r="L477" s="123">
        <f>3511+'táj.2'!L477</f>
        <v>3511</v>
      </c>
      <c r="M477" s="123">
        <f>0+'táj.2'!M477</f>
        <v>0</v>
      </c>
      <c r="N477" s="123">
        <f>0+'táj.2'!N477</f>
        <v>0</v>
      </c>
      <c r="O477" s="123">
        <f>0+'táj.2'!O477</f>
        <v>0</v>
      </c>
      <c r="P477" s="123">
        <f>0+'táj.2'!P477</f>
        <v>0</v>
      </c>
      <c r="Q477" s="123">
        <f t="shared" si="24"/>
        <v>3511</v>
      </c>
    </row>
    <row r="478" spans="1:17" ht="16.5" customHeight="1">
      <c r="A478" s="121"/>
      <c r="B478" s="121"/>
      <c r="C478" s="126" t="s">
        <v>513</v>
      </c>
      <c r="D478" s="472" t="s">
        <v>656</v>
      </c>
      <c r="E478" s="114"/>
      <c r="F478" s="331">
        <v>154516</v>
      </c>
      <c r="G478" s="123">
        <f>0+'táj.2'!G478</f>
        <v>0</v>
      </c>
      <c r="H478" s="123">
        <f>0+'táj.2'!H478</f>
        <v>0</v>
      </c>
      <c r="I478" s="123">
        <f>0+'táj.2'!I478</f>
        <v>0</v>
      </c>
      <c r="J478" s="123">
        <f>0+'táj.2'!J478</f>
        <v>0</v>
      </c>
      <c r="K478" s="123">
        <f>0+'táj.2'!K478</f>
        <v>0</v>
      </c>
      <c r="L478" s="123">
        <f>2794+'táj.2'!L478</f>
        <v>2794</v>
      </c>
      <c r="M478" s="123">
        <f>0+'táj.2'!M478</f>
        <v>0</v>
      </c>
      <c r="N478" s="123">
        <f>0+'táj.2'!N478</f>
        <v>0</v>
      </c>
      <c r="O478" s="123">
        <f>0+'táj.2'!O478</f>
        <v>0</v>
      </c>
      <c r="P478" s="123">
        <f>0+'táj.2'!P478</f>
        <v>0</v>
      </c>
      <c r="Q478" s="123">
        <f t="shared" si="24"/>
        <v>2794</v>
      </c>
    </row>
    <row r="479" spans="1:17" ht="26.25" customHeight="1">
      <c r="A479" s="121"/>
      <c r="B479" s="121"/>
      <c r="C479" s="126" t="s">
        <v>514</v>
      </c>
      <c r="D479" s="473" t="s">
        <v>676</v>
      </c>
      <c r="E479" s="114"/>
      <c r="F479" s="331">
        <v>154517</v>
      </c>
      <c r="G479" s="123">
        <f>0+'táj.2'!G479</f>
        <v>0</v>
      </c>
      <c r="H479" s="123">
        <f>0+'táj.2'!H479</f>
        <v>0</v>
      </c>
      <c r="I479" s="123">
        <f>0+'táj.2'!I479</f>
        <v>0</v>
      </c>
      <c r="J479" s="123">
        <f>0+'táj.2'!J479</f>
        <v>0</v>
      </c>
      <c r="K479" s="123">
        <f>0+'táj.2'!K479</f>
        <v>0</v>
      </c>
      <c r="L479" s="123">
        <f>0+'táj.2'!L479</f>
        <v>0</v>
      </c>
      <c r="M479" s="123">
        <f>1100+'táj.2'!M479</f>
        <v>1100</v>
      </c>
      <c r="N479" s="123">
        <f>0+'táj.2'!N479</f>
        <v>0</v>
      </c>
      <c r="O479" s="123">
        <f>0+'táj.2'!O479</f>
        <v>0</v>
      </c>
      <c r="P479" s="123">
        <f>0+'táj.2'!P479</f>
        <v>0</v>
      </c>
      <c r="Q479" s="123">
        <f t="shared" si="24"/>
        <v>1100</v>
      </c>
    </row>
    <row r="480" spans="1:17" ht="15.75" customHeight="1">
      <c r="A480" s="121"/>
      <c r="B480" s="121"/>
      <c r="C480" s="126" t="s">
        <v>515</v>
      </c>
      <c r="D480" s="456" t="s">
        <v>681</v>
      </c>
      <c r="E480" s="114"/>
      <c r="F480" s="331">
        <v>154518</v>
      </c>
      <c r="G480" s="123">
        <f>0+'táj.2'!G480</f>
        <v>0</v>
      </c>
      <c r="H480" s="123">
        <f>0+'táj.2'!H480</f>
        <v>0</v>
      </c>
      <c r="I480" s="123">
        <f>365+'táj.2'!I480</f>
        <v>365</v>
      </c>
      <c r="J480" s="123">
        <f>0+'táj.2'!J480</f>
        <v>0</v>
      </c>
      <c r="K480" s="123">
        <f>0+'táj.2'!K480</f>
        <v>0</v>
      </c>
      <c r="L480" s="123">
        <f>0+'táj.2'!L480</f>
        <v>0</v>
      </c>
      <c r="M480" s="123">
        <f>5485+'táj.2'!M480</f>
        <v>5485</v>
      </c>
      <c r="N480" s="123">
        <f>0+'táj.2'!N480</f>
        <v>0</v>
      </c>
      <c r="O480" s="123">
        <f>0+'táj.2'!O480</f>
        <v>0</v>
      </c>
      <c r="P480" s="123">
        <f>0+'táj.2'!P480</f>
        <v>0</v>
      </c>
      <c r="Q480" s="123">
        <f t="shared" si="24"/>
        <v>5850</v>
      </c>
    </row>
    <row r="481" spans="1:17" ht="15.75" customHeight="1">
      <c r="A481" s="121"/>
      <c r="B481" s="121"/>
      <c r="C481" s="126" t="s">
        <v>516</v>
      </c>
      <c r="D481" s="457" t="s">
        <v>885</v>
      </c>
      <c r="E481" s="114"/>
      <c r="F481" s="331">
        <v>154519</v>
      </c>
      <c r="G481" s="123">
        <f>0+'táj.2'!G481</f>
        <v>0</v>
      </c>
      <c r="H481" s="123">
        <f>0+'táj.2'!H481</f>
        <v>0</v>
      </c>
      <c r="I481" s="123">
        <f>99+'táj.2'!I481</f>
        <v>99</v>
      </c>
      <c r="J481" s="123">
        <f>0+'táj.2'!J481</f>
        <v>0</v>
      </c>
      <c r="K481" s="123">
        <f>0+'táj.2'!K481</f>
        <v>0</v>
      </c>
      <c r="L481" s="123">
        <f>0+'táj.2'!L481</f>
        <v>0</v>
      </c>
      <c r="M481" s="123">
        <f>2181+'táj.2'!M481</f>
        <v>2181</v>
      </c>
      <c r="N481" s="123">
        <f>0+'táj.2'!N481</f>
        <v>0</v>
      </c>
      <c r="O481" s="123">
        <f>0+'táj.2'!O481</f>
        <v>0</v>
      </c>
      <c r="P481" s="123">
        <f>0+'táj.2'!P481</f>
        <v>0</v>
      </c>
      <c r="Q481" s="123">
        <f t="shared" si="24"/>
        <v>2280</v>
      </c>
    </row>
    <row r="482" spans="1:17" ht="25.5" customHeight="1">
      <c r="A482" s="121"/>
      <c r="B482" s="121"/>
      <c r="C482" s="126" t="s">
        <v>931</v>
      </c>
      <c r="D482" s="456" t="s">
        <v>698</v>
      </c>
      <c r="E482" s="114"/>
      <c r="F482" s="331">
        <v>152542</v>
      </c>
      <c r="G482" s="123">
        <f>0+'táj.2'!G482</f>
        <v>0</v>
      </c>
      <c r="H482" s="123">
        <f>0+'táj.2'!H482</f>
        <v>0</v>
      </c>
      <c r="I482" s="123">
        <f>0+'táj.2'!I482</f>
        <v>0</v>
      </c>
      <c r="J482" s="123">
        <f>0+'táj.2'!J482</f>
        <v>0</v>
      </c>
      <c r="K482" s="123">
        <f>0+'táj.2'!K482</f>
        <v>0</v>
      </c>
      <c r="L482" s="123">
        <f>1000+'táj.2'!L482</f>
        <v>1000</v>
      </c>
      <c r="M482" s="123">
        <f>0+'táj.2'!M482</f>
        <v>0</v>
      </c>
      <c r="N482" s="123">
        <f>0+'táj.2'!N482</f>
        <v>0</v>
      </c>
      <c r="O482" s="123">
        <f>0+'táj.2'!O482</f>
        <v>0</v>
      </c>
      <c r="P482" s="123">
        <f>0+'táj.2'!P482</f>
        <v>0</v>
      </c>
      <c r="Q482" s="123">
        <f t="shared" si="24"/>
        <v>1000</v>
      </c>
    </row>
    <row r="483" spans="1:17" ht="15.75" customHeight="1">
      <c r="A483" s="121"/>
      <c r="B483" s="121"/>
      <c r="C483" s="126" t="s">
        <v>932</v>
      </c>
      <c r="D483" s="455" t="s">
        <v>702</v>
      </c>
      <c r="E483" s="114"/>
      <c r="F483" s="331">
        <v>154520</v>
      </c>
      <c r="G483" s="123">
        <f>0+'táj.2'!G483</f>
        <v>0</v>
      </c>
      <c r="H483" s="123">
        <f>0+'táj.2'!H483</f>
        <v>0</v>
      </c>
      <c r="I483" s="123">
        <f>0+'táj.2'!I483</f>
        <v>0</v>
      </c>
      <c r="J483" s="123">
        <f>0+'táj.2'!J483</f>
        <v>0</v>
      </c>
      <c r="K483" s="123">
        <f>0+'táj.2'!K483</f>
        <v>0</v>
      </c>
      <c r="L483" s="123">
        <f>0+'táj.2'!L483</f>
        <v>0</v>
      </c>
      <c r="M483" s="123">
        <f>500+'táj.2'!M483</f>
        <v>500</v>
      </c>
      <c r="N483" s="123">
        <f>0+'táj.2'!N483</f>
        <v>0</v>
      </c>
      <c r="O483" s="123">
        <f>0+'táj.2'!O483</f>
        <v>0</v>
      </c>
      <c r="P483" s="123">
        <f>0+'táj.2'!P483</f>
        <v>0</v>
      </c>
      <c r="Q483" s="123">
        <f t="shared" si="24"/>
        <v>500</v>
      </c>
    </row>
    <row r="484" spans="1:17" ht="24.75" customHeight="1">
      <c r="A484" s="121"/>
      <c r="B484" s="121"/>
      <c r="C484" s="126" t="s">
        <v>678</v>
      </c>
      <c r="D484" s="456" t="s">
        <v>708</v>
      </c>
      <c r="E484" s="114"/>
      <c r="F484" s="331">
        <v>152543</v>
      </c>
      <c r="G484" s="123">
        <f>0+'táj.2'!G484</f>
        <v>0</v>
      </c>
      <c r="H484" s="123">
        <f>0+'táj.2'!H484</f>
        <v>0</v>
      </c>
      <c r="I484" s="123">
        <f>0+'táj.2'!I484</f>
        <v>0</v>
      </c>
      <c r="J484" s="123">
        <f>0+'táj.2'!J484</f>
        <v>0</v>
      </c>
      <c r="K484" s="123">
        <f>0+'táj.2'!K484</f>
        <v>0</v>
      </c>
      <c r="L484" s="123">
        <f>453+'táj.2'!L484</f>
        <v>453</v>
      </c>
      <c r="M484" s="123">
        <f>0+'táj.2'!M484</f>
        <v>0</v>
      </c>
      <c r="N484" s="123">
        <f>0+'táj.2'!N484</f>
        <v>0</v>
      </c>
      <c r="O484" s="123">
        <f>0+'táj.2'!O484</f>
        <v>0</v>
      </c>
      <c r="P484" s="123">
        <f>0+'táj.2'!P484</f>
        <v>0</v>
      </c>
      <c r="Q484" s="123">
        <f t="shared" si="24"/>
        <v>453</v>
      </c>
    </row>
    <row r="485" spans="1:17" ht="26.25" customHeight="1">
      <c r="A485" s="121"/>
      <c r="B485" s="121"/>
      <c r="C485" s="126" t="s">
        <v>679</v>
      </c>
      <c r="D485" s="456" t="s">
        <v>721</v>
      </c>
      <c r="E485" s="114"/>
      <c r="F485" s="331">
        <v>154521</v>
      </c>
      <c r="G485" s="123">
        <f>0+'táj.2'!G485</f>
        <v>0</v>
      </c>
      <c r="H485" s="123">
        <f>0+'táj.2'!H485</f>
        <v>0</v>
      </c>
      <c r="I485" s="123">
        <f>0+'táj.2'!I485</f>
        <v>0</v>
      </c>
      <c r="J485" s="123">
        <f>0+'táj.2'!J485</f>
        <v>0</v>
      </c>
      <c r="K485" s="123">
        <f>0+'táj.2'!K485</f>
        <v>0</v>
      </c>
      <c r="L485" s="123">
        <f>0+'táj.2'!L485</f>
        <v>0</v>
      </c>
      <c r="M485" s="123">
        <f>519+'táj.2'!M485</f>
        <v>519</v>
      </c>
      <c r="N485" s="123">
        <f>0+'táj.2'!N485</f>
        <v>0</v>
      </c>
      <c r="O485" s="123">
        <f>0+'táj.2'!O485</f>
        <v>0</v>
      </c>
      <c r="P485" s="123">
        <f>0+'táj.2'!P485</f>
        <v>0</v>
      </c>
      <c r="Q485" s="123">
        <f t="shared" si="24"/>
        <v>519</v>
      </c>
    </row>
    <row r="486" spans="1:17" ht="15.75" customHeight="1">
      <c r="A486" s="121"/>
      <c r="B486" s="121"/>
      <c r="C486" s="126" t="s">
        <v>680</v>
      </c>
      <c r="D486" s="456" t="s">
        <v>747</v>
      </c>
      <c r="E486" s="114"/>
      <c r="F486" s="331">
        <v>152544</v>
      </c>
      <c r="G486" s="123">
        <f>0+'táj.2'!G486</f>
        <v>0</v>
      </c>
      <c r="H486" s="123">
        <f>0+'táj.2'!H486</f>
        <v>0</v>
      </c>
      <c r="I486" s="123">
        <f>387+'táj.2'!I486</f>
        <v>387</v>
      </c>
      <c r="J486" s="123">
        <f>0+'táj.2'!J486</f>
        <v>0</v>
      </c>
      <c r="K486" s="123">
        <f>0+'táj.2'!K486</f>
        <v>0</v>
      </c>
      <c r="L486" s="123">
        <f>684+'táj.2'!L486</f>
        <v>684</v>
      </c>
      <c r="M486" s="123">
        <f>0+'táj.2'!M486</f>
        <v>0</v>
      </c>
      <c r="N486" s="123">
        <f>0+'táj.2'!N486</f>
        <v>0</v>
      </c>
      <c r="O486" s="123">
        <f>0+'táj.2'!O486</f>
        <v>0</v>
      </c>
      <c r="P486" s="123">
        <f>0+'táj.2'!P486</f>
        <v>0</v>
      </c>
      <c r="Q486" s="123">
        <f t="shared" si="24"/>
        <v>1071</v>
      </c>
    </row>
    <row r="487" spans="1:17" ht="15.75" customHeight="1">
      <c r="A487" s="121"/>
      <c r="B487" s="121"/>
      <c r="C487" s="682" t="s">
        <v>1194</v>
      </c>
      <c r="D487" s="683" t="s">
        <v>1195</v>
      </c>
      <c r="E487" s="15"/>
      <c r="F487" s="100">
        <v>154522</v>
      </c>
      <c r="G487" s="123">
        <f>0+'táj.2'!G487</f>
        <v>0</v>
      </c>
      <c r="H487" s="123">
        <f>0+'táj.2'!H487</f>
        <v>0</v>
      </c>
      <c r="I487" s="123">
        <f>0+'táj.2'!I487</f>
        <v>0</v>
      </c>
      <c r="J487" s="123">
        <f>0+'táj.2'!J487</f>
        <v>0</v>
      </c>
      <c r="K487" s="123">
        <f>0+'táj.2'!K487</f>
        <v>0</v>
      </c>
      <c r="L487" s="123">
        <f>0+'táj.2'!L487</f>
        <v>0</v>
      </c>
      <c r="M487" s="123">
        <f>2342+'táj.2'!M487</f>
        <v>2342</v>
      </c>
      <c r="N487" s="123">
        <f>0+'táj.2'!N487</f>
        <v>0</v>
      </c>
      <c r="O487" s="123">
        <f>0+'táj.2'!O487</f>
        <v>0</v>
      </c>
      <c r="P487" s="123">
        <f>0+'táj.2'!P487</f>
        <v>0</v>
      </c>
      <c r="Q487" s="123">
        <f t="shared" si="24"/>
        <v>2342</v>
      </c>
    </row>
    <row r="488" spans="1:17" ht="15.75" customHeight="1">
      <c r="A488" s="121"/>
      <c r="B488" s="121"/>
      <c r="C488" s="100" t="s">
        <v>1196</v>
      </c>
      <c r="D488" s="683" t="s">
        <v>1197</v>
      </c>
      <c r="E488" s="15"/>
      <c r="F488" s="100">
        <v>152545</v>
      </c>
      <c r="G488" s="123">
        <f>0+'táj.2'!G488</f>
        <v>0</v>
      </c>
      <c r="H488" s="123">
        <f>0+'táj.2'!H488</f>
        <v>0</v>
      </c>
      <c r="I488" s="123">
        <f>0+'táj.2'!I488</f>
        <v>0</v>
      </c>
      <c r="J488" s="123">
        <f>0+'táj.2'!J488</f>
        <v>0</v>
      </c>
      <c r="K488" s="123">
        <f>0+'táj.2'!K488</f>
        <v>0</v>
      </c>
      <c r="L488" s="123">
        <f>453+'táj.2'!L488</f>
        <v>453</v>
      </c>
      <c r="M488" s="123">
        <f>0+'táj.2'!M488</f>
        <v>0</v>
      </c>
      <c r="N488" s="123">
        <f>0+'táj.2'!N488</f>
        <v>0</v>
      </c>
      <c r="O488" s="123">
        <f>0+'táj.2'!O488</f>
        <v>0</v>
      </c>
      <c r="P488" s="123">
        <f>0+'táj.2'!P488</f>
        <v>0</v>
      </c>
      <c r="Q488" s="123">
        <f t="shared" si="24"/>
        <v>453</v>
      </c>
    </row>
    <row r="489" spans="1:17" ht="15.75" customHeight="1">
      <c r="A489" s="121"/>
      <c r="B489" s="121"/>
      <c r="C489" s="100" t="s">
        <v>840</v>
      </c>
      <c r="D489" s="683" t="s">
        <v>841</v>
      </c>
      <c r="E489" s="15"/>
      <c r="F489" s="100">
        <v>152546</v>
      </c>
      <c r="G489" s="123">
        <f>0+'táj.2'!G489</f>
        <v>0</v>
      </c>
      <c r="H489" s="123">
        <f>0+'táj.2'!H489</f>
        <v>0</v>
      </c>
      <c r="I489" s="123">
        <f>0+'táj.2'!I489</f>
        <v>0</v>
      </c>
      <c r="J489" s="123">
        <f>0+'táj.2'!J489</f>
        <v>0</v>
      </c>
      <c r="K489" s="123">
        <f>0+'táj.2'!K489</f>
        <v>0</v>
      </c>
      <c r="L489" s="123">
        <f>500+'táj.2'!L489</f>
        <v>500</v>
      </c>
      <c r="M489" s="123">
        <f>0+'táj.2'!M489</f>
        <v>0</v>
      </c>
      <c r="N489" s="123">
        <f>0+'táj.2'!N489</f>
        <v>0</v>
      </c>
      <c r="O489" s="123">
        <f>0+'táj.2'!O489</f>
        <v>0</v>
      </c>
      <c r="P489" s="123">
        <f>0+'táj.2'!P489</f>
        <v>0</v>
      </c>
      <c r="Q489" s="123">
        <f t="shared" si="24"/>
        <v>500</v>
      </c>
    </row>
    <row r="490" spans="1:17" ht="12.75" customHeight="1">
      <c r="A490" s="121"/>
      <c r="B490" s="121"/>
      <c r="C490" s="126"/>
      <c r="D490" s="255" t="s">
        <v>421</v>
      </c>
      <c r="E490" s="114"/>
      <c r="F490" s="331"/>
      <c r="G490" s="123"/>
      <c r="H490" s="122"/>
      <c r="I490" s="122"/>
      <c r="J490" s="122"/>
      <c r="K490" s="122"/>
      <c r="L490" s="123"/>
      <c r="M490" s="123"/>
      <c r="N490" s="123"/>
      <c r="O490" s="122"/>
      <c r="P490" s="122"/>
      <c r="Q490" s="123"/>
    </row>
    <row r="491" spans="1:17" ht="12.75" customHeight="1">
      <c r="A491" s="121"/>
      <c r="B491" s="121"/>
      <c r="C491" s="126" t="s">
        <v>205</v>
      </c>
      <c r="D491" s="255" t="s">
        <v>1265</v>
      </c>
      <c r="E491" s="114"/>
      <c r="F491" s="331">
        <v>152908</v>
      </c>
      <c r="G491" s="123">
        <f>0+'táj.2'!G491</f>
        <v>0</v>
      </c>
      <c r="H491" s="123">
        <f>0+'táj.2'!H491</f>
        <v>0</v>
      </c>
      <c r="I491" s="123">
        <f>0+'táj.2'!I491</f>
        <v>0</v>
      </c>
      <c r="J491" s="123">
        <f>0+'táj.2'!J491</f>
        <v>0</v>
      </c>
      <c r="K491" s="123">
        <f>0+'táj.2'!K491</f>
        <v>0</v>
      </c>
      <c r="L491" s="123">
        <f>7274+'táj.2'!L491</f>
        <v>7274</v>
      </c>
      <c r="M491" s="123">
        <f>0+'táj.2'!M491</f>
        <v>0</v>
      </c>
      <c r="N491" s="123">
        <f>0+'táj.2'!N491</f>
        <v>0</v>
      </c>
      <c r="O491" s="123">
        <f>0+'táj.2'!O491</f>
        <v>0</v>
      </c>
      <c r="P491" s="123">
        <f>0+'táj.2'!P491</f>
        <v>0</v>
      </c>
      <c r="Q491" s="123">
        <f t="shared" si="24"/>
        <v>7274</v>
      </c>
    </row>
    <row r="492" spans="1:17" ht="12.75" customHeight="1">
      <c r="A492" s="121"/>
      <c r="B492" s="121"/>
      <c r="C492" s="126" t="s">
        <v>207</v>
      </c>
      <c r="D492" s="308" t="s">
        <v>228</v>
      </c>
      <c r="E492" s="114"/>
      <c r="F492" s="331">
        <v>162921</v>
      </c>
      <c r="G492" s="123">
        <f>0+'táj.2'!G492</f>
        <v>0</v>
      </c>
      <c r="H492" s="123">
        <f>0+'táj.2'!H492</f>
        <v>0</v>
      </c>
      <c r="I492" s="123">
        <f>0+'táj.2'!I492</f>
        <v>414</v>
      </c>
      <c r="J492" s="123">
        <f>0+'táj.2'!J492</f>
        <v>0</v>
      </c>
      <c r="K492" s="123">
        <f>0+'táj.2'!K492</f>
        <v>0</v>
      </c>
      <c r="L492" s="123">
        <f>2200+'táj.2'!L492</f>
        <v>1786</v>
      </c>
      <c r="M492" s="123">
        <f>0+'táj.2'!M492</f>
        <v>0</v>
      </c>
      <c r="N492" s="123">
        <f>0+'táj.2'!N492</f>
        <v>0</v>
      </c>
      <c r="O492" s="123">
        <f>0+'táj.2'!O492</f>
        <v>0</v>
      </c>
      <c r="P492" s="123">
        <f>0+'táj.2'!P492</f>
        <v>0</v>
      </c>
      <c r="Q492" s="123">
        <f t="shared" si="24"/>
        <v>2200</v>
      </c>
    </row>
    <row r="493" spans="1:17" ht="12.75" customHeight="1">
      <c r="A493" s="121"/>
      <c r="B493" s="121"/>
      <c r="C493" s="126" t="s">
        <v>208</v>
      </c>
      <c r="D493" s="308" t="s">
        <v>229</v>
      </c>
      <c r="E493" s="114"/>
      <c r="F493" s="331">
        <v>152924</v>
      </c>
      <c r="G493" s="123">
        <f>0+'táj.2'!G493</f>
        <v>0</v>
      </c>
      <c r="H493" s="123">
        <f>0+'táj.2'!H493</f>
        <v>0</v>
      </c>
      <c r="I493" s="123">
        <f>0+'táj.2'!I493</f>
        <v>0</v>
      </c>
      <c r="J493" s="123">
        <f>0+'táj.2'!J493</f>
        <v>0</v>
      </c>
      <c r="K493" s="123">
        <f>0+'táj.2'!K493</f>
        <v>0</v>
      </c>
      <c r="L493" s="123">
        <f>2000+'táj.2'!L493</f>
        <v>2000</v>
      </c>
      <c r="M493" s="123">
        <f>0+'táj.2'!M493</f>
        <v>0</v>
      </c>
      <c r="N493" s="123">
        <f>0+'táj.2'!N493</f>
        <v>0</v>
      </c>
      <c r="O493" s="123">
        <f>0+'táj.2'!O493</f>
        <v>0</v>
      </c>
      <c r="P493" s="123">
        <f>0+'táj.2'!P493</f>
        <v>0</v>
      </c>
      <c r="Q493" s="123">
        <f t="shared" si="24"/>
        <v>2000</v>
      </c>
    </row>
    <row r="494" spans="1:17" ht="12.75" customHeight="1">
      <c r="A494" s="121"/>
      <c r="B494" s="121"/>
      <c r="C494" s="126" t="s">
        <v>1049</v>
      </c>
      <c r="D494" s="308" t="s">
        <v>236</v>
      </c>
      <c r="E494" s="114"/>
      <c r="F494" s="331">
        <v>152926</v>
      </c>
      <c r="G494" s="123">
        <f>0+'táj.2'!G494</f>
        <v>0</v>
      </c>
      <c r="H494" s="123">
        <f>0+'táj.2'!H494</f>
        <v>0</v>
      </c>
      <c r="I494" s="123">
        <f>0+'táj.2'!I494</f>
        <v>0</v>
      </c>
      <c r="J494" s="123">
        <f>0+'táj.2'!J494</f>
        <v>0</v>
      </c>
      <c r="K494" s="123">
        <f>0+'táj.2'!K494</f>
        <v>0</v>
      </c>
      <c r="L494" s="123">
        <f>1000+'táj.2'!L494</f>
        <v>1000</v>
      </c>
      <c r="M494" s="123">
        <f>0+'táj.2'!M494</f>
        <v>0</v>
      </c>
      <c r="N494" s="123">
        <f>0+'táj.2'!N494</f>
        <v>0</v>
      </c>
      <c r="O494" s="123">
        <f>0+'táj.2'!O494</f>
        <v>0</v>
      </c>
      <c r="P494" s="123">
        <f>0+'táj.2'!P494</f>
        <v>0</v>
      </c>
      <c r="Q494" s="123">
        <f t="shared" si="24"/>
        <v>1000</v>
      </c>
    </row>
    <row r="495" spans="1:17" ht="12.75" customHeight="1">
      <c r="A495" s="121"/>
      <c r="B495" s="121"/>
      <c r="C495" s="126" t="s">
        <v>1050</v>
      </c>
      <c r="D495" s="308" t="s">
        <v>237</v>
      </c>
      <c r="E495" s="114"/>
      <c r="F495" s="331">
        <v>152505</v>
      </c>
      <c r="G495" s="123">
        <f>0+'táj.2'!G495</f>
        <v>0</v>
      </c>
      <c r="H495" s="123">
        <f>0+'táj.2'!H495</f>
        <v>0</v>
      </c>
      <c r="I495" s="123">
        <f>419+'táj.2'!I495</f>
        <v>419</v>
      </c>
      <c r="J495" s="123">
        <f>0+'táj.2'!J495</f>
        <v>0</v>
      </c>
      <c r="K495" s="123">
        <f>0+'táj.2'!K495</f>
        <v>0</v>
      </c>
      <c r="L495" s="123">
        <f>481+'táj.2'!L495</f>
        <v>481</v>
      </c>
      <c r="M495" s="123">
        <f>0+'táj.2'!M495</f>
        <v>0</v>
      </c>
      <c r="N495" s="123">
        <f>0+'táj.2'!N495</f>
        <v>0</v>
      </c>
      <c r="O495" s="123">
        <f>0+'táj.2'!O495</f>
        <v>0</v>
      </c>
      <c r="P495" s="123">
        <f>0+'táj.2'!P495</f>
        <v>0</v>
      </c>
      <c r="Q495" s="123">
        <f t="shared" si="24"/>
        <v>900</v>
      </c>
    </row>
    <row r="496" spans="1:17" ht="12.75" customHeight="1">
      <c r="A496" s="121"/>
      <c r="B496" s="121"/>
      <c r="C496" s="126" t="s">
        <v>981</v>
      </c>
      <c r="D496" s="468" t="s">
        <v>1004</v>
      </c>
      <c r="E496" s="114"/>
      <c r="F496" s="331">
        <v>152912</v>
      </c>
      <c r="G496" s="123">
        <f>0+'táj.2'!G496</f>
        <v>0</v>
      </c>
      <c r="H496" s="123">
        <f>0+'táj.2'!H496</f>
        <v>0</v>
      </c>
      <c r="I496" s="123">
        <f>0+'táj.2'!I496</f>
        <v>0</v>
      </c>
      <c r="J496" s="123">
        <f>0+'táj.2'!J496</f>
        <v>0</v>
      </c>
      <c r="K496" s="123">
        <f>0+'táj.2'!K496</f>
        <v>0</v>
      </c>
      <c r="L496" s="123">
        <f>1500+'táj.2'!L496</f>
        <v>1500</v>
      </c>
      <c r="M496" s="123">
        <f>0+'táj.2'!M496</f>
        <v>0</v>
      </c>
      <c r="N496" s="123">
        <f>0+'táj.2'!N496</f>
        <v>0</v>
      </c>
      <c r="O496" s="123">
        <f>0+'táj.2'!O496</f>
        <v>0</v>
      </c>
      <c r="P496" s="123">
        <f>0+'táj.2'!P496</f>
        <v>0</v>
      </c>
      <c r="Q496" s="123">
        <f t="shared" si="24"/>
        <v>1500</v>
      </c>
    </row>
    <row r="497" spans="1:17" ht="24" customHeight="1">
      <c r="A497" s="121"/>
      <c r="B497" s="121"/>
      <c r="C497" s="126" t="s">
        <v>517</v>
      </c>
      <c r="D497" s="474" t="s">
        <v>238</v>
      </c>
      <c r="E497" s="114"/>
      <c r="F497" s="331">
        <v>152503</v>
      </c>
      <c r="G497" s="123">
        <f>0+'táj.2'!G497</f>
        <v>0</v>
      </c>
      <c r="H497" s="123">
        <f>0+'táj.2'!H497</f>
        <v>0</v>
      </c>
      <c r="I497" s="123">
        <f>0+'táj.2'!I497</f>
        <v>0</v>
      </c>
      <c r="J497" s="123">
        <f>0+'táj.2'!J497</f>
        <v>0</v>
      </c>
      <c r="K497" s="123">
        <f>0+'táj.2'!K497</f>
        <v>0</v>
      </c>
      <c r="L497" s="123">
        <f>500+'táj.2'!L497</f>
        <v>500</v>
      </c>
      <c r="M497" s="123">
        <f>0+'táj.2'!M497</f>
        <v>0</v>
      </c>
      <c r="N497" s="123">
        <f>0+'táj.2'!N497</f>
        <v>0</v>
      </c>
      <c r="O497" s="123">
        <f>0+'táj.2'!O497</f>
        <v>0</v>
      </c>
      <c r="P497" s="123">
        <f>0+'táj.2'!P497</f>
        <v>0</v>
      </c>
      <c r="Q497" s="123">
        <f t="shared" si="24"/>
        <v>500</v>
      </c>
    </row>
    <row r="498" spans="1:17" ht="17.25" customHeight="1">
      <c r="A498" s="121"/>
      <c r="B498" s="121"/>
      <c r="C498" s="126" t="s">
        <v>518</v>
      </c>
      <c r="D498" s="458" t="s">
        <v>240</v>
      </c>
      <c r="E498" s="114"/>
      <c r="F498" s="331">
        <v>154511</v>
      </c>
      <c r="G498" s="123">
        <f>0+'táj.2'!G498</f>
        <v>0</v>
      </c>
      <c r="H498" s="123">
        <f>0+'táj.2'!H498</f>
        <v>0</v>
      </c>
      <c r="I498" s="123">
        <f>4770+'táj.2'!I498</f>
        <v>5344</v>
      </c>
      <c r="J498" s="123">
        <f>0+'táj.2'!J498</f>
        <v>0</v>
      </c>
      <c r="K498" s="123">
        <f>0+'táj.2'!K498</f>
        <v>0</v>
      </c>
      <c r="L498" s="123">
        <f>0+'táj.2'!L498</f>
        <v>0</v>
      </c>
      <c r="M498" s="123">
        <f>0+'táj.2'!M498</f>
        <v>0</v>
      </c>
      <c r="N498" s="123">
        <f>0+'táj.2'!N498</f>
        <v>0</v>
      </c>
      <c r="O498" s="123">
        <f>0+'táj.2'!O498</f>
        <v>0</v>
      </c>
      <c r="P498" s="123">
        <f>0+'táj.2'!P498</f>
        <v>0</v>
      </c>
      <c r="Q498" s="123">
        <f t="shared" si="24"/>
        <v>5344</v>
      </c>
    </row>
    <row r="499" spans="1:17" ht="16.5" customHeight="1">
      <c r="A499" s="121"/>
      <c r="B499" s="121"/>
      <c r="C499" s="126" t="s">
        <v>519</v>
      </c>
      <c r="D499" s="308" t="s">
        <v>245</v>
      </c>
      <c r="E499" s="114"/>
      <c r="F499" s="331">
        <v>154901</v>
      </c>
      <c r="G499" s="123">
        <f>0+'táj.2'!G499</f>
        <v>0</v>
      </c>
      <c r="H499" s="123">
        <f>0+'táj.2'!H499</f>
        <v>0</v>
      </c>
      <c r="I499" s="123">
        <f>508+'táj.2'!I499</f>
        <v>508</v>
      </c>
      <c r="J499" s="123">
        <f>0+'táj.2'!J499</f>
        <v>0</v>
      </c>
      <c r="K499" s="123">
        <f>0+'táj.2'!K499</f>
        <v>0</v>
      </c>
      <c r="L499" s="123">
        <f>0+'táj.2'!L499</f>
        <v>0</v>
      </c>
      <c r="M499" s="123">
        <f>0+'táj.2'!M499</f>
        <v>0</v>
      </c>
      <c r="N499" s="123">
        <f>0+'táj.2'!N499</f>
        <v>0</v>
      </c>
      <c r="O499" s="123">
        <f>0+'táj.2'!O499</f>
        <v>0</v>
      </c>
      <c r="P499" s="123">
        <f>0+'táj.2'!P499</f>
        <v>0</v>
      </c>
      <c r="Q499" s="123">
        <f t="shared" si="24"/>
        <v>508</v>
      </c>
    </row>
    <row r="500" spans="1:17" ht="16.5" customHeight="1">
      <c r="A500" s="121"/>
      <c r="B500" s="121"/>
      <c r="C500" s="126" t="s">
        <v>28</v>
      </c>
      <c r="D500" s="308" t="s">
        <v>246</v>
      </c>
      <c r="E500" s="114"/>
      <c r="F500" s="331">
        <v>152523</v>
      </c>
      <c r="G500" s="123">
        <f>0+'táj.2'!G500</f>
        <v>0</v>
      </c>
      <c r="H500" s="123">
        <f>0+'táj.2'!H500</f>
        <v>0</v>
      </c>
      <c r="I500" s="123">
        <f>0+'táj.2'!I500</f>
        <v>0</v>
      </c>
      <c r="J500" s="123">
        <f>0+'táj.2'!J500</f>
        <v>0</v>
      </c>
      <c r="K500" s="123">
        <f>0+'táj.2'!K500</f>
        <v>0</v>
      </c>
      <c r="L500" s="123">
        <f>0+'táj.2'!L500</f>
        <v>0</v>
      </c>
      <c r="M500" s="123">
        <f>287+'táj.2'!M500</f>
        <v>287</v>
      </c>
      <c r="N500" s="123">
        <f>0+'táj.2'!N500</f>
        <v>0</v>
      </c>
      <c r="O500" s="123">
        <f>0+'táj.2'!O500</f>
        <v>0</v>
      </c>
      <c r="P500" s="123">
        <f>0+'táj.2'!P500</f>
        <v>0</v>
      </c>
      <c r="Q500" s="123">
        <f t="shared" si="24"/>
        <v>287</v>
      </c>
    </row>
    <row r="501" spans="1:17" ht="18.75" customHeight="1">
      <c r="A501" s="121"/>
      <c r="B501" s="121"/>
      <c r="C501" s="126" t="s">
        <v>29</v>
      </c>
      <c r="D501" s="308" t="s">
        <v>247</v>
      </c>
      <c r="E501" s="114"/>
      <c r="F501" s="331">
        <v>154505</v>
      </c>
      <c r="G501" s="123">
        <f>0+'táj.2'!G501</f>
        <v>0</v>
      </c>
      <c r="H501" s="123">
        <f>0+'táj.2'!H501</f>
        <v>0</v>
      </c>
      <c r="I501" s="123">
        <f>3000+'táj.2'!I501</f>
        <v>3000</v>
      </c>
      <c r="J501" s="123">
        <f>0+'táj.2'!J501</f>
        <v>0</v>
      </c>
      <c r="K501" s="123">
        <f>0+'táj.2'!K501</f>
        <v>0</v>
      </c>
      <c r="L501" s="123">
        <f>0+'táj.2'!L501</f>
        <v>0</v>
      </c>
      <c r="M501" s="123">
        <f>0+'táj.2'!M501</f>
        <v>0</v>
      </c>
      <c r="N501" s="123">
        <f>0+'táj.2'!N501</f>
        <v>0</v>
      </c>
      <c r="O501" s="123">
        <f>0+'táj.2'!O501</f>
        <v>0</v>
      </c>
      <c r="P501" s="123">
        <f>0+'táj.2'!P501</f>
        <v>0</v>
      </c>
      <c r="Q501" s="123">
        <f t="shared" si="24"/>
        <v>3000</v>
      </c>
    </row>
    <row r="502" spans="1:17" ht="24" customHeight="1">
      <c r="A502" s="121"/>
      <c r="B502" s="121"/>
      <c r="C502" s="126" t="s">
        <v>338</v>
      </c>
      <c r="D502" s="349" t="s">
        <v>1264</v>
      </c>
      <c r="E502" s="114"/>
      <c r="F502" s="331">
        <v>152532</v>
      </c>
      <c r="G502" s="123">
        <f>0+'táj.2'!G502</f>
        <v>0</v>
      </c>
      <c r="H502" s="123">
        <f>0+'táj.2'!H502</f>
        <v>0</v>
      </c>
      <c r="I502" s="123">
        <f>0+'táj.2'!I502</f>
        <v>0</v>
      </c>
      <c r="J502" s="123">
        <f>0+'táj.2'!J502</f>
        <v>0</v>
      </c>
      <c r="K502" s="123">
        <f>0+'táj.2'!K502</f>
        <v>0</v>
      </c>
      <c r="L502" s="123">
        <f>0+'táj.2'!L502</f>
        <v>0</v>
      </c>
      <c r="M502" s="123">
        <f>0+'táj.2'!M502</f>
        <v>0</v>
      </c>
      <c r="N502" s="123">
        <f>0+'táj.2'!N502</f>
        <v>0</v>
      </c>
      <c r="O502" s="123">
        <f>0+'táj.2'!O502</f>
        <v>0</v>
      </c>
      <c r="P502" s="123">
        <f>0+'táj.2'!P502</f>
        <v>0</v>
      </c>
      <c r="Q502" s="123">
        <f t="shared" si="24"/>
        <v>0</v>
      </c>
    </row>
    <row r="503" spans="1:17" ht="18.75" customHeight="1">
      <c r="A503" s="121"/>
      <c r="B503" s="121"/>
      <c r="C503" s="126" t="s">
        <v>339</v>
      </c>
      <c r="D503" s="333" t="s">
        <v>783</v>
      </c>
      <c r="E503" s="114"/>
      <c r="F503" s="331">
        <v>154508</v>
      </c>
      <c r="G503" s="123">
        <f>0+'táj.2'!G503</f>
        <v>0</v>
      </c>
      <c r="H503" s="123">
        <f>0+'táj.2'!H503</f>
        <v>0</v>
      </c>
      <c r="I503" s="123">
        <f>500+'táj.2'!I503</f>
        <v>500</v>
      </c>
      <c r="J503" s="123">
        <f>0+'táj.2'!J503</f>
        <v>0</v>
      </c>
      <c r="K503" s="123">
        <f>0+'táj.2'!K503</f>
        <v>0</v>
      </c>
      <c r="L503" s="123">
        <f>0+'táj.2'!L503</f>
        <v>0</v>
      </c>
      <c r="M503" s="123">
        <f>0+'táj.2'!M503</f>
        <v>0</v>
      </c>
      <c r="N503" s="123">
        <f>0+'táj.2'!N503</f>
        <v>0</v>
      </c>
      <c r="O503" s="123">
        <f>0+'táj.2'!O503</f>
        <v>0</v>
      </c>
      <c r="P503" s="123">
        <f>0+'táj.2'!P503</f>
        <v>0</v>
      </c>
      <c r="Q503" s="123">
        <f t="shared" si="24"/>
        <v>500</v>
      </c>
    </row>
    <row r="504" spans="1:17" ht="18.75" customHeight="1">
      <c r="A504" s="121"/>
      <c r="B504" s="121"/>
      <c r="C504" s="126" t="s">
        <v>340</v>
      </c>
      <c r="D504" s="266" t="s">
        <v>1121</v>
      </c>
      <c r="E504" s="114"/>
      <c r="F504" s="331">
        <v>152501</v>
      </c>
      <c r="G504" s="123">
        <f>0+'táj.2'!G504</f>
        <v>0</v>
      </c>
      <c r="H504" s="123">
        <f>0+'táj.2'!H504</f>
        <v>0</v>
      </c>
      <c r="I504" s="123">
        <f>0+'táj.2'!I504</f>
        <v>0</v>
      </c>
      <c r="J504" s="123">
        <f>0+'táj.2'!J504</f>
        <v>0</v>
      </c>
      <c r="K504" s="123">
        <f>0+'táj.2'!K504</f>
        <v>0</v>
      </c>
      <c r="L504" s="123">
        <f>198+'táj.2'!L504</f>
        <v>198</v>
      </c>
      <c r="M504" s="123">
        <f>0+'táj.2'!M504</f>
        <v>0</v>
      </c>
      <c r="N504" s="123">
        <f>0+'táj.2'!N504</f>
        <v>0</v>
      </c>
      <c r="O504" s="123">
        <f>0+'táj.2'!O504</f>
        <v>0</v>
      </c>
      <c r="P504" s="123">
        <f>0+'táj.2'!P504</f>
        <v>0</v>
      </c>
      <c r="Q504" s="123">
        <f t="shared" si="24"/>
        <v>198</v>
      </c>
    </row>
    <row r="505" spans="1:17" ht="16.5" customHeight="1">
      <c r="A505" s="121"/>
      <c r="B505" s="121"/>
      <c r="C505" s="315" t="s">
        <v>1253</v>
      </c>
      <c r="D505" s="352" t="s">
        <v>1254</v>
      </c>
      <c r="E505" s="114"/>
      <c r="F505" s="331"/>
      <c r="G505" s="123"/>
      <c r="H505" s="122"/>
      <c r="I505" s="122"/>
      <c r="J505" s="122"/>
      <c r="K505" s="122"/>
      <c r="L505" s="123"/>
      <c r="M505" s="123"/>
      <c r="N505" s="123"/>
      <c r="O505" s="122"/>
      <c r="P505" s="122"/>
      <c r="Q505" s="123"/>
    </row>
    <row r="506" spans="1:17" ht="12.75" customHeight="1">
      <c r="A506" s="121"/>
      <c r="B506" s="121"/>
      <c r="C506" s="121" t="s">
        <v>1255</v>
      </c>
      <c r="D506" s="350" t="s">
        <v>1256</v>
      </c>
      <c r="E506" s="114"/>
      <c r="F506" s="331"/>
      <c r="G506" s="123"/>
      <c r="H506" s="122"/>
      <c r="I506" s="122"/>
      <c r="J506" s="122"/>
      <c r="K506" s="122"/>
      <c r="L506" s="123"/>
      <c r="M506" s="123"/>
      <c r="N506" s="123"/>
      <c r="O506" s="122"/>
      <c r="P506" s="122"/>
      <c r="Q506" s="123"/>
    </row>
    <row r="507" spans="1:17" ht="12.75" customHeight="1">
      <c r="A507" s="121"/>
      <c r="B507" s="121"/>
      <c r="C507" s="126" t="s">
        <v>372</v>
      </c>
      <c r="D507" s="475" t="s">
        <v>365</v>
      </c>
      <c r="E507" s="114"/>
      <c r="F507" s="331">
        <v>152810</v>
      </c>
      <c r="G507" s="123">
        <f>0+'táj.2'!G507</f>
        <v>0</v>
      </c>
      <c r="H507" s="123">
        <f>0+'táj.2'!H507</f>
        <v>0</v>
      </c>
      <c r="I507" s="123">
        <f>408+'táj.2'!I507</f>
        <v>408</v>
      </c>
      <c r="J507" s="123">
        <f>0+'táj.2'!J507</f>
        <v>0</v>
      </c>
      <c r="K507" s="123">
        <f>0+'táj.2'!K507</f>
        <v>0</v>
      </c>
      <c r="L507" s="123">
        <f>0+'táj.2'!L507</f>
        <v>0</v>
      </c>
      <c r="M507" s="123">
        <f>0+'táj.2'!M507</f>
        <v>0</v>
      </c>
      <c r="N507" s="123">
        <f>611+'táj.2'!N507</f>
        <v>611</v>
      </c>
      <c r="O507" s="123">
        <f>0+'táj.2'!O507</f>
        <v>0</v>
      </c>
      <c r="P507" s="123">
        <f>0+'táj.2'!P507</f>
        <v>0</v>
      </c>
      <c r="Q507" s="123">
        <f>SUM(I507:P507)</f>
        <v>1019</v>
      </c>
    </row>
    <row r="508" spans="1:17" ht="12.75" customHeight="1">
      <c r="A508" s="121"/>
      <c r="B508" s="121"/>
      <c r="C508" s="100" t="s">
        <v>315</v>
      </c>
      <c r="D508" s="658" t="s">
        <v>321</v>
      </c>
      <c r="E508" s="15"/>
      <c r="F508" s="100">
        <v>154419</v>
      </c>
      <c r="G508" s="123">
        <f>0+'táj.2'!G508</f>
        <v>0</v>
      </c>
      <c r="H508" s="123">
        <f>0+'táj.2'!H508</f>
        <v>0</v>
      </c>
      <c r="I508" s="123">
        <f>0+'táj.2'!I508</f>
        <v>0</v>
      </c>
      <c r="J508" s="123">
        <f>0+'táj.2'!J508</f>
        <v>0</v>
      </c>
      <c r="K508" s="123">
        <f>0+'táj.2'!K508</f>
        <v>0</v>
      </c>
      <c r="L508" s="123">
        <f>3104+'táj.2'!L508</f>
        <v>3104</v>
      </c>
      <c r="M508" s="123">
        <f>0+'táj.2'!M508</f>
        <v>0</v>
      </c>
      <c r="N508" s="123">
        <f>0+'táj.2'!N508</f>
        <v>0</v>
      </c>
      <c r="O508" s="123">
        <f>0+'táj.2'!O508</f>
        <v>0</v>
      </c>
      <c r="P508" s="123">
        <f>0+'táj.2'!P508</f>
        <v>0</v>
      </c>
      <c r="Q508" s="123">
        <f>SUM(L508:P508)</f>
        <v>3104</v>
      </c>
    </row>
    <row r="509" spans="1:17" ht="12.75" customHeight="1">
      <c r="A509" s="121"/>
      <c r="B509" s="121"/>
      <c r="C509" s="100" t="s">
        <v>1198</v>
      </c>
      <c r="D509" s="658" t="s">
        <v>1199</v>
      </c>
      <c r="E509" s="15"/>
      <c r="F509" s="100">
        <v>152801</v>
      </c>
      <c r="G509" s="123">
        <f>0+'táj.2'!G509</f>
        <v>0</v>
      </c>
      <c r="H509" s="123">
        <f>0+'táj.2'!H509</f>
        <v>0</v>
      </c>
      <c r="I509" s="123">
        <f>121+'táj.2'!I509</f>
        <v>121</v>
      </c>
      <c r="J509" s="123">
        <f>0+'táj.2'!J509</f>
        <v>0</v>
      </c>
      <c r="K509" s="123">
        <f>0+'táj.2'!K509</f>
        <v>0</v>
      </c>
      <c r="L509" s="123">
        <f>2346+'táj.2'!L509</f>
        <v>2346</v>
      </c>
      <c r="M509" s="123">
        <f>0+'táj.2'!M509</f>
        <v>0</v>
      </c>
      <c r="N509" s="123">
        <f>0+'táj.2'!N509</f>
        <v>0</v>
      </c>
      <c r="O509" s="123">
        <f>0+'táj.2'!O509</f>
        <v>0</v>
      </c>
      <c r="P509" s="123">
        <f>0+'táj.2'!P509</f>
        <v>0</v>
      </c>
      <c r="Q509" s="123">
        <f>SUM(G509:P509)</f>
        <v>2467</v>
      </c>
    </row>
    <row r="510" spans="1:17" ht="12.75" customHeight="1">
      <c r="A510" s="121"/>
      <c r="B510" s="121"/>
      <c r="C510" s="126"/>
      <c r="D510" s="255" t="s">
        <v>421</v>
      </c>
      <c r="E510" s="114"/>
      <c r="F510" s="331"/>
      <c r="G510" s="123"/>
      <c r="H510" s="122"/>
      <c r="I510" s="122"/>
      <c r="J510" s="122"/>
      <c r="K510" s="122"/>
      <c r="L510" s="123"/>
      <c r="M510" s="123"/>
      <c r="N510" s="123"/>
      <c r="O510" s="122"/>
      <c r="P510" s="122"/>
      <c r="Q510" s="123"/>
    </row>
    <row r="511" spans="1:17" ht="12.75" customHeight="1">
      <c r="A511" s="121"/>
      <c r="B511" s="121"/>
      <c r="C511" s="126" t="s">
        <v>807</v>
      </c>
      <c r="D511" s="353" t="s">
        <v>1268</v>
      </c>
      <c r="E511" s="114"/>
      <c r="F511" s="331">
        <v>154807</v>
      </c>
      <c r="G511" s="123">
        <f>0+'táj.2'!G511</f>
        <v>0</v>
      </c>
      <c r="H511" s="123">
        <f>0+'táj.2'!H511</f>
        <v>0</v>
      </c>
      <c r="I511" s="123">
        <f>2209+'táj.2'!I511</f>
        <v>2209</v>
      </c>
      <c r="J511" s="123">
        <f>0+'táj.2'!J511</f>
        <v>0</v>
      </c>
      <c r="K511" s="123">
        <f>0+'táj.2'!K511</f>
        <v>0</v>
      </c>
      <c r="L511" s="123">
        <f>0+'táj.2'!L511</f>
        <v>0</v>
      </c>
      <c r="M511" s="123">
        <f>2915+'táj.2'!M511</f>
        <v>2915</v>
      </c>
      <c r="N511" s="123">
        <f>0+'táj.2'!N511</f>
        <v>0</v>
      </c>
      <c r="O511" s="123">
        <f>0+'táj.2'!O511</f>
        <v>0</v>
      </c>
      <c r="P511" s="123">
        <f>0+'táj.2'!P511</f>
        <v>0</v>
      </c>
      <c r="Q511" s="123">
        <f>SUM(I511:P511)</f>
        <v>5124</v>
      </c>
    </row>
    <row r="512" spans="1:17" ht="12.75" customHeight="1">
      <c r="A512" s="121"/>
      <c r="B512" s="121"/>
      <c r="C512" s="121" t="s">
        <v>1257</v>
      </c>
      <c r="D512" s="350" t="s">
        <v>1259</v>
      </c>
      <c r="E512" s="114"/>
      <c r="F512" s="331"/>
      <c r="G512" s="123"/>
      <c r="H512" s="122"/>
      <c r="I512" s="122"/>
      <c r="J512" s="122"/>
      <c r="K512" s="122"/>
      <c r="L512" s="123"/>
      <c r="M512" s="123"/>
      <c r="N512" s="123"/>
      <c r="O512" s="122"/>
      <c r="P512" s="122"/>
      <c r="Q512" s="123"/>
    </row>
    <row r="513" spans="1:17" ht="19.5" customHeight="1">
      <c r="A513" s="121"/>
      <c r="B513" s="121"/>
      <c r="C513" s="126" t="s">
        <v>1258</v>
      </c>
      <c r="D513" s="463" t="s">
        <v>643</v>
      </c>
      <c r="E513" s="114"/>
      <c r="F513" s="331">
        <v>154913</v>
      </c>
      <c r="G513" s="123">
        <f>0+'táj.2'!G513</f>
        <v>0</v>
      </c>
      <c r="H513" s="123">
        <f>0+'táj.2'!H513</f>
        <v>0</v>
      </c>
      <c r="I513" s="123">
        <f>0+'táj.2'!I513</f>
        <v>0</v>
      </c>
      <c r="J513" s="123">
        <f>0+'táj.2'!J513</f>
        <v>0</v>
      </c>
      <c r="K513" s="123">
        <f>0+'táj.2'!K513</f>
        <v>0</v>
      </c>
      <c r="L513" s="123">
        <f>756+'táj.2'!L513</f>
        <v>756</v>
      </c>
      <c r="M513" s="123">
        <f>244+'táj.2'!M513</f>
        <v>244</v>
      </c>
      <c r="N513" s="123">
        <f>0+'táj.2'!N513</f>
        <v>0</v>
      </c>
      <c r="O513" s="123">
        <f>0+'táj.2'!O513</f>
        <v>0</v>
      </c>
      <c r="P513" s="123">
        <f>0+'táj.2'!P513</f>
        <v>0</v>
      </c>
      <c r="Q513" s="123">
        <f>SUM(G513:P513)</f>
        <v>1000</v>
      </c>
    </row>
    <row r="514" spans="1:17" ht="26.25" customHeight="1">
      <c r="A514" s="121"/>
      <c r="B514" s="121"/>
      <c r="C514" s="126" t="s">
        <v>1319</v>
      </c>
      <c r="D514" s="455" t="s">
        <v>1200</v>
      </c>
      <c r="E514" s="114"/>
      <c r="F514" s="331">
        <v>152932</v>
      </c>
      <c r="G514" s="123">
        <f>0+'táj.2'!G514</f>
        <v>0</v>
      </c>
      <c r="H514" s="123">
        <f>0+'táj.2'!H514</f>
        <v>0</v>
      </c>
      <c r="I514" s="123">
        <f>0+'táj.2'!I514</f>
        <v>0</v>
      </c>
      <c r="J514" s="123">
        <f>0+'táj.2'!J514</f>
        <v>0</v>
      </c>
      <c r="K514" s="123">
        <f>0+'táj.2'!K514</f>
        <v>0</v>
      </c>
      <c r="L514" s="123">
        <f>0+'táj.2'!L514</f>
        <v>0</v>
      </c>
      <c r="M514" s="123">
        <f>0+'táj.2'!M514</f>
        <v>0</v>
      </c>
      <c r="N514" s="123">
        <f>1000+'táj.2'!N514</f>
        <v>1000</v>
      </c>
      <c r="O514" s="123">
        <f>0+'táj.2'!O514</f>
        <v>0</v>
      </c>
      <c r="P514" s="123">
        <f>0+'táj.2'!P514</f>
        <v>0</v>
      </c>
      <c r="Q514" s="123">
        <f>SUM(G514:P514)</f>
        <v>1000</v>
      </c>
    </row>
    <row r="515" spans="1:17" ht="15" customHeight="1">
      <c r="A515" s="121"/>
      <c r="B515" s="121"/>
      <c r="C515" s="126" t="s">
        <v>787</v>
      </c>
      <c r="D515" s="457" t="s">
        <v>750</v>
      </c>
      <c r="E515" s="114"/>
      <c r="F515" s="331">
        <v>154914</v>
      </c>
      <c r="G515" s="123">
        <f>0+'táj.2'!G515</f>
        <v>0</v>
      </c>
      <c r="H515" s="123">
        <f>0+'táj.2'!H515</f>
        <v>0</v>
      </c>
      <c r="I515" s="123">
        <f>0+'táj.2'!I515</f>
        <v>0</v>
      </c>
      <c r="J515" s="123">
        <f>0+'táj.2'!J515</f>
        <v>0</v>
      </c>
      <c r="K515" s="123">
        <f>0+'táj.2'!K515</f>
        <v>0</v>
      </c>
      <c r="L515" s="123">
        <f>0+'táj.2'!L515</f>
        <v>0</v>
      </c>
      <c r="M515" s="123">
        <f>2000+'táj.2'!M515</f>
        <v>2000</v>
      </c>
      <c r="N515" s="123">
        <f>0+'táj.2'!N515</f>
        <v>0</v>
      </c>
      <c r="O515" s="123">
        <f>0+'táj.2'!O515</f>
        <v>0</v>
      </c>
      <c r="P515" s="123">
        <f>0+'táj.2'!P515</f>
        <v>0</v>
      </c>
      <c r="Q515" s="123">
        <f>SUM(G515:P515)</f>
        <v>2000</v>
      </c>
    </row>
    <row r="516" spans="1:17" ht="15" customHeight="1">
      <c r="A516" s="121"/>
      <c r="B516" s="121"/>
      <c r="C516" s="100" t="s">
        <v>842</v>
      </c>
      <c r="D516" s="680" t="s">
        <v>843</v>
      </c>
      <c r="E516" s="15"/>
      <c r="F516" s="100">
        <v>152933</v>
      </c>
      <c r="G516" s="123">
        <f>0+'táj.2'!G516</f>
        <v>0</v>
      </c>
      <c r="H516" s="123">
        <f>0+'táj.2'!H516</f>
        <v>0</v>
      </c>
      <c r="I516" s="123">
        <f>0+'táj.2'!I516</f>
        <v>0</v>
      </c>
      <c r="J516" s="123">
        <f>0+'táj.2'!J516</f>
        <v>0</v>
      </c>
      <c r="K516" s="123">
        <f>0+'táj.2'!K516</f>
        <v>0</v>
      </c>
      <c r="L516" s="123">
        <f>2000+'táj.2'!L516</f>
        <v>2000</v>
      </c>
      <c r="M516" s="123">
        <f>0+'táj.2'!M516</f>
        <v>0</v>
      </c>
      <c r="N516" s="123">
        <f>0+'táj.2'!N516</f>
        <v>0</v>
      </c>
      <c r="O516" s="123">
        <f>0+'táj.2'!O516</f>
        <v>0</v>
      </c>
      <c r="P516" s="123">
        <f>0+'táj.2'!P516</f>
        <v>0</v>
      </c>
      <c r="Q516" s="123">
        <f>SUM(G516:P516)</f>
        <v>2000</v>
      </c>
    </row>
    <row r="517" spans="1:17" ht="13.5" customHeight="1">
      <c r="A517" s="104"/>
      <c r="B517" s="104"/>
      <c r="C517" s="245"/>
      <c r="D517" s="106" t="s">
        <v>288</v>
      </c>
      <c r="E517" s="107"/>
      <c r="F517" s="532"/>
      <c r="G517" s="111">
        <f>SUM(G336:G516)</f>
        <v>7154</v>
      </c>
      <c r="H517" s="111">
        <f aca="true" t="shared" si="25" ref="H517:Q517">SUM(H336:H516)</f>
        <v>2690</v>
      </c>
      <c r="I517" s="111">
        <f t="shared" si="25"/>
        <v>1461053</v>
      </c>
      <c r="J517" s="111">
        <f t="shared" si="25"/>
        <v>0</v>
      </c>
      <c r="K517" s="111">
        <f t="shared" si="25"/>
        <v>61894</v>
      </c>
      <c r="L517" s="111">
        <f t="shared" si="25"/>
        <v>163084</v>
      </c>
      <c r="M517" s="111">
        <f t="shared" si="25"/>
        <v>705499</v>
      </c>
      <c r="N517" s="111">
        <f t="shared" si="25"/>
        <v>206327</v>
      </c>
      <c r="O517" s="111">
        <f t="shared" si="25"/>
        <v>0</v>
      </c>
      <c r="P517" s="111">
        <f t="shared" si="25"/>
        <v>0</v>
      </c>
      <c r="Q517" s="111">
        <f t="shared" si="25"/>
        <v>2607701</v>
      </c>
    </row>
    <row r="518" spans="1:17" ht="13.5" customHeight="1">
      <c r="A518" s="113">
        <v>1</v>
      </c>
      <c r="B518" s="113">
        <v>16</v>
      </c>
      <c r="C518" s="248"/>
      <c r="D518" s="273" t="s">
        <v>289</v>
      </c>
      <c r="E518" s="114"/>
      <c r="F518" s="331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</row>
    <row r="519" spans="1:17" ht="13.5" customHeight="1">
      <c r="A519" s="113"/>
      <c r="B519" s="113"/>
      <c r="C519" s="248"/>
      <c r="D519" s="274" t="s">
        <v>117</v>
      </c>
      <c r="E519" s="114"/>
      <c r="F519" s="331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</row>
    <row r="520" spans="1:17" ht="13.5" customHeight="1">
      <c r="A520" s="113"/>
      <c r="B520" s="113"/>
      <c r="C520" s="248"/>
      <c r="D520" s="258" t="s">
        <v>479</v>
      </c>
      <c r="E520" s="18">
        <v>2</v>
      </c>
      <c r="F520" s="113">
        <v>161903</v>
      </c>
      <c r="G520" s="18">
        <f>0+'táj.2'!G520</f>
        <v>0</v>
      </c>
      <c r="H520" s="18">
        <f>0+'táj.2'!H520</f>
        <v>0</v>
      </c>
      <c r="I520" s="18">
        <f>8305+'táj.2'!I520</f>
        <v>8305</v>
      </c>
      <c r="J520" s="18">
        <f>0+'táj.2'!J520</f>
        <v>0</v>
      </c>
      <c r="K520" s="18">
        <f>0+'táj.2'!K520</f>
        <v>0</v>
      </c>
      <c r="L520" s="18">
        <f>267+'táj.2'!L520</f>
        <v>267</v>
      </c>
      <c r="M520" s="18">
        <f>770+'táj.2'!M520</f>
        <v>770</v>
      </c>
      <c r="N520" s="18">
        <f>153+'táj.2'!N520</f>
        <v>153</v>
      </c>
      <c r="O520" s="18">
        <f>0+'táj.2'!O520</f>
        <v>0</v>
      </c>
      <c r="P520" s="18">
        <f>0+'táj.2'!P520</f>
        <v>0</v>
      </c>
      <c r="Q520" s="18">
        <f>SUM(I520:P520)</f>
        <v>9495</v>
      </c>
    </row>
    <row r="521" spans="1:17" ht="24" customHeight="1">
      <c r="A521" s="113"/>
      <c r="B521" s="113"/>
      <c r="C521" s="248"/>
      <c r="D521" s="214" t="s">
        <v>480</v>
      </c>
      <c r="E521" s="18">
        <v>2</v>
      </c>
      <c r="F521" s="113">
        <v>161904</v>
      </c>
      <c r="G521" s="18">
        <f>0+'táj.2'!G521</f>
        <v>0</v>
      </c>
      <c r="H521" s="18">
        <f>0+'táj.2'!H521</f>
        <v>0</v>
      </c>
      <c r="I521" s="18">
        <f>2857+'táj.2'!I521</f>
        <v>2857</v>
      </c>
      <c r="J521" s="18">
        <f>0+'táj.2'!J521</f>
        <v>0</v>
      </c>
      <c r="K521" s="18">
        <f>220+'táj.2'!K521</f>
        <v>220</v>
      </c>
      <c r="L521" s="18">
        <f>0+'táj.2'!L521</f>
        <v>0</v>
      </c>
      <c r="M521" s="18">
        <f>0+'táj.2'!M521</f>
        <v>0</v>
      </c>
      <c r="N521" s="18">
        <f>0+'táj.2'!N521</f>
        <v>0</v>
      </c>
      <c r="O521" s="18">
        <f>0+'táj.2'!O521</f>
        <v>0</v>
      </c>
      <c r="P521" s="18">
        <f>0+'táj.2'!P521</f>
        <v>0</v>
      </c>
      <c r="Q521" s="18">
        <f>SUM(I521:P521)</f>
        <v>3077</v>
      </c>
    </row>
    <row r="522" spans="1:17" ht="29.25" customHeight="1">
      <c r="A522" s="113"/>
      <c r="B522" s="113"/>
      <c r="C522" s="248"/>
      <c r="D522" s="206" t="s">
        <v>1201</v>
      </c>
      <c r="E522" s="18">
        <v>2</v>
      </c>
      <c r="F522" s="113">
        <v>171911</v>
      </c>
      <c r="G522" s="18">
        <f>0+'táj.2'!G522</f>
        <v>0</v>
      </c>
      <c r="H522" s="18">
        <f>0+'táj.2'!H522</f>
        <v>0</v>
      </c>
      <c r="I522" s="18">
        <f>250+'táj.2'!I522</f>
        <v>250</v>
      </c>
      <c r="J522" s="18">
        <f>0+'táj.2'!J522</f>
        <v>0</v>
      </c>
      <c r="K522" s="18">
        <f>0+'táj.2'!K522</f>
        <v>0</v>
      </c>
      <c r="L522" s="18">
        <f>0+'táj.2'!L522</f>
        <v>0</v>
      </c>
      <c r="M522" s="18">
        <f>0+'táj.2'!M522</f>
        <v>0</v>
      </c>
      <c r="N522" s="18">
        <f>0+'táj.2'!N522</f>
        <v>0</v>
      </c>
      <c r="O522" s="18">
        <f>0+'táj.2'!O522</f>
        <v>0</v>
      </c>
      <c r="P522" s="18">
        <f>0+'táj.2'!P522</f>
        <v>0</v>
      </c>
      <c r="Q522" s="18">
        <f>SUM(I522:P522)</f>
        <v>250</v>
      </c>
    </row>
    <row r="523" spans="1:17" ht="26.25" customHeight="1">
      <c r="A523" s="113"/>
      <c r="B523" s="113"/>
      <c r="C523" s="248"/>
      <c r="D523" s="49" t="s">
        <v>333</v>
      </c>
      <c r="E523" s="15">
        <v>2</v>
      </c>
      <c r="F523" s="100">
        <v>171971</v>
      </c>
      <c r="G523" s="18">
        <f>0+'táj.2'!G523</f>
        <v>0</v>
      </c>
      <c r="H523" s="18">
        <f>0+'táj.2'!H523</f>
        <v>0</v>
      </c>
      <c r="I523" s="18">
        <f>1000+'táj.2'!I523</f>
        <v>1000</v>
      </c>
      <c r="J523" s="18">
        <f>0+'táj.2'!J523</f>
        <v>0</v>
      </c>
      <c r="K523" s="18">
        <f>0+'táj.2'!K523</f>
        <v>0</v>
      </c>
      <c r="L523" s="18">
        <f>0+'táj.2'!L523</f>
        <v>0</v>
      </c>
      <c r="M523" s="18">
        <f>0+'táj.2'!M523</f>
        <v>0</v>
      </c>
      <c r="N523" s="18">
        <f>0+'táj.2'!N523</f>
        <v>0</v>
      </c>
      <c r="O523" s="18">
        <f>0+'táj.2'!O523</f>
        <v>0</v>
      </c>
      <c r="P523" s="18">
        <f>0+'táj.2'!P523</f>
        <v>0</v>
      </c>
      <c r="Q523" s="18">
        <f>SUM(I523:P523)</f>
        <v>1000</v>
      </c>
    </row>
    <row r="524" spans="1:17" ht="13.5" customHeight="1">
      <c r="A524" s="267"/>
      <c r="B524" s="267"/>
      <c r="C524" s="268"/>
      <c r="D524" s="120" t="s">
        <v>985</v>
      </c>
      <c r="E524" s="229"/>
      <c r="F524" s="520"/>
      <c r="G524" s="111">
        <f>SUM(G520:G523)</f>
        <v>0</v>
      </c>
      <c r="H524" s="111">
        <f>SUM(H520:H523)</f>
        <v>0</v>
      </c>
      <c r="I524" s="111">
        <f>SUM(I520:I523)</f>
        <v>12412</v>
      </c>
      <c r="J524" s="111">
        <f aca="true" t="shared" si="26" ref="J524:Q524">SUM(J520:J523)</f>
        <v>0</v>
      </c>
      <c r="K524" s="111">
        <f t="shared" si="26"/>
        <v>220</v>
      </c>
      <c r="L524" s="111">
        <f t="shared" si="26"/>
        <v>267</v>
      </c>
      <c r="M524" s="111">
        <f t="shared" si="26"/>
        <v>770</v>
      </c>
      <c r="N524" s="111">
        <f t="shared" si="26"/>
        <v>153</v>
      </c>
      <c r="O524" s="111">
        <f t="shared" si="26"/>
        <v>0</v>
      </c>
      <c r="P524" s="111">
        <f t="shared" si="26"/>
        <v>0</v>
      </c>
      <c r="Q524" s="111">
        <f t="shared" si="26"/>
        <v>13822</v>
      </c>
    </row>
    <row r="525" spans="1:17" ht="12.75" customHeight="1">
      <c r="A525" s="113"/>
      <c r="B525" s="113"/>
      <c r="C525" s="248"/>
      <c r="D525" s="157" t="s">
        <v>986</v>
      </c>
      <c r="E525" s="114"/>
      <c r="F525" s="331"/>
      <c r="G525" s="18"/>
      <c r="H525" s="231"/>
      <c r="I525" s="18"/>
      <c r="J525" s="18"/>
      <c r="K525" s="18"/>
      <c r="L525" s="18"/>
      <c r="M525" s="18"/>
      <c r="N525" s="18"/>
      <c r="O525" s="18"/>
      <c r="P525" s="18"/>
      <c r="Q525" s="18"/>
    </row>
    <row r="526" spans="1:17" ht="12.75" customHeight="1">
      <c r="A526" s="113"/>
      <c r="B526" s="113"/>
      <c r="C526" s="282" t="s">
        <v>1288</v>
      </c>
      <c r="D526" s="208" t="s">
        <v>152</v>
      </c>
      <c r="E526" s="283"/>
      <c r="F526" s="542"/>
      <c r="G526" s="284"/>
      <c r="H526" s="285"/>
      <c r="I526" s="284"/>
      <c r="J526" s="284"/>
      <c r="K526" s="284"/>
      <c r="L526" s="310"/>
      <c r="M526" s="284"/>
      <c r="N526" s="284"/>
      <c r="O526" s="284"/>
      <c r="P526" s="284"/>
      <c r="Q526" s="284"/>
    </row>
    <row r="527" spans="1:17" ht="12.75" customHeight="1">
      <c r="A527" s="113"/>
      <c r="B527" s="113"/>
      <c r="C527" s="659" t="s">
        <v>1338</v>
      </c>
      <c r="D527" s="709" t="s">
        <v>210</v>
      </c>
      <c r="E527" s="18"/>
      <c r="F527" s="100">
        <v>162126</v>
      </c>
      <c r="G527" s="202">
        <f>0+'táj.2'!G527</f>
        <v>0</v>
      </c>
      <c r="H527" s="202">
        <f>0+'táj.2'!H527</f>
        <v>0</v>
      </c>
      <c r="I527" s="202">
        <f>0+'táj.2'!I527</f>
        <v>0</v>
      </c>
      <c r="J527" s="202">
        <f>0+'táj.2'!J527</f>
        <v>0</v>
      </c>
      <c r="K527" s="202">
        <f>0+'táj.2'!K527</f>
        <v>0</v>
      </c>
      <c r="L527" s="202">
        <f>12447+'táj.2'!L527</f>
        <v>12447</v>
      </c>
      <c r="M527" s="202">
        <f>0+'táj.2'!M527</f>
        <v>0</v>
      </c>
      <c r="N527" s="202">
        <f>0+'táj.2'!N527</f>
        <v>0</v>
      </c>
      <c r="O527" s="202">
        <f>0+'táj.2'!O527</f>
        <v>0</v>
      </c>
      <c r="P527" s="202">
        <f>0+'táj.2'!P527</f>
        <v>0</v>
      </c>
      <c r="Q527" s="284">
        <f>SUM(G527:P527)</f>
        <v>12447</v>
      </c>
    </row>
    <row r="528" spans="1:17" ht="12.75" customHeight="1">
      <c r="A528" s="113"/>
      <c r="B528" s="113"/>
      <c r="C528" s="289"/>
      <c r="D528" s="354" t="s">
        <v>421</v>
      </c>
      <c r="E528" s="114"/>
      <c r="F528" s="331"/>
      <c r="G528" s="202"/>
      <c r="H528" s="202"/>
      <c r="I528" s="202"/>
      <c r="J528" s="202"/>
      <c r="K528" s="202"/>
      <c r="L528" s="202"/>
      <c r="M528" s="202"/>
      <c r="N528" s="202"/>
      <c r="O528" s="202"/>
      <c r="P528" s="202"/>
      <c r="Q528" s="18"/>
    </row>
    <row r="529" spans="1:17" ht="23.25" customHeight="1">
      <c r="A529" s="113"/>
      <c r="B529" s="113"/>
      <c r="C529" s="286" t="s">
        <v>1060</v>
      </c>
      <c r="D529" s="356" t="s">
        <v>1366</v>
      </c>
      <c r="E529" s="287"/>
      <c r="F529" s="544">
        <v>162112</v>
      </c>
      <c r="G529" s="202">
        <f>0+'táj.2'!G529</f>
        <v>0</v>
      </c>
      <c r="H529" s="202">
        <f>0+'táj.2'!H529</f>
        <v>0</v>
      </c>
      <c r="I529" s="202">
        <f>0+'táj.2'!I529</f>
        <v>0</v>
      </c>
      <c r="J529" s="202">
        <f>0+'táj.2'!J529</f>
        <v>0</v>
      </c>
      <c r="K529" s="202">
        <f>0+'táj.2'!K529</f>
        <v>0</v>
      </c>
      <c r="L529" s="202">
        <f>10000+'táj.2'!L529</f>
        <v>10000</v>
      </c>
      <c r="M529" s="202">
        <f>0+'táj.2'!M529</f>
        <v>0</v>
      </c>
      <c r="N529" s="202">
        <f>0+'táj.2'!N529</f>
        <v>0</v>
      </c>
      <c r="O529" s="202">
        <f>0+'táj.2'!O529</f>
        <v>0</v>
      </c>
      <c r="P529" s="202">
        <f>0+'táj.2'!P529</f>
        <v>0</v>
      </c>
      <c r="Q529" s="18">
        <f aca="true" t="shared" si="27" ref="Q529:Q571">SUM(G529:P529)</f>
        <v>10000</v>
      </c>
    </row>
    <row r="530" spans="1:17" ht="12.75" customHeight="1">
      <c r="A530" s="113"/>
      <c r="B530" s="113"/>
      <c r="C530" s="286" t="s">
        <v>1061</v>
      </c>
      <c r="D530" s="356" t="s">
        <v>1367</v>
      </c>
      <c r="E530" s="287"/>
      <c r="F530" s="544">
        <v>162107</v>
      </c>
      <c r="G530" s="202">
        <f>0+'táj.2'!G530</f>
        <v>0</v>
      </c>
      <c r="H530" s="202">
        <f>0+'táj.2'!H530</f>
        <v>0</v>
      </c>
      <c r="I530" s="202">
        <f>1750+'táj.2'!I530</f>
        <v>1750</v>
      </c>
      <c r="J530" s="202">
        <f>0+'táj.2'!J530</f>
        <v>0</v>
      </c>
      <c r="K530" s="202">
        <f>0+'táj.2'!K530</f>
        <v>0</v>
      </c>
      <c r="L530" s="202">
        <f>9659+'táj.2'!L530</f>
        <v>9659</v>
      </c>
      <c r="M530" s="202">
        <f>0+'táj.2'!M530</f>
        <v>0</v>
      </c>
      <c r="N530" s="202">
        <f>0+'táj.2'!N530</f>
        <v>0</v>
      </c>
      <c r="O530" s="202">
        <f>0+'táj.2'!O530</f>
        <v>0</v>
      </c>
      <c r="P530" s="202">
        <f>0+'táj.2'!P530</f>
        <v>0</v>
      </c>
      <c r="Q530" s="18">
        <f t="shared" si="27"/>
        <v>11409</v>
      </c>
    </row>
    <row r="531" spans="1:17" ht="12.75" customHeight="1">
      <c r="A531" s="113"/>
      <c r="B531" s="113"/>
      <c r="C531" s="286" t="s">
        <v>1062</v>
      </c>
      <c r="D531" s="356" t="s">
        <v>908</v>
      </c>
      <c r="E531" s="287"/>
      <c r="F531" s="544">
        <v>162108</v>
      </c>
      <c r="G531" s="202">
        <f>0+'táj.2'!G531</f>
        <v>0</v>
      </c>
      <c r="H531" s="202">
        <f>0+'táj.2'!H531</f>
        <v>0</v>
      </c>
      <c r="I531" s="202">
        <f>2887+'táj.2'!I531</f>
        <v>2887</v>
      </c>
      <c r="J531" s="202">
        <f>0+'táj.2'!J531</f>
        <v>0</v>
      </c>
      <c r="K531" s="202">
        <f>0+'táj.2'!K531</f>
        <v>0</v>
      </c>
      <c r="L531" s="202">
        <f>10911+'táj.2'!L531</f>
        <v>10911</v>
      </c>
      <c r="M531" s="202">
        <f>0+'táj.2'!M531</f>
        <v>0</v>
      </c>
      <c r="N531" s="202">
        <f>0+'táj.2'!N531</f>
        <v>0</v>
      </c>
      <c r="O531" s="202">
        <f>0+'táj.2'!O531</f>
        <v>0</v>
      </c>
      <c r="P531" s="202">
        <f>0+'táj.2'!P531</f>
        <v>0</v>
      </c>
      <c r="Q531" s="18">
        <f t="shared" si="27"/>
        <v>13798</v>
      </c>
    </row>
    <row r="532" spans="1:17" ht="24" customHeight="1">
      <c r="A532" s="113"/>
      <c r="B532" s="113"/>
      <c r="C532" s="286" t="s">
        <v>1063</v>
      </c>
      <c r="D532" s="293" t="s">
        <v>362</v>
      </c>
      <c r="E532" s="114"/>
      <c r="F532" s="331">
        <v>162111</v>
      </c>
      <c r="G532" s="202">
        <f>0+'táj.2'!G532</f>
        <v>0</v>
      </c>
      <c r="H532" s="202">
        <f>0+'táj.2'!H532</f>
        <v>0</v>
      </c>
      <c r="I532" s="202">
        <f>4285+'táj.2'!I532</f>
        <v>4280</v>
      </c>
      <c r="J532" s="202">
        <f>0+'táj.2'!J532</f>
        <v>0</v>
      </c>
      <c r="K532" s="202">
        <f>0+'táj.2'!K532</f>
        <v>0</v>
      </c>
      <c r="L532" s="202">
        <f>17065+'táj.2'!L532</f>
        <v>17070</v>
      </c>
      <c r="M532" s="202">
        <f>0+'táj.2'!M532</f>
        <v>0</v>
      </c>
      <c r="N532" s="202">
        <f>0+'táj.2'!N532</f>
        <v>0</v>
      </c>
      <c r="O532" s="202">
        <f>0+'táj.2'!O532</f>
        <v>0</v>
      </c>
      <c r="P532" s="202">
        <f>0+'táj.2'!P532</f>
        <v>0</v>
      </c>
      <c r="Q532" s="18">
        <f>SUM(G532:P532)</f>
        <v>21350</v>
      </c>
    </row>
    <row r="533" spans="1:17" ht="36" customHeight="1">
      <c r="A533" s="113"/>
      <c r="B533" s="113"/>
      <c r="C533" s="286" t="s">
        <v>42</v>
      </c>
      <c r="D533" s="329" t="s">
        <v>1202</v>
      </c>
      <c r="E533" s="287"/>
      <c r="F533" s="544">
        <v>162113</v>
      </c>
      <c r="G533" s="202">
        <f>0+'táj.2'!G533</f>
        <v>0</v>
      </c>
      <c r="H533" s="202">
        <f>0+'táj.2'!H533</f>
        <v>0</v>
      </c>
      <c r="I533" s="202">
        <f>0+'táj.2'!I533</f>
        <v>0</v>
      </c>
      <c r="J533" s="202">
        <f>0+'táj.2'!J533</f>
        <v>0</v>
      </c>
      <c r="K533" s="202">
        <f>0+'táj.2'!K533</f>
        <v>0</v>
      </c>
      <c r="L533" s="202">
        <f>5066+'táj.2'!L533</f>
        <v>5066</v>
      </c>
      <c r="M533" s="202">
        <f>0+'táj.2'!M533</f>
        <v>0</v>
      </c>
      <c r="N533" s="202">
        <f>0+'táj.2'!N533</f>
        <v>0</v>
      </c>
      <c r="O533" s="202">
        <f>0+'táj.2'!O533</f>
        <v>0</v>
      </c>
      <c r="P533" s="202">
        <f>0+'táj.2'!P533</f>
        <v>0</v>
      </c>
      <c r="Q533" s="18">
        <f t="shared" si="27"/>
        <v>5066</v>
      </c>
    </row>
    <row r="534" spans="1:17" ht="24.75" customHeight="1">
      <c r="A534" s="113"/>
      <c r="B534" s="113"/>
      <c r="C534" s="286" t="s">
        <v>1312</v>
      </c>
      <c r="D534" s="212" t="s">
        <v>1128</v>
      </c>
      <c r="E534" s="287"/>
      <c r="F534" s="544">
        <v>152113</v>
      </c>
      <c r="G534" s="202">
        <f>0+'táj.2'!G534</f>
        <v>0</v>
      </c>
      <c r="H534" s="202">
        <f>0+'táj.2'!H534</f>
        <v>0</v>
      </c>
      <c r="I534" s="202">
        <f>0+'táj.2'!I534</f>
        <v>0</v>
      </c>
      <c r="J534" s="202">
        <f>0+'táj.2'!J534</f>
        <v>0</v>
      </c>
      <c r="K534" s="202">
        <f>0+'táj.2'!K534</f>
        <v>0</v>
      </c>
      <c r="L534" s="202">
        <f>460+'táj.2'!L534</f>
        <v>460</v>
      </c>
      <c r="M534" s="202">
        <f>0+'táj.2'!M534</f>
        <v>0</v>
      </c>
      <c r="N534" s="202">
        <f>0+'táj.2'!N534</f>
        <v>0</v>
      </c>
      <c r="O534" s="202">
        <f>0+'táj.2'!O534</f>
        <v>0</v>
      </c>
      <c r="P534" s="202">
        <f>0+'táj.2'!P534</f>
        <v>0</v>
      </c>
      <c r="Q534" s="18">
        <f t="shared" si="27"/>
        <v>460</v>
      </c>
    </row>
    <row r="535" spans="1:17" ht="17.25" customHeight="1">
      <c r="A535" s="113"/>
      <c r="B535" s="113"/>
      <c r="C535" s="286" t="s">
        <v>499</v>
      </c>
      <c r="D535" s="281" t="s">
        <v>82</v>
      </c>
      <c r="E535" s="114"/>
      <c r="F535" s="331">
        <v>152123</v>
      </c>
      <c r="G535" s="202">
        <f>0+'táj.2'!G535</f>
        <v>0</v>
      </c>
      <c r="H535" s="202">
        <f>0+'táj.2'!H535</f>
        <v>0</v>
      </c>
      <c r="I535" s="202">
        <f>2974+'táj.2'!I535</f>
        <v>2974</v>
      </c>
      <c r="J535" s="202">
        <f>0+'táj.2'!J535</f>
        <v>0</v>
      </c>
      <c r="K535" s="202">
        <f>0+'táj.2'!K535</f>
        <v>0</v>
      </c>
      <c r="L535" s="202">
        <f>11366+'táj.2'!L535</f>
        <v>11366</v>
      </c>
      <c r="M535" s="202">
        <f>0+'táj.2'!M535</f>
        <v>0</v>
      </c>
      <c r="N535" s="202">
        <f>0+'táj.2'!N535</f>
        <v>0</v>
      </c>
      <c r="O535" s="202">
        <f>0+'táj.2'!O535</f>
        <v>0</v>
      </c>
      <c r="P535" s="202">
        <f>0+'táj.2'!P535</f>
        <v>0</v>
      </c>
      <c r="Q535" s="123">
        <f>SUM(G535:P535)</f>
        <v>14340</v>
      </c>
    </row>
    <row r="536" spans="1:17" ht="12.75" customHeight="1">
      <c r="A536" s="113"/>
      <c r="B536" s="113"/>
      <c r="C536" s="261" t="s">
        <v>1287</v>
      </c>
      <c r="D536" s="357" t="s">
        <v>433</v>
      </c>
      <c r="E536" s="114"/>
      <c r="F536" s="331"/>
      <c r="G536" s="202"/>
      <c r="H536" s="231"/>
      <c r="I536" s="18"/>
      <c r="J536" s="18"/>
      <c r="K536" s="18"/>
      <c r="L536" s="15"/>
      <c r="M536" s="18"/>
      <c r="N536" s="18"/>
      <c r="O536" s="18"/>
      <c r="P536" s="18"/>
      <c r="Q536" s="18"/>
    </row>
    <row r="537" spans="1:17" ht="12.75" customHeight="1">
      <c r="A537" s="113"/>
      <c r="B537" s="113"/>
      <c r="C537" s="262" t="s">
        <v>1053</v>
      </c>
      <c r="D537" s="364" t="s">
        <v>886</v>
      </c>
      <c r="E537" s="114"/>
      <c r="F537" s="331">
        <v>162214</v>
      </c>
      <c r="G537" s="202">
        <f>0+'táj.2'!G537</f>
        <v>0</v>
      </c>
      <c r="H537" s="202">
        <f>0+'táj.2'!H537</f>
        <v>0</v>
      </c>
      <c r="I537" s="202">
        <f>0+'táj.2'!I537</f>
        <v>0</v>
      </c>
      <c r="J537" s="202">
        <f>0+'táj.2'!J537</f>
        <v>0</v>
      </c>
      <c r="K537" s="202">
        <f>0+'táj.2'!K537</f>
        <v>0</v>
      </c>
      <c r="L537" s="202">
        <f>1012+'táj.2'!L537</f>
        <v>1012</v>
      </c>
      <c r="M537" s="202">
        <f>0+'táj.2'!M537</f>
        <v>0</v>
      </c>
      <c r="N537" s="202">
        <f>0+'táj.2'!N537</f>
        <v>0</v>
      </c>
      <c r="O537" s="202">
        <f>0+'táj.2'!O537</f>
        <v>0</v>
      </c>
      <c r="P537" s="202">
        <f>0+'táj.2'!P537</f>
        <v>0</v>
      </c>
      <c r="Q537" s="18">
        <f t="shared" si="27"/>
        <v>1012</v>
      </c>
    </row>
    <row r="538" spans="1:17" ht="28.5" customHeight="1">
      <c r="A538" s="113"/>
      <c r="B538" s="113"/>
      <c r="C538" s="262" t="s">
        <v>1315</v>
      </c>
      <c r="D538" s="651" t="s">
        <v>1238</v>
      </c>
      <c r="E538" s="114"/>
      <c r="F538" s="328">
        <v>164201</v>
      </c>
      <c r="G538" s="202">
        <f>0+'táj.2'!G538</f>
        <v>0</v>
      </c>
      <c r="H538" s="202">
        <f>0+'táj.2'!H538</f>
        <v>0</v>
      </c>
      <c r="I538" s="202">
        <f>7041+'táj.2'!I538</f>
        <v>7041</v>
      </c>
      <c r="J538" s="202">
        <f>0+'táj.2'!J538</f>
        <v>0</v>
      </c>
      <c r="K538" s="202">
        <f>0+'táj.2'!K538</f>
        <v>0</v>
      </c>
      <c r="L538" s="202">
        <f>0+'táj.2'!L538</f>
        <v>0</v>
      </c>
      <c r="M538" s="202">
        <f>69159+'táj.2'!M538</f>
        <v>69159</v>
      </c>
      <c r="N538" s="202">
        <f>0+'táj.2'!N538</f>
        <v>0</v>
      </c>
      <c r="O538" s="202">
        <f>0+'táj.2'!O538</f>
        <v>0</v>
      </c>
      <c r="P538" s="202">
        <f>0+'táj.2'!P538</f>
        <v>0</v>
      </c>
      <c r="Q538" s="18">
        <f t="shared" si="27"/>
        <v>76200</v>
      </c>
    </row>
    <row r="539" spans="1:17" ht="18" customHeight="1">
      <c r="A539" s="113"/>
      <c r="B539" s="113"/>
      <c r="C539" s="659" t="s">
        <v>322</v>
      </c>
      <c r="D539" s="651" t="s">
        <v>323</v>
      </c>
      <c r="E539" s="15"/>
      <c r="F539" s="100">
        <v>162216</v>
      </c>
      <c r="G539" s="202">
        <f>0+'táj.2'!G539</f>
        <v>0</v>
      </c>
      <c r="H539" s="202">
        <f>0+'táj.2'!H539</f>
        <v>0</v>
      </c>
      <c r="I539" s="202">
        <f>0+'táj.2'!I539</f>
        <v>0</v>
      </c>
      <c r="J539" s="202">
        <f>0+'táj.2'!J539</f>
        <v>0</v>
      </c>
      <c r="K539" s="202">
        <f>0+'táj.2'!K539</f>
        <v>0</v>
      </c>
      <c r="L539" s="202">
        <f>1380+'táj.2'!L539</f>
        <v>1380</v>
      </c>
      <c r="M539" s="202">
        <f>0+'táj.2'!M539</f>
        <v>0</v>
      </c>
      <c r="N539" s="202">
        <f>0+'táj.2'!N539</f>
        <v>0</v>
      </c>
      <c r="O539" s="202">
        <f>0+'táj.2'!O539</f>
        <v>0</v>
      </c>
      <c r="P539" s="202">
        <f>0+'táj.2'!P539</f>
        <v>0</v>
      </c>
      <c r="Q539" s="18">
        <f t="shared" si="27"/>
        <v>1380</v>
      </c>
    </row>
    <row r="540" spans="1:17" ht="18" customHeight="1">
      <c r="A540" s="113"/>
      <c r="B540" s="113"/>
      <c r="C540" s="289" t="s">
        <v>211</v>
      </c>
      <c r="D540" s="651" t="s">
        <v>212</v>
      </c>
      <c r="E540" s="15"/>
      <c r="F540" s="100">
        <v>162218</v>
      </c>
      <c r="G540" s="202">
        <f>0+'táj.2'!G540</f>
        <v>0</v>
      </c>
      <c r="H540" s="202">
        <f>0+'táj.2'!H540</f>
        <v>0</v>
      </c>
      <c r="I540" s="202">
        <f>0+'táj.2'!I540</f>
        <v>0</v>
      </c>
      <c r="J540" s="202">
        <f>0+'táj.2'!J540</f>
        <v>0</v>
      </c>
      <c r="K540" s="202">
        <f>0+'táj.2'!K540</f>
        <v>0</v>
      </c>
      <c r="L540" s="202">
        <f>3100+'táj.2'!L540</f>
        <v>3100</v>
      </c>
      <c r="M540" s="202">
        <f>0+'táj.2'!M540</f>
        <v>0</v>
      </c>
      <c r="N540" s="202">
        <f>0+'táj.2'!N540</f>
        <v>0</v>
      </c>
      <c r="O540" s="202">
        <f>0+'táj.2'!O540</f>
        <v>0</v>
      </c>
      <c r="P540" s="202">
        <f>0+'táj.2'!P540</f>
        <v>0</v>
      </c>
      <c r="Q540" s="18">
        <f t="shared" si="27"/>
        <v>3100</v>
      </c>
    </row>
    <row r="541" spans="1:17" ht="12.75" customHeight="1">
      <c r="A541" s="113"/>
      <c r="B541" s="113"/>
      <c r="C541" s="261"/>
      <c r="D541" s="358" t="s">
        <v>421</v>
      </c>
      <c r="E541" s="114"/>
      <c r="F541" s="331"/>
      <c r="G541" s="202"/>
      <c r="H541" s="231"/>
      <c r="I541" s="18"/>
      <c r="J541" s="18"/>
      <c r="K541" s="18"/>
      <c r="L541" s="15"/>
      <c r="M541" s="18"/>
      <c r="N541" s="18"/>
      <c r="O541" s="18"/>
      <c r="P541" s="18"/>
      <c r="Q541" s="18"/>
    </row>
    <row r="542" spans="1:17" ht="12.75" customHeight="1">
      <c r="A542" s="113"/>
      <c r="B542" s="113"/>
      <c r="C542" s="262" t="s">
        <v>341</v>
      </c>
      <c r="D542" s="293" t="s">
        <v>1368</v>
      </c>
      <c r="E542" s="114"/>
      <c r="F542" s="331">
        <v>162207</v>
      </c>
      <c r="G542" s="202">
        <f>0+'táj.2'!G542</f>
        <v>0</v>
      </c>
      <c r="H542" s="202">
        <f>0+'táj.2'!H542</f>
        <v>0</v>
      </c>
      <c r="I542" s="202">
        <f>2606+'táj.2'!I542</f>
        <v>2606</v>
      </c>
      <c r="J542" s="202">
        <f>0+'táj.2'!J542</f>
        <v>0</v>
      </c>
      <c r="K542" s="202">
        <f>0+'táj.2'!K542</f>
        <v>0</v>
      </c>
      <c r="L542" s="202">
        <f>10184+'táj.2'!L542</f>
        <v>10184</v>
      </c>
      <c r="M542" s="202">
        <f>0+'táj.2'!M542</f>
        <v>0</v>
      </c>
      <c r="N542" s="202">
        <f>0+'táj.2'!N542</f>
        <v>0</v>
      </c>
      <c r="O542" s="202">
        <f>0+'táj.2'!O542</f>
        <v>0</v>
      </c>
      <c r="P542" s="202">
        <f>0+'táj.2'!P542</f>
        <v>0</v>
      </c>
      <c r="Q542" s="18">
        <f t="shared" si="27"/>
        <v>12790</v>
      </c>
    </row>
    <row r="543" spans="1:17" ht="12.75" customHeight="1">
      <c r="A543" s="113"/>
      <c r="B543" s="113"/>
      <c r="C543" s="262" t="s">
        <v>342</v>
      </c>
      <c r="D543" s="334" t="s">
        <v>933</v>
      </c>
      <c r="E543" s="114"/>
      <c r="F543" s="331">
        <v>162208</v>
      </c>
      <c r="G543" s="202">
        <f>0+'táj.2'!G543</f>
        <v>0</v>
      </c>
      <c r="H543" s="202">
        <f>0+'táj.2'!H543</f>
        <v>0</v>
      </c>
      <c r="I543" s="202">
        <f>0+'táj.2'!I543</f>
        <v>0</v>
      </c>
      <c r="J543" s="202">
        <f>0+'táj.2'!J543</f>
        <v>0</v>
      </c>
      <c r="K543" s="202">
        <f>0+'táj.2'!K543</f>
        <v>0</v>
      </c>
      <c r="L543" s="202">
        <f>1419+'táj.2'!L543</f>
        <v>1419</v>
      </c>
      <c r="M543" s="202">
        <f>0+'táj.2'!M543</f>
        <v>0</v>
      </c>
      <c r="N543" s="202">
        <f>0+'táj.2'!N543</f>
        <v>0</v>
      </c>
      <c r="O543" s="202">
        <f>0+'táj.2'!O543</f>
        <v>0</v>
      </c>
      <c r="P543" s="202">
        <f>0+'táj.2'!P543</f>
        <v>0</v>
      </c>
      <c r="Q543" s="18">
        <f t="shared" si="27"/>
        <v>1419</v>
      </c>
    </row>
    <row r="544" spans="1:17" ht="12.75" customHeight="1">
      <c r="A544" s="113"/>
      <c r="B544" s="113"/>
      <c r="C544" s="262" t="s">
        <v>343</v>
      </c>
      <c r="D544" s="334" t="s">
        <v>934</v>
      </c>
      <c r="E544" s="114"/>
      <c r="F544" s="331">
        <v>162209</v>
      </c>
      <c r="G544" s="202">
        <f>0+'táj.2'!G544</f>
        <v>0</v>
      </c>
      <c r="H544" s="202">
        <f>0+'táj.2'!H544</f>
        <v>0</v>
      </c>
      <c r="I544" s="202">
        <f>3535+'táj.2'!I544</f>
        <v>3535</v>
      </c>
      <c r="J544" s="202">
        <f>0+'táj.2'!J544</f>
        <v>0</v>
      </c>
      <c r="K544" s="202">
        <f>0+'táj.2'!K544</f>
        <v>0</v>
      </c>
      <c r="L544" s="202">
        <f>13824+'táj.2'!L544</f>
        <v>13824</v>
      </c>
      <c r="M544" s="202">
        <f>0+'táj.2'!M544</f>
        <v>0</v>
      </c>
      <c r="N544" s="202">
        <f>0+'táj.2'!N544</f>
        <v>0</v>
      </c>
      <c r="O544" s="202">
        <f>0+'táj.2'!O544</f>
        <v>0</v>
      </c>
      <c r="P544" s="202">
        <f>0+'táj.2'!P544</f>
        <v>0</v>
      </c>
      <c r="Q544" s="18">
        <f t="shared" si="27"/>
        <v>17359</v>
      </c>
    </row>
    <row r="545" spans="1:17" ht="12.75" customHeight="1">
      <c r="A545" s="113"/>
      <c r="B545" s="113"/>
      <c r="C545" s="262" t="s">
        <v>344</v>
      </c>
      <c r="D545" s="335" t="s">
        <v>935</v>
      </c>
      <c r="E545" s="114"/>
      <c r="F545" s="331">
        <v>162210</v>
      </c>
      <c r="G545" s="202">
        <f>0+'táj.2'!G545</f>
        <v>0</v>
      </c>
      <c r="H545" s="202">
        <f>0+'táj.2'!H545</f>
        <v>0</v>
      </c>
      <c r="I545" s="202">
        <f>0+'táj.2'!I545</f>
        <v>0</v>
      </c>
      <c r="J545" s="202">
        <f>0+'táj.2'!J545</f>
        <v>0</v>
      </c>
      <c r="K545" s="202">
        <f>0+'táj.2'!K545</f>
        <v>0</v>
      </c>
      <c r="L545" s="202">
        <f>2432+'táj.2'!L545</f>
        <v>2432</v>
      </c>
      <c r="M545" s="202">
        <f>0+'táj.2'!M545</f>
        <v>0</v>
      </c>
      <c r="N545" s="202">
        <f>0+'táj.2'!N545</f>
        <v>0</v>
      </c>
      <c r="O545" s="202">
        <f>0+'táj.2'!O545</f>
        <v>0</v>
      </c>
      <c r="P545" s="202">
        <f>0+'táj.2'!P545</f>
        <v>0</v>
      </c>
      <c r="Q545" s="18">
        <f t="shared" si="27"/>
        <v>2432</v>
      </c>
    </row>
    <row r="546" spans="1:17" ht="12.75" customHeight="1">
      <c r="A546" s="113"/>
      <c r="B546" s="113"/>
      <c r="C546" s="262" t="s">
        <v>345</v>
      </c>
      <c r="D546" s="336" t="s">
        <v>936</v>
      </c>
      <c r="E546" s="114"/>
      <c r="F546" s="328">
        <v>162211</v>
      </c>
      <c r="G546" s="202">
        <f>0+'táj.2'!G546</f>
        <v>0</v>
      </c>
      <c r="H546" s="202">
        <f>0+'táj.2'!H546</f>
        <v>0</v>
      </c>
      <c r="I546" s="202">
        <f>0+'táj.2'!I546</f>
        <v>0</v>
      </c>
      <c r="J546" s="202">
        <f>0+'táj.2'!J546</f>
        <v>0</v>
      </c>
      <c r="K546" s="202">
        <f>0+'táj.2'!K546</f>
        <v>0</v>
      </c>
      <c r="L546" s="202">
        <f>508+'táj.2'!L546</f>
        <v>508</v>
      </c>
      <c r="M546" s="202">
        <f>0+'táj.2'!M546</f>
        <v>0</v>
      </c>
      <c r="N546" s="202">
        <f>0+'táj.2'!N546</f>
        <v>0</v>
      </c>
      <c r="O546" s="202">
        <f>0+'táj.2'!O546</f>
        <v>0</v>
      </c>
      <c r="P546" s="202">
        <f>0+'táj.2'!P546</f>
        <v>0</v>
      </c>
      <c r="Q546" s="18">
        <f t="shared" si="27"/>
        <v>508</v>
      </c>
    </row>
    <row r="547" spans="1:17" ht="12.75" customHeight="1">
      <c r="A547" s="113"/>
      <c r="B547" s="113"/>
      <c r="C547" s="262" t="s">
        <v>346</v>
      </c>
      <c r="D547" s="335" t="s">
        <v>937</v>
      </c>
      <c r="E547" s="114"/>
      <c r="F547" s="328">
        <v>162212</v>
      </c>
      <c r="G547" s="202">
        <f>0+'táj.2'!G547</f>
        <v>0</v>
      </c>
      <c r="H547" s="202">
        <f>0+'táj.2'!H547</f>
        <v>0</v>
      </c>
      <c r="I547" s="202">
        <f>0+'táj.2'!I547</f>
        <v>0</v>
      </c>
      <c r="J547" s="202">
        <f>0+'táj.2'!J547</f>
        <v>0</v>
      </c>
      <c r="K547" s="202">
        <f>0+'táj.2'!K547</f>
        <v>0</v>
      </c>
      <c r="L547" s="202">
        <f>712+'táj.2'!L547</f>
        <v>712</v>
      </c>
      <c r="M547" s="202">
        <f>0+'táj.2'!M547</f>
        <v>0</v>
      </c>
      <c r="N547" s="202">
        <f>0+'táj.2'!N547</f>
        <v>0</v>
      </c>
      <c r="O547" s="202">
        <f>0+'táj.2'!O547</f>
        <v>0</v>
      </c>
      <c r="P547" s="202">
        <f>0+'táj.2'!P547</f>
        <v>0</v>
      </c>
      <c r="Q547" s="18">
        <f t="shared" si="27"/>
        <v>712</v>
      </c>
    </row>
    <row r="548" spans="1:17" ht="12.75" customHeight="1">
      <c r="A548" s="113"/>
      <c r="B548" s="113"/>
      <c r="C548" s="263" t="s">
        <v>1289</v>
      </c>
      <c r="D548" s="270" t="s">
        <v>444</v>
      </c>
      <c r="E548" s="114"/>
      <c r="F548" s="331"/>
      <c r="G548" s="202"/>
      <c r="H548" s="231"/>
      <c r="I548" s="18"/>
      <c r="J548" s="18"/>
      <c r="K548" s="18"/>
      <c r="L548" s="18"/>
      <c r="M548" s="18"/>
      <c r="N548" s="18"/>
      <c r="O548" s="18"/>
      <c r="P548" s="18"/>
      <c r="Q548" s="18"/>
    </row>
    <row r="549" spans="1:17" ht="12.75" customHeight="1">
      <c r="A549" s="113"/>
      <c r="B549" s="113"/>
      <c r="C549" s="263" t="s">
        <v>1290</v>
      </c>
      <c r="D549" s="270" t="s">
        <v>1291</v>
      </c>
      <c r="E549" s="114"/>
      <c r="F549" s="331"/>
      <c r="G549" s="202"/>
      <c r="H549" s="231"/>
      <c r="I549" s="18"/>
      <c r="J549" s="18"/>
      <c r="K549" s="18"/>
      <c r="L549" s="18"/>
      <c r="M549" s="18"/>
      <c r="N549" s="18"/>
      <c r="O549" s="18"/>
      <c r="P549" s="18"/>
      <c r="Q549" s="18"/>
    </row>
    <row r="550" spans="1:17" ht="17.25" customHeight="1">
      <c r="A550" s="113"/>
      <c r="B550" s="113"/>
      <c r="C550" s="264" t="s">
        <v>1292</v>
      </c>
      <c r="D550" s="293" t="s">
        <v>363</v>
      </c>
      <c r="E550" s="114"/>
      <c r="F550" s="328">
        <v>162495</v>
      </c>
      <c r="G550" s="202">
        <f>0+'táj.2'!G550</f>
        <v>0</v>
      </c>
      <c r="H550" s="202">
        <f>0+'táj.2'!H550</f>
        <v>0</v>
      </c>
      <c r="I550" s="202">
        <f>0+'táj.2'!I550</f>
        <v>0</v>
      </c>
      <c r="J550" s="202">
        <f>0+'táj.2'!J550</f>
        <v>0</v>
      </c>
      <c r="K550" s="202">
        <f>0+'táj.2'!K550</f>
        <v>0</v>
      </c>
      <c r="L550" s="202">
        <f>0+'táj.2'!L550</f>
        <v>0</v>
      </c>
      <c r="M550" s="202">
        <f>0+'táj.2'!M550</f>
        <v>0</v>
      </c>
      <c r="N550" s="202">
        <f>0+'táj.2'!N550</f>
        <v>0</v>
      </c>
      <c r="O550" s="202">
        <f>0+'táj.2'!O550</f>
        <v>0</v>
      </c>
      <c r="P550" s="202">
        <f>0+'táj.2'!P550</f>
        <v>0</v>
      </c>
      <c r="Q550" s="18">
        <f t="shared" si="27"/>
        <v>0</v>
      </c>
    </row>
    <row r="551" spans="1:17" ht="16.5" customHeight="1">
      <c r="A551" s="113"/>
      <c r="B551" s="113"/>
      <c r="C551" s="264" t="s">
        <v>806</v>
      </c>
      <c r="D551" s="463" t="s">
        <v>647</v>
      </c>
      <c r="E551" s="114"/>
      <c r="F551" s="331">
        <v>152121</v>
      </c>
      <c r="G551" s="202">
        <f>0+'táj.2'!G551</f>
        <v>0</v>
      </c>
      <c r="H551" s="202">
        <f>0+'táj.2'!H551</f>
        <v>0</v>
      </c>
      <c r="I551" s="202">
        <f>0+'táj.2'!I551</f>
        <v>0</v>
      </c>
      <c r="J551" s="202">
        <f>0+'táj.2'!J551</f>
        <v>0</v>
      </c>
      <c r="K551" s="202">
        <f>0+'táj.2'!K551</f>
        <v>0</v>
      </c>
      <c r="L551" s="202">
        <f>0+'táj.2'!L551</f>
        <v>0</v>
      </c>
      <c r="M551" s="202">
        <f>0+'táj.2'!M551</f>
        <v>0</v>
      </c>
      <c r="N551" s="202">
        <f>0+'táj.2'!N551</f>
        <v>0</v>
      </c>
      <c r="O551" s="202">
        <f>0+'táj.2'!O551</f>
        <v>0</v>
      </c>
      <c r="P551" s="202">
        <f>0+'táj.2'!P551</f>
        <v>0</v>
      </c>
      <c r="Q551" s="18">
        <f t="shared" si="27"/>
        <v>0</v>
      </c>
    </row>
    <row r="552" spans="1:17" ht="15" customHeight="1">
      <c r="A552" s="113"/>
      <c r="B552" s="113"/>
      <c r="C552" s="264" t="s">
        <v>1372</v>
      </c>
      <c r="D552" s="464" t="s">
        <v>1458</v>
      </c>
      <c r="E552" s="114"/>
      <c r="F552" s="331">
        <v>164407</v>
      </c>
      <c r="G552" s="202">
        <f>0+'táj.2'!G552</f>
        <v>0</v>
      </c>
      <c r="H552" s="202">
        <f>0+'táj.2'!H552</f>
        <v>0</v>
      </c>
      <c r="I552" s="202">
        <f>457+'táj.2'!I552</f>
        <v>457</v>
      </c>
      <c r="J552" s="202">
        <f>0+'táj.2'!J552</f>
        <v>0</v>
      </c>
      <c r="K552" s="202">
        <f>0+'táj.2'!K552</f>
        <v>0</v>
      </c>
      <c r="L552" s="202">
        <f>0+'táj.2'!L552</f>
        <v>0</v>
      </c>
      <c r="M552" s="202">
        <f>543+'táj.2'!M552</f>
        <v>543</v>
      </c>
      <c r="N552" s="202">
        <f>0+'táj.2'!N552</f>
        <v>0</v>
      </c>
      <c r="O552" s="202">
        <f>0+'táj.2'!O552</f>
        <v>0</v>
      </c>
      <c r="P552" s="202">
        <f>0+'táj.2'!P552</f>
        <v>0</v>
      </c>
      <c r="Q552" s="18">
        <f t="shared" si="27"/>
        <v>1000</v>
      </c>
    </row>
    <row r="553" spans="1:17" ht="12.75" customHeight="1">
      <c r="A553" s="113"/>
      <c r="B553" s="113"/>
      <c r="C553" s="263"/>
      <c r="D553" s="359" t="s">
        <v>421</v>
      </c>
      <c r="E553" s="114"/>
      <c r="F553" s="331"/>
      <c r="G553" s="202"/>
      <c r="H553" s="231"/>
      <c r="I553" s="18"/>
      <c r="J553" s="18"/>
      <c r="K553" s="18"/>
      <c r="L553" s="15"/>
      <c r="M553" s="15"/>
      <c r="N553" s="18"/>
      <c r="O553" s="18"/>
      <c r="P553" s="18"/>
      <c r="Q553" s="18">
        <f>SUM(G553:P553)</f>
        <v>0</v>
      </c>
    </row>
    <row r="554" spans="1:17" ht="24" customHeight="1">
      <c r="A554" s="113"/>
      <c r="B554" s="113"/>
      <c r="C554" s="264" t="s">
        <v>1056</v>
      </c>
      <c r="D554" s="293" t="s">
        <v>1369</v>
      </c>
      <c r="E554" s="114"/>
      <c r="F554" s="331">
        <v>162413</v>
      </c>
      <c r="G554" s="202">
        <f>0+'táj.2'!G554</f>
        <v>0</v>
      </c>
      <c r="H554" s="202">
        <f>0+'táj.2'!H554</f>
        <v>0</v>
      </c>
      <c r="I554" s="202">
        <f>5116+'táj.2'!I554</f>
        <v>5116</v>
      </c>
      <c r="J554" s="202">
        <f>0+'táj.2'!J554</f>
        <v>0</v>
      </c>
      <c r="K554" s="202">
        <f>0+'táj.2'!K554</f>
        <v>0</v>
      </c>
      <c r="L554" s="202">
        <f>19326+'táj.2'!L554</f>
        <v>19326</v>
      </c>
      <c r="M554" s="202">
        <f>0+'táj.2'!M554</f>
        <v>0</v>
      </c>
      <c r="N554" s="202">
        <f>0+'táj.2'!N554</f>
        <v>0</v>
      </c>
      <c r="O554" s="202">
        <f>0+'táj.2'!O554</f>
        <v>0</v>
      </c>
      <c r="P554" s="202">
        <f>0+'táj.2'!P554</f>
        <v>0</v>
      </c>
      <c r="Q554" s="18">
        <f>SUM(G554:P554)</f>
        <v>24442</v>
      </c>
    </row>
    <row r="555" spans="1:17" ht="24.75" customHeight="1">
      <c r="A555" s="113"/>
      <c r="B555" s="113"/>
      <c r="C555" s="264" t="s">
        <v>1057</v>
      </c>
      <c r="D555" s="293" t="s">
        <v>1371</v>
      </c>
      <c r="E555" s="114"/>
      <c r="F555" s="331">
        <v>162458</v>
      </c>
      <c r="G555" s="202">
        <f>0+'táj.2'!G555</f>
        <v>0</v>
      </c>
      <c r="H555" s="202">
        <f>0+'táj.2'!H555</f>
        <v>0</v>
      </c>
      <c r="I555" s="202">
        <f>181+'táj.2'!I555</f>
        <v>181</v>
      </c>
      <c r="J555" s="202">
        <f>0+'táj.2'!J555</f>
        <v>0</v>
      </c>
      <c r="K555" s="202">
        <f>0+'táj.2'!K555</f>
        <v>0</v>
      </c>
      <c r="L555" s="202">
        <f>229+'táj.2'!L555</f>
        <v>229</v>
      </c>
      <c r="M555" s="202">
        <f>0+'táj.2'!M555</f>
        <v>0</v>
      </c>
      <c r="N555" s="202">
        <f>0+'táj.2'!N555</f>
        <v>0</v>
      </c>
      <c r="O555" s="202">
        <f>0+'táj.2'!O555</f>
        <v>0</v>
      </c>
      <c r="P555" s="202">
        <f>0+'táj.2'!P555</f>
        <v>0</v>
      </c>
      <c r="Q555" s="18">
        <f>SUM(G555:P555)</f>
        <v>410</v>
      </c>
    </row>
    <row r="556" spans="1:17" ht="12.75" customHeight="1">
      <c r="A556" s="113"/>
      <c r="B556" s="113"/>
      <c r="C556" s="264" t="s">
        <v>1058</v>
      </c>
      <c r="D556" s="293" t="s">
        <v>1370</v>
      </c>
      <c r="E556" s="114"/>
      <c r="F556" s="331">
        <v>162486</v>
      </c>
      <c r="G556" s="202">
        <f>0+'táj.2'!G556</f>
        <v>0</v>
      </c>
      <c r="H556" s="202">
        <f>0+'táj.2'!H556</f>
        <v>0</v>
      </c>
      <c r="I556" s="202">
        <f>0+'táj.2'!I556</f>
        <v>0</v>
      </c>
      <c r="J556" s="202">
        <f>0+'táj.2'!J556</f>
        <v>0</v>
      </c>
      <c r="K556" s="202">
        <f>0+'táj.2'!K556</f>
        <v>0</v>
      </c>
      <c r="L556" s="202">
        <f>0+'táj.2'!L556</f>
        <v>0</v>
      </c>
      <c r="M556" s="202">
        <f>19650+'táj.2'!M556</f>
        <v>19650</v>
      </c>
      <c r="N556" s="202">
        <f>0+'táj.2'!N556</f>
        <v>0</v>
      </c>
      <c r="O556" s="202">
        <f>0+'táj.2'!O556</f>
        <v>0</v>
      </c>
      <c r="P556" s="202">
        <f>0+'táj.2'!P556</f>
        <v>0</v>
      </c>
      <c r="Q556" s="18">
        <f>SUM(G556:P556)</f>
        <v>19650</v>
      </c>
    </row>
    <row r="557" spans="1:17" ht="12.75" customHeight="1">
      <c r="A557" s="113"/>
      <c r="B557" s="113"/>
      <c r="C557" s="263" t="s">
        <v>1252</v>
      </c>
      <c r="D557" s="228" t="s">
        <v>150</v>
      </c>
      <c r="E557" s="114"/>
      <c r="F557" s="331"/>
      <c r="G557" s="202"/>
      <c r="H557" s="202"/>
      <c r="I557" s="202"/>
      <c r="J557" s="202"/>
      <c r="K557" s="202"/>
      <c r="L557" s="202"/>
      <c r="M557" s="202"/>
      <c r="N557" s="202"/>
      <c r="O557" s="202"/>
      <c r="P557" s="202"/>
      <c r="Q557" s="18"/>
    </row>
    <row r="558" spans="1:17" ht="12.75" customHeight="1">
      <c r="A558" s="113"/>
      <c r="B558" s="113"/>
      <c r="C558" s="660" t="s">
        <v>324</v>
      </c>
      <c r="D558" s="15" t="s">
        <v>325</v>
      </c>
      <c r="E558" s="18"/>
      <c r="F558" s="100">
        <v>162215</v>
      </c>
      <c r="G558" s="202">
        <f>0+'táj.2'!G558</f>
        <v>0</v>
      </c>
      <c r="H558" s="202">
        <f>0+'táj.2'!H558</f>
        <v>0</v>
      </c>
      <c r="I558" s="202">
        <f>76+'táj.2'!I558</f>
        <v>76</v>
      </c>
      <c r="J558" s="202">
        <f>0+'táj.2'!J558</f>
        <v>0</v>
      </c>
      <c r="K558" s="202">
        <f>0+'táj.2'!K558</f>
        <v>0</v>
      </c>
      <c r="L558" s="202">
        <f>1288+'táj.2'!L558</f>
        <v>1288</v>
      </c>
      <c r="M558" s="202">
        <f>0+'táj.2'!M558</f>
        <v>0</v>
      </c>
      <c r="N558" s="202">
        <f>0+'táj.2'!N558</f>
        <v>0</v>
      </c>
      <c r="O558" s="202">
        <f>0+'táj.2'!O558</f>
        <v>0</v>
      </c>
      <c r="P558" s="202">
        <f>0+'táj.2'!P558</f>
        <v>0</v>
      </c>
      <c r="Q558" s="18">
        <f t="shared" si="27"/>
        <v>1364</v>
      </c>
    </row>
    <row r="559" spans="1:17" ht="12.75" customHeight="1">
      <c r="A559" s="113"/>
      <c r="B559" s="113"/>
      <c r="C559" s="263"/>
      <c r="D559" s="358" t="s">
        <v>421</v>
      </c>
      <c r="E559" s="114"/>
      <c r="F559" s="331"/>
      <c r="G559" s="202"/>
      <c r="H559" s="231"/>
      <c r="I559" s="18"/>
      <c r="J559" s="18"/>
      <c r="K559" s="18"/>
      <c r="L559" s="15"/>
      <c r="M559" s="15"/>
      <c r="N559" s="18"/>
      <c r="O559" s="18"/>
      <c r="P559" s="18"/>
      <c r="Q559" s="18"/>
    </row>
    <row r="560" spans="1:17" ht="12.75" customHeight="1">
      <c r="A560" s="113"/>
      <c r="B560" s="113"/>
      <c r="C560" s="264" t="s">
        <v>205</v>
      </c>
      <c r="D560" s="340" t="s">
        <v>1361</v>
      </c>
      <c r="E560" s="114"/>
      <c r="F560" s="331">
        <v>162501</v>
      </c>
      <c r="G560" s="202">
        <f>0+'táj.2'!G560</f>
        <v>0</v>
      </c>
      <c r="H560" s="202">
        <f>0+'táj.2'!H560</f>
        <v>0</v>
      </c>
      <c r="I560" s="202">
        <f>2+'táj.2'!I560</f>
        <v>2</v>
      </c>
      <c r="J560" s="202">
        <f>0+'táj.2'!J560</f>
        <v>0</v>
      </c>
      <c r="K560" s="202">
        <f>0+'táj.2'!K560</f>
        <v>0</v>
      </c>
      <c r="L560" s="202">
        <f>4195+'táj.2'!L560</f>
        <v>4195</v>
      </c>
      <c r="M560" s="202">
        <f>0+'táj.2'!M560</f>
        <v>0</v>
      </c>
      <c r="N560" s="202">
        <f>0+'táj.2'!N560</f>
        <v>0</v>
      </c>
      <c r="O560" s="202">
        <f>0+'táj.2'!O560</f>
        <v>0</v>
      </c>
      <c r="P560" s="202">
        <f>0+'táj.2'!P560</f>
        <v>0</v>
      </c>
      <c r="Q560" s="18">
        <f t="shared" si="27"/>
        <v>4197</v>
      </c>
    </row>
    <row r="561" spans="1:17" ht="12.75" customHeight="1">
      <c r="A561" s="113"/>
      <c r="B561" s="113"/>
      <c r="C561" s="263" t="s">
        <v>1250</v>
      </c>
      <c r="D561" s="270" t="s">
        <v>492</v>
      </c>
      <c r="E561" s="114"/>
      <c r="F561" s="331"/>
      <c r="G561" s="202"/>
      <c r="H561" s="231"/>
      <c r="I561" s="18"/>
      <c r="J561" s="18"/>
      <c r="K561" s="18"/>
      <c r="L561" s="15"/>
      <c r="M561" s="15"/>
      <c r="N561" s="202">
        <f>0+'táj.2'!N561</f>
        <v>0</v>
      </c>
      <c r="O561" s="18"/>
      <c r="P561" s="18"/>
      <c r="Q561" s="18"/>
    </row>
    <row r="562" spans="1:17" ht="12.75" customHeight="1">
      <c r="A562" s="113"/>
      <c r="B562" s="113"/>
      <c r="C562" s="264" t="s">
        <v>1251</v>
      </c>
      <c r="D562" s="265" t="s">
        <v>1055</v>
      </c>
      <c r="E562" s="114"/>
      <c r="F562" s="331">
        <v>162601</v>
      </c>
      <c r="G562" s="202">
        <f>0+'táj.2'!G562</f>
        <v>0</v>
      </c>
      <c r="H562" s="202">
        <f>0+'táj.2'!H562</f>
        <v>0</v>
      </c>
      <c r="I562" s="202">
        <f>1178+'táj.2'!I562</f>
        <v>3566</v>
      </c>
      <c r="J562" s="202">
        <f>0+'táj.2'!J562</f>
        <v>0</v>
      </c>
      <c r="K562" s="202">
        <f>0+'táj.2'!K562</f>
        <v>0</v>
      </c>
      <c r="L562" s="202">
        <f>6087+'táj.2'!L562</f>
        <v>5124</v>
      </c>
      <c r="M562" s="202">
        <f>10794+'táj.2'!M562</f>
        <v>9263</v>
      </c>
      <c r="N562" s="202">
        <f>0+'táj.2'!N562</f>
        <v>0</v>
      </c>
      <c r="O562" s="202">
        <f>0+'táj.2'!O562</f>
        <v>0</v>
      </c>
      <c r="P562" s="202">
        <f>0+'táj.2'!P562</f>
        <v>0</v>
      </c>
      <c r="Q562" s="18">
        <f t="shared" si="27"/>
        <v>17953</v>
      </c>
    </row>
    <row r="563" spans="1:17" ht="27.75" customHeight="1">
      <c r="A563" s="113"/>
      <c r="B563" s="113"/>
      <c r="C563" s="264" t="s">
        <v>1040</v>
      </c>
      <c r="D563" s="361" t="s">
        <v>1005</v>
      </c>
      <c r="E563" s="114" t="s">
        <v>773</v>
      </c>
      <c r="F563" s="331">
        <v>162683</v>
      </c>
      <c r="G563" s="202">
        <f>0+'táj.2'!G563</f>
        <v>0</v>
      </c>
      <c r="H563" s="202">
        <f>0+'táj.2'!H563</f>
        <v>0</v>
      </c>
      <c r="I563" s="202">
        <f>0+'táj.2'!I563</f>
        <v>0</v>
      </c>
      <c r="J563" s="202">
        <f>0+'táj.2'!J563</f>
        <v>0</v>
      </c>
      <c r="K563" s="202">
        <f>0+'táj.2'!K563</f>
        <v>0</v>
      </c>
      <c r="L563" s="202">
        <f>42200+'táj.2'!L563</f>
        <v>42200</v>
      </c>
      <c r="M563" s="202">
        <f>0+'táj.2'!M563</f>
        <v>0</v>
      </c>
      <c r="N563" s="202">
        <f>0+'táj.2'!N563</f>
        <v>0</v>
      </c>
      <c r="O563" s="202">
        <f>0+'táj.2'!O563</f>
        <v>0</v>
      </c>
      <c r="P563" s="202">
        <f>0+'táj.2'!P563</f>
        <v>0</v>
      </c>
      <c r="Q563" s="18">
        <f t="shared" si="27"/>
        <v>42200</v>
      </c>
    </row>
    <row r="564" spans="1:17" ht="25.5" customHeight="1">
      <c r="A564" s="113"/>
      <c r="B564" s="113"/>
      <c r="C564" s="264" t="s">
        <v>1041</v>
      </c>
      <c r="D564" s="226" t="s">
        <v>347</v>
      </c>
      <c r="E564" s="114" t="s">
        <v>773</v>
      </c>
      <c r="F564" s="331">
        <v>162403</v>
      </c>
      <c r="G564" s="202">
        <f>0+'táj.2'!G564</f>
        <v>0</v>
      </c>
      <c r="H564" s="202">
        <f>0+'táj.2'!H564</f>
        <v>0</v>
      </c>
      <c r="I564" s="202">
        <f>0+'táj.2'!I564</f>
        <v>0</v>
      </c>
      <c r="J564" s="202">
        <f>0+'táj.2'!J564</f>
        <v>0</v>
      </c>
      <c r="K564" s="202">
        <f>0+'táj.2'!K564</f>
        <v>0</v>
      </c>
      <c r="L564" s="202">
        <f>36652+'táj.2'!L564</f>
        <v>36652</v>
      </c>
      <c r="M564" s="202">
        <f>0+'táj.2'!M564</f>
        <v>0</v>
      </c>
      <c r="N564" s="202">
        <f>0+'táj.2'!N564</f>
        <v>0</v>
      </c>
      <c r="O564" s="202">
        <f>0+'táj.2'!O564</f>
        <v>0</v>
      </c>
      <c r="P564" s="202">
        <f>0+'táj.2'!P564</f>
        <v>0</v>
      </c>
      <c r="Q564" s="18">
        <f>SUM(G564:P564)</f>
        <v>36652</v>
      </c>
    </row>
    <row r="565" spans="1:17" ht="12.75" customHeight="1">
      <c r="A565" s="113"/>
      <c r="B565" s="113"/>
      <c r="C565" s="264"/>
      <c r="D565" s="358" t="s">
        <v>421</v>
      </c>
      <c r="E565" s="114"/>
      <c r="F565" s="331"/>
      <c r="G565" s="202"/>
      <c r="H565" s="231"/>
      <c r="I565" s="18"/>
      <c r="J565" s="18"/>
      <c r="K565" s="18"/>
      <c r="L565" s="18"/>
      <c r="M565" s="18"/>
      <c r="N565" s="18"/>
      <c r="O565" s="18"/>
      <c r="P565" s="18"/>
      <c r="Q565" s="18"/>
    </row>
    <row r="566" spans="1:17" ht="12.75" customHeight="1">
      <c r="A566" s="113"/>
      <c r="B566" s="113"/>
      <c r="C566" s="264" t="s">
        <v>1499</v>
      </c>
      <c r="D566" s="362" t="s">
        <v>887</v>
      </c>
      <c r="E566" s="114"/>
      <c r="F566" s="331">
        <v>162602</v>
      </c>
      <c r="G566" s="202">
        <f>0+'táj.2'!G566</f>
        <v>0</v>
      </c>
      <c r="H566" s="202">
        <f>0+'táj.2'!H566</f>
        <v>0</v>
      </c>
      <c r="I566" s="202">
        <f>0+'táj.2'!I566</f>
        <v>0</v>
      </c>
      <c r="J566" s="202">
        <f>0+'táj.2'!J566</f>
        <v>0</v>
      </c>
      <c r="K566" s="202">
        <f>0+'táj.2'!K566</f>
        <v>0</v>
      </c>
      <c r="L566" s="202">
        <f>5262+'táj.2'!L566</f>
        <v>5487</v>
      </c>
      <c r="M566" s="202">
        <f>0+'táj.2'!M566</f>
        <v>0</v>
      </c>
      <c r="N566" s="202">
        <f>0+'táj.2'!N566</f>
        <v>0</v>
      </c>
      <c r="O566" s="202">
        <f>0+'táj.2'!O566</f>
        <v>0</v>
      </c>
      <c r="P566" s="202">
        <f>0+'táj.2'!P566</f>
        <v>0</v>
      </c>
      <c r="Q566" s="18">
        <f t="shared" si="27"/>
        <v>5487</v>
      </c>
    </row>
    <row r="567" spans="1:17" ht="24" customHeight="1">
      <c r="A567" s="113"/>
      <c r="B567" s="113"/>
      <c r="C567" s="264" t="s">
        <v>101</v>
      </c>
      <c r="D567" s="448" t="s">
        <v>861</v>
      </c>
      <c r="E567" s="114"/>
      <c r="F567" s="331">
        <v>162614</v>
      </c>
      <c r="G567" s="202">
        <f>0+'táj.2'!G567</f>
        <v>0</v>
      </c>
      <c r="H567" s="202">
        <f>0+'táj.2'!H567</f>
        <v>0</v>
      </c>
      <c r="I567" s="202">
        <f>0+'táj.2'!I567</f>
        <v>0</v>
      </c>
      <c r="J567" s="202">
        <f>0+'táj.2'!J567</f>
        <v>0</v>
      </c>
      <c r="K567" s="202">
        <f>0+'táj.2'!K567</f>
        <v>0</v>
      </c>
      <c r="L567" s="202">
        <f>0+'táj.2'!L567</f>
        <v>0</v>
      </c>
      <c r="M567" s="202">
        <f>0+'táj.2'!M567</f>
        <v>0</v>
      </c>
      <c r="N567" s="202">
        <f>32007+'táj.2'!N567</f>
        <v>32007</v>
      </c>
      <c r="O567" s="202">
        <f>0+'táj.2'!O567</f>
        <v>0</v>
      </c>
      <c r="P567" s="202">
        <f>0+'táj.2'!P567</f>
        <v>0</v>
      </c>
      <c r="Q567" s="18">
        <f t="shared" si="27"/>
        <v>32007</v>
      </c>
    </row>
    <row r="568" spans="1:17" ht="12.75" customHeight="1">
      <c r="A568" s="113"/>
      <c r="B568" s="113"/>
      <c r="C568" s="264" t="s">
        <v>103</v>
      </c>
      <c r="D568" s="363" t="s">
        <v>918</v>
      </c>
      <c r="E568" s="114"/>
      <c r="F568" s="331">
        <v>162451</v>
      </c>
      <c r="G568" s="202">
        <f>0+'táj.2'!G568</f>
        <v>0</v>
      </c>
      <c r="H568" s="202">
        <f>0+'táj.2'!H568</f>
        <v>0</v>
      </c>
      <c r="I568" s="202">
        <f>0+'táj.2'!I568</f>
        <v>0</v>
      </c>
      <c r="J568" s="202">
        <f>0+'táj.2'!J568</f>
        <v>0</v>
      </c>
      <c r="K568" s="202">
        <f>0+'táj.2'!K568</f>
        <v>0</v>
      </c>
      <c r="L568" s="202">
        <f>295+'táj.2'!L568</f>
        <v>295</v>
      </c>
      <c r="M568" s="202">
        <f>0+'táj.2'!M568</f>
        <v>0</v>
      </c>
      <c r="N568" s="202">
        <f>0+'táj.2'!N568</f>
        <v>0</v>
      </c>
      <c r="O568" s="202">
        <f>0+'táj.2'!O568</f>
        <v>0</v>
      </c>
      <c r="P568" s="202">
        <f>0+'táj.2'!P568</f>
        <v>0</v>
      </c>
      <c r="Q568" s="18">
        <f t="shared" si="27"/>
        <v>295</v>
      </c>
    </row>
    <row r="569" spans="1:17" ht="12.75" customHeight="1">
      <c r="A569" s="113"/>
      <c r="B569" s="113"/>
      <c r="C569" s="264" t="s">
        <v>104</v>
      </c>
      <c r="D569" s="332" t="s">
        <v>938</v>
      </c>
      <c r="E569" s="114"/>
      <c r="F569" s="331">
        <v>162686</v>
      </c>
      <c r="G569" s="202">
        <f>0+'táj.2'!G569</f>
        <v>0</v>
      </c>
      <c r="H569" s="202">
        <f>0+'táj.2'!H569</f>
        <v>0</v>
      </c>
      <c r="I569" s="202">
        <f>9906+'táj.2'!I569</f>
        <v>9906</v>
      </c>
      <c r="J569" s="202">
        <f>0+'táj.2'!J569</f>
        <v>0</v>
      </c>
      <c r="K569" s="202">
        <f>0+'táj.2'!K569</f>
        <v>0</v>
      </c>
      <c r="L569" s="202">
        <f>0+'táj.2'!L569</f>
        <v>0</v>
      </c>
      <c r="M569" s="202">
        <f>0+'táj.2'!M569</f>
        <v>0</v>
      </c>
      <c r="N569" s="202">
        <f>0+'táj.2'!N569</f>
        <v>0</v>
      </c>
      <c r="O569" s="202">
        <f>0+'táj.2'!O569</f>
        <v>0</v>
      </c>
      <c r="P569" s="202">
        <f>0+'táj.2'!P569</f>
        <v>0</v>
      </c>
      <c r="Q569" s="18">
        <f t="shared" si="27"/>
        <v>9906</v>
      </c>
    </row>
    <row r="570" spans="1:17" ht="24" customHeight="1">
      <c r="A570" s="113"/>
      <c r="B570" s="113"/>
      <c r="C570" s="264" t="s">
        <v>105</v>
      </c>
      <c r="D570" s="332" t="s">
        <v>1042</v>
      </c>
      <c r="E570" s="114"/>
      <c r="F570" s="331">
        <v>162606</v>
      </c>
      <c r="G570" s="202">
        <f>0+'táj.2'!G570</f>
        <v>0</v>
      </c>
      <c r="H570" s="202">
        <f>0+'táj.2'!H570</f>
        <v>0</v>
      </c>
      <c r="I570" s="202">
        <f>10000+'táj.2'!I570</f>
        <v>10000</v>
      </c>
      <c r="J570" s="202">
        <f>0+'táj.2'!J570</f>
        <v>0</v>
      </c>
      <c r="K570" s="202">
        <f>0+'táj.2'!K570</f>
        <v>0</v>
      </c>
      <c r="L570" s="202">
        <f>0+'táj.2'!L570</f>
        <v>0</v>
      </c>
      <c r="M570" s="202">
        <f>0+'táj.2'!M570</f>
        <v>0</v>
      </c>
      <c r="N570" s="202">
        <f>0+'táj.2'!N570</f>
        <v>0</v>
      </c>
      <c r="O570" s="202">
        <f>0+'táj.2'!O570</f>
        <v>0</v>
      </c>
      <c r="P570" s="202">
        <f>0+'táj.2'!P570</f>
        <v>0</v>
      </c>
      <c r="Q570" s="18">
        <f t="shared" si="27"/>
        <v>10000</v>
      </c>
    </row>
    <row r="571" spans="1:17" ht="24" customHeight="1">
      <c r="A571" s="113"/>
      <c r="B571" s="113"/>
      <c r="C571" s="652" t="s">
        <v>326</v>
      </c>
      <c r="D571" s="661" t="s">
        <v>327</v>
      </c>
      <c r="E571" s="15"/>
      <c r="F571" s="100">
        <v>162678</v>
      </c>
      <c r="G571" s="202">
        <f>0+'táj.2'!G571</f>
        <v>0</v>
      </c>
      <c r="H571" s="202">
        <f>0+'táj.2'!H571</f>
        <v>0</v>
      </c>
      <c r="I571" s="202">
        <f>0+'táj.2'!I571</f>
        <v>0</v>
      </c>
      <c r="J571" s="202">
        <f>0+'táj.2'!J571</f>
        <v>0</v>
      </c>
      <c r="K571" s="202">
        <f>0+'táj.2'!K571</f>
        <v>0</v>
      </c>
      <c r="L571" s="202">
        <f>3500+'táj.2'!L571</f>
        <v>3500</v>
      </c>
      <c r="M571" s="202">
        <f>0+'táj.2'!M571</f>
        <v>0</v>
      </c>
      <c r="N571" s="202">
        <f>0+'táj.2'!N571</f>
        <v>0</v>
      </c>
      <c r="O571" s="202">
        <f>0+'táj.2'!O571</f>
        <v>0</v>
      </c>
      <c r="P571" s="202">
        <f>0+'táj.2'!P571</f>
        <v>0</v>
      </c>
      <c r="Q571" s="18">
        <f t="shared" si="27"/>
        <v>3500</v>
      </c>
    </row>
    <row r="572" spans="1:17" ht="12.75" customHeight="1">
      <c r="A572" s="113" t="s">
        <v>1283</v>
      </c>
      <c r="B572" s="113"/>
      <c r="C572" s="263" t="s">
        <v>990</v>
      </c>
      <c r="D572" s="270" t="s">
        <v>1254</v>
      </c>
      <c r="E572" s="114"/>
      <c r="F572" s="331"/>
      <c r="G572" s="202"/>
      <c r="H572" s="231"/>
      <c r="I572" s="18"/>
      <c r="J572" s="18"/>
      <c r="K572" s="18"/>
      <c r="L572" s="18"/>
      <c r="M572" s="18"/>
      <c r="N572" s="18"/>
      <c r="O572" s="18"/>
      <c r="P572" s="18"/>
      <c r="Q572" s="18"/>
    </row>
    <row r="573" spans="1:17" ht="12.75" customHeight="1">
      <c r="A573" s="113"/>
      <c r="B573" s="113"/>
      <c r="C573" s="264"/>
      <c r="D573" s="358" t="s">
        <v>421</v>
      </c>
      <c r="E573" s="114"/>
      <c r="F573" s="331"/>
      <c r="G573" s="202"/>
      <c r="H573" s="231"/>
      <c r="I573" s="18"/>
      <c r="J573" s="18"/>
      <c r="K573" s="18"/>
      <c r="L573" s="18"/>
      <c r="M573" s="18"/>
      <c r="N573" s="18"/>
      <c r="O573" s="18"/>
      <c r="P573" s="18"/>
      <c r="Q573" s="18"/>
    </row>
    <row r="574" spans="1:17" ht="25.5" customHeight="1">
      <c r="A574" s="113"/>
      <c r="B574" s="113"/>
      <c r="C574" s="264" t="s">
        <v>144</v>
      </c>
      <c r="D574" s="269" t="s">
        <v>1051</v>
      </c>
      <c r="E574" s="114"/>
      <c r="F574" s="331">
        <v>162701</v>
      </c>
      <c r="G574" s="202">
        <f>0+'táj.2'!G574</f>
        <v>0</v>
      </c>
      <c r="H574" s="202">
        <f>0+'táj.2'!H574</f>
        <v>0</v>
      </c>
      <c r="I574" s="202">
        <f>1600+'táj.2'!I574</f>
        <v>1600</v>
      </c>
      <c r="J574" s="202">
        <f>0+'táj.2'!J574</f>
        <v>0</v>
      </c>
      <c r="K574" s="202">
        <f>0+'táj.2'!K574</f>
        <v>0</v>
      </c>
      <c r="L574" s="202">
        <f>4650+'táj.2'!L574</f>
        <v>4650</v>
      </c>
      <c r="M574" s="202">
        <f>0+'táj.2'!M574</f>
        <v>0</v>
      </c>
      <c r="N574" s="202">
        <f>0+'táj.2'!N574</f>
        <v>0</v>
      </c>
      <c r="O574" s="202">
        <f>0+'táj.2'!O574</f>
        <v>0</v>
      </c>
      <c r="P574" s="202">
        <f>0+'táj.2'!P574</f>
        <v>0</v>
      </c>
      <c r="Q574" s="18">
        <f>SUM(G574:P574)</f>
        <v>6250</v>
      </c>
    </row>
    <row r="575" spans="1:17" ht="12.75" customHeight="1">
      <c r="A575" s="113"/>
      <c r="B575" s="113"/>
      <c r="C575" s="263" t="s">
        <v>1255</v>
      </c>
      <c r="D575" s="270" t="s">
        <v>1256</v>
      </c>
      <c r="E575" s="114"/>
      <c r="F575" s="331"/>
      <c r="G575" s="202"/>
      <c r="H575" s="231"/>
      <c r="I575" s="18"/>
      <c r="J575" s="18"/>
      <c r="K575" s="18"/>
      <c r="L575" s="18"/>
      <c r="M575" s="18"/>
      <c r="N575" s="18"/>
      <c r="O575" s="18"/>
      <c r="P575" s="18"/>
      <c r="Q575" s="18"/>
    </row>
    <row r="576" spans="1:17" ht="12.75" customHeight="1">
      <c r="A576" s="113"/>
      <c r="B576" s="113"/>
      <c r="C576" s="264" t="s">
        <v>372</v>
      </c>
      <c r="D576" s="298" t="s">
        <v>364</v>
      </c>
      <c r="E576" s="114"/>
      <c r="F576" s="331">
        <v>162805</v>
      </c>
      <c r="G576" s="202">
        <f>0+'táj.2'!G576</f>
        <v>0</v>
      </c>
      <c r="H576" s="202">
        <f>0+'táj.2'!H576</f>
        <v>0</v>
      </c>
      <c r="I576" s="202">
        <f>1000+'táj.2'!I576</f>
        <v>0</v>
      </c>
      <c r="J576" s="202">
        <f>0+'táj.2'!J576</f>
        <v>0</v>
      </c>
      <c r="K576" s="202">
        <f>0+'táj.2'!K576</f>
        <v>0</v>
      </c>
      <c r="L576" s="202">
        <f>1267+'táj.2'!L576</f>
        <v>2540</v>
      </c>
      <c r="M576" s="202">
        <f>0+'táj.2'!M576</f>
        <v>0</v>
      </c>
      <c r="N576" s="202">
        <f>0+'táj.2'!N576</f>
        <v>0</v>
      </c>
      <c r="O576" s="202">
        <f>0+'táj.2'!O576</f>
        <v>0</v>
      </c>
      <c r="P576" s="202">
        <f>0+'táj.2'!P576</f>
        <v>0</v>
      </c>
      <c r="Q576" s="18">
        <f>SUM(G576:P576)</f>
        <v>2540</v>
      </c>
    </row>
    <row r="577" spans="1:17" ht="12.75" customHeight="1">
      <c r="A577" s="113"/>
      <c r="B577" s="113"/>
      <c r="C577" s="259"/>
      <c r="D577" s="211" t="s">
        <v>421</v>
      </c>
      <c r="E577" s="114"/>
      <c r="F577" s="331"/>
      <c r="G577" s="202"/>
      <c r="H577" s="231"/>
      <c r="I577" s="18"/>
      <c r="J577" s="18"/>
      <c r="K577" s="18"/>
      <c r="L577" s="18"/>
      <c r="M577" s="18"/>
      <c r="N577" s="18"/>
      <c r="O577" s="18"/>
      <c r="P577" s="18"/>
      <c r="Q577" s="18"/>
    </row>
    <row r="578" spans="1:17" ht="14.25" customHeight="1">
      <c r="A578" s="113"/>
      <c r="B578" s="113"/>
      <c r="C578" s="259" t="s">
        <v>807</v>
      </c>
      <c r="D578" s="293" t="s">
        <v>1362</v>
      </c>
      <c r="E578" s="114"/>
      <c r="F578" s="331">
        <v>164906</v>
      </c>
      <c r="G578" s="202">
        <f>0+'táj.2'!G578</f>
        <v>0</v>
      </c>
      <c r="H578" s="202">
        <f>0+'táj.2'!H578</f>
        <v>0</v>
      </c>
      <c r="I578" s="202">
        <f>91+'táj.2'!I578</f>
        <v>91</v>
      </c>
      <c r="J578" s="202">
        <f>0+'táj.2'!J578</f>
        <v>0</v>
      </c>
      <c r="K578" s="202">
        <f>0+'táj.2'!K578</f>
        <v>0</v>
      </c>
      <c r="L578" s="202">
        <f>0+'táj.2'!L578</f>
        <v>0</v>
      </c>
      <c r="M578" s="202">
        <f>802+'táj.2'!M578</f>
        <v>802</v>
      </c>
      <c r="N578" s="202">
        <f>0+'táj.2'!N578</f>
        <v>0</v>
      </c>
      <c r="O578" s="202">
        <f>0+'táj.2'!O578</f>
        <v>0</v>
      </c>
      <c r="P578" s="18"/>
      <c r="Q578" s="18">
        <f>SUM(G578:P578)</f>
        <v>893</v>
      </c>
    </row>
    <row r="579" spans="1:17" ht="12.75" customHeight="1">
      <c r="A579" s="113"/>
      <c r="B579" s="113"/>
      <c r="C579" s="263" t="s">
        <v>1257</v>
      </c>
      <c r="D579" s="270" t="s">
        <v>1259</v>
      </c>
      <c r="E579" s="114"/>
      <c r="F579" s="331"/>
      <c r="G579" s="202"/>
      <c r="H579" s="231"/>
      <c r="I579" s="18"/>
      <c r="J579" s="18"/>
      <c r="K579" s="18"/>
      <c r="L579" s="15"/>
      <c r="M579" s="15"/>
      <c r="N579" s="18"/>
      <c r="O579" s="18"/>
      <c r="P579" s="18"/>
      <c r="Q579" s="18"/>
    </row>
    <row r="580" spans="1:17" ht="12.75" customHeight="1">
      <c r="A580" s="113"/>
      <c r="B580" s="113"/>
      <c r="C580" s="264" t="s">
        <v>1258</v>
      </c>
      <c r="D580" s="265" t="s">
        <v>359</v>
      </c>
      <c r="E580" s="114"/>
      <c r="F580" s="331">
        <v>162903</v>
      </c>
      <c r="G580" s="202">
        <f>0+'táj.2'!G580</f>
        <v>0</v>
      </c>
      <c r="H580" s="202">
        <f>0+'táj.2'!H580</f>
        <v>0</v>
      </c>
      <c r="I580" s="202">
        <f>0+'táj.2'!I580</f>
        <v>0</v>
      </c>
      <c r="J580" s="202">
        <f>0+'táj.2'!J580</f>
        <v>0</v>
      </c>
      <c r="K580" s="202">
        <f>0+'táj.2'!K580</f>
        <v>0</v>
      </c>
      <c r="L580" s="202">
        <f>4793+'táj.2'!L580</f>
        <v>4793</v>
      </c>
      <c r="M580" s="202">
        <f>20707+'táj.2'!M580</f>
        <v>20707</v>
      </c>
      <c r="N580" s="202">
        <f>0+'táj.2'!N580</f>
        <v>0</v>
      </c>
      <c r="O580" s="202">
        <f>0+'táj.2'!O580</f>
        <v>0</v>
      </c>
      <c r="P580" s="202">
        <f>0+'táj.2'!P580</f>
        <v>0</v>
      </c>
      <c r="Q580" s="18">
        <f>SUM(G580:P580)</f>
        <v>25500</v>
      </c>
    </row>
    <row r="581" spans="1:17" ht="21.75" customHeight="1">
      <c r="A581" s="113"/>
      <c r="B581" s="113"/>
      <c r="C581" s="264" t="s">
        <v>1319</v>
      </c>
      <c r="D581" s="664" t="s">
        <v>1203</v>
      </c>
      <c r="E581" s="114"/>
      <c r="F581" s="331">
        <v>164909</v>
      </c>
      <c r="G581" s="202">
        <f>0+'táj.2'!G581</f>
        <v>0</v>
      </c>
      <c r="H581" s="202">
        <f>0+'táj.2'!H581</f>
        <v>0</v>
      </c>
      <c r="I581" s="202">
        <f>0+'táj.2'!I581</f>
        <v>0</v>
      </c>
      <c r="J581" s="202">
        <f>0+'táj.2'!J581</f>
        <v>0</v>
      </c>
      <c r="K581" s="202">
        <f>0+'táj.2'!K581</f>
        <v>0</v>
      </c>
      <c r="L581" s="202">
        <f>0+'táj.2'!L581</f>
        <v>0</v>
      </c>
      <c r="M581" s="202">
        <f>8921+'táj.2'!M581</f>
        <v>8921</v>
      </c>
      <c r="N581" s="202">
        <f>0+'táj.2'!N581</f>
        <v>0</v>
      </c>
      <c r="O581" s="202">
        <f>0+'táj.2'!O581</f>
        <v>0</v>
      </c>
      <c r="P581" s="202">
        <f>0+'táj.2'!P581</f>
        <v>0</v>
      </c>
      <c r="Q581" s="18">
        <f>SUM(G581:P581)</f>
        <v>8921</v>
      </c>
    </row>
    <row r="582" spans="1:17" ht="12.75" customHeight="1">
      <c r="A582" s="113"/>
      <c r="B582" s="113"/>
      <c r="C582" s="264" t="s">
        <v>787</v>
      </c>
      <c r="D582" s="340" t="s">
        <v>361</v>
      </c>
      <c r="E582" s="114"/>
      <c r="F582" s="331">
        <v>162906</v>
      </c>
      <c r="G582" s="202">
        <f>0+'táj.2'!G582</f>
        <v>0</v>
      </c>
      <c r="H582" s="202">
        <f>0+'táj.2'!H582</f>
        <v>0</v>
      </c>
      <c r="I582" s="202">
        <f>0+'táj.2'!I582</f>
        <v>0</v>
      </c>
      <c r="J582" s="202">
        <f>0+'táj.2'!J582</f>
        <v>0</v>
      </c>
      <c r="K582" s="202">
        <f>0+'táj.2'!K582</f>
        <v>0</v>
      </c>
      <c r="L582" s="202">
        <f>305+'táj.2'!L582</f>
        <v>305</v>
      </c>
      <c r="M582" s="202">
        <f>4189+'táj.2'!M582</f>
        <v>0</v>
      </c>
      <c r="N582" s="202">
        <f>0+'táj.2'!N582</f>
        <v>0</v>
      </c>
      <c r="O582" s="202">
        <f>0+'táj.2'!O582</f>
        <v>0</v>
      </c>
      <c r="P582" s="202">
        <f>0+'táj.2'!P582</f>
        <v>0</v>
      </c>
      <c r="Q582" s="18">
        <f>SUM(G582:P582)</f>
        <v>305</v>
      </c>
    </row>
    <row r="583" spans="1:17" ht="12.75" customHeight="1">
      <c r="A583" s="113"/>
      <c r="B583" s="113"/>
      <c r="C583" s="264" t="s">
        <v>230</v>
      </c>
      <c r="D583" s="340" t="s">
        <v>360</v>
      </c>
      <c r="E583" s="102"/>
      <c r="F583" s="328">
        <v>164910</v>
      </c>
      <c r="G583" s="202">
        <f>0+'táj.2'!G583</f>
        <v>0</v>
      </c>
      <c r="H583" s="202">
        <f>0+'táj.2'!H583</f>
        <v>0</v>
      </c>
      <c r="I583" s="202">
        <f>3520+'táj.2'!I583</f>
        <v>3247</v>
      </c>
      <c r="J583" s="202">
        <f>0+'táj.2'!J583</f>
        <v>0</v>
      </c>
      <c r="K583" s="202">
        <f>0+'táj.2'!K583</f>
        <v>0</v>
      </c>
      <c r="L583" s="202">
        <f>0+'táj.2'!L583</f>
        <v>0</v>
      </c>
      <c r="M583" s="202">
        <f>12013+'táj.2'!M583</f>
        <v>12013</v>
      </c>
      <c r="N583" s="202">
        <f>0+'táj.2'!N583</f>
        <v>0</v>
      </c>
      <c r="O583" s="202">
        <f>0+'táj.2'!O583</f>
        <v>0</v>
      </c>
      <c r="P583" s="202">
        <f>0+'táj.2'!P583</f>
        <v>0</v>
      </c>
      <c r="Q583" s="15">
        <f aca="true" t="shared" si="28" ref="Q583:Q597">SUM(G583:P583)</f>
        <v>15260</v>
      </c>
    </row>
    <row r="584" spans="1:17" ht="16.5" customHeight="1">
      <c r="A584" s="113"/>
      <c r="B584" s="113"/>
      <c r="C584" s="264" t="s">
        <v>522</v>
      </c>
      <c r="D584" s="528" t="s">
        <v>374</v>
      </c>
      <c r="E584" s="102"/>
      <c r="F584" s="328">
        <v>164911</v>
      </c>
      <c r="G584" s="202">
        <f>0+'táj.2'!G584</f>
        <v>0</v>
      </c>
      <c r="H584" s="202">
        <f>0+'táj.2'!H584</f>
        <v>0</v>
      </c>
      <c r="I584" s="202">
        <f>0+'táj.2'!I584</f>
        <v>0</v>
      </c>
      <c r="J584" s="202">
        <f>0+'táj.2'!J584</f>
        <v>0</v>
      </c>
      <c r="K584" s="202">
        <f>0+'táj.2'!K584</f>
        <v>0</v>
      </c>
      <c r="L584" s="202">
        <f>0+'táj.2'!L584</f>
        <v>0</v>
      </c>
      <c r="M584" s="202">
        <f>1000+'táj.2'!M584</f>
        <v>1000</v>
      </c>
      <c r="N584" s="202">
        <f>0+'táj.2'!N584</f>
        <v>0</v>
      </c>
      <c r="O584" s="202">
        <f>0+'táj.2'!O584</f>
        <v>0</v>
      </c>
      <c r="P584" s="202">
        <f>0+'táj.2'!P584</f>
        <v>0</v>
      </c>
      <c r="Q584" s="15">
        <f t="shared" si="28"/>
        <v>1000</v>
      </c>
    </row>
    <row r="585" spans="1:17" ht="15" customHeight="1">
      <c r="A585" s="113"/>
      <c r="B585" s="113"/>
      <c r="C585" s="264" t="s">
        <v>523</v>
      </c>
      <c r="D585" s="528" t="s">
        <v>375</v>
      </c>
      <c r="E585" s="114"/>
      <c r="F585" s="331">
        <v>164912</v>
      </c>
      <c r="G585" s="202">
        <f>0+'táj.2'!G585</f>
        <v>0</v>
      </c>
      <c r="H585" s="202">
        <f>0+'táj.2'!H585</f>
        <v>0</v>
      </c>
      <c r="I585" s="202">
        <f>0+'táj.2'!I585</f>
        <v>0</v>
      </c>
      <c r="J585" s="202">
        <f>0+'táj.2'!J585</f>
        <v>0</v>
      </c>
      <c r="K585" s="202">
        <f>0+'táj.2'!K585</f>
        <v>0</v>
      </c>
      <c r="L585" s="202">
        <f>0+'táj.2'!L585</f>
        <v>0</v>
      </c>
      <c r="M585" s="202">
        <f>0+'táj.2'!M585</f>
        <v>0</v>
      </c>
      <c r="N585" s="202">
        <f>0+'táj.2'!N585</f>
        <v>0</v>
      </c>
      <c r="O585" s="202">
        <f>0+'táj.2'!O585</f>
        <v>0</v>
      </c>
      <c r="P585" s="202">
        <f>0+'táj.2'!P585</f>
        <v>0</v>
      </c>
      <c r="Q585" s="18">
        <f t="shared" si="28"/>
        <v>0</v>
      </c>
    </row>
    <row r="586" spans="1:17" ht="15.75" customHeight="1">
      <c r="A586" s="113"/>
      <c r="B586" s="113"/>
      <c r="C586" s="264" t="s">
        <v>524</v>
      </c>
      <c r="D586" s="293" t="s">
        <v>632</v>
      </c>
      <c r="E586" s="114"/>
      <c r="F586" s="331">
        <v>162923</v>
      </c>
      <c r="G586" s="202">
        <f>0+'táj.2'!G586</f>
        <v>0</v>
      </c>
      <c r="H586" s="202">
        <f>0+'táj.2'!H586</f>
        <v>0</v>
      </c>
      <c r="I586" s="202">
        <f>0+'táj.2'!I586</f>
        <v>0</v>
      </c>
      <c r="J586" s="202">
        <f>0+'táj.2'!J586</f>
        <v>0</v>
      </c>
      <c r="K586" s="202">
        <f>0+'táj.2'!K586</f>
        <v>0</v>
      </c>
      <c r="L586" s="202">
        <f>12000+'táj.2'!L586</f>
        <v>12000</v>
      </c>
      <c r="M586" s="202">
        <f>0+'táj.2'!M586</f>
        <v>0</v>
      </c>
      <c r="N586" s="202">
        <f>0+'táj.2'!N586</f>
        <v>0</v>
      </c>
      <c r="O586" s="202">
        <f>0+'táj.2'!O586</f>
        <v>0</v>
      </c>
      <c r="P586" s="202">
        <f>0+'táj.2'!P586</f>
        <v>0</v>
      </c>
      <c r="Q586" s="18">
        <f t="shared" si="28"/>
        <v>12000</v>
      </c>
    </row>
    <row r="587" spans="1:17" ht="36" customHeight="1">
      <c r="A587" s="113"/>
      <c r="B587" s="113"/>
      <c r="C587" s="264" t="s">
        <v>525</v>
      </c>
      <c r="D587" s="209" t="s">
        <v>419</v>
      </c>
      <c r="E587" s="102"/>
      <c r="F587" s="328">
        <v>174902</v>
      </c>
      <c r="G587" s="202">
        <f>0+'táj.2'!G587</f>
        <v>0</v>
      </c>
      <c r="H587" s="202">
        <f>0+'táj.2'!H587</f>
        <v>0</v>
      </c>
      <c r="I587" s="202">
        <f>0+'táj.2'!I587</f>
        <v>0</v>
      </c>
      <c r="J587" s="202">
        <f>0+'táj.2'!J587</f>
        <v>0</v>
      </c>
      <c r="K587" s="202">
        <f>0+'táj.2'!K587</f>
        <v>0</v>
      </c>
      <c r="L587" s="202">
        <f>0+'táj.2'!L587</f>
        <v>0</v>
      </c>
      <c r="M587" s="202">
        <f>46883+'táj.2'!M587</f>
        <v>46883</v>
      </c>
      <c r="N587" s="202">
        <f>0+'táj.2'!N587</f>
        <v>0</v>
      </c>
      <c r="O587" s="202">
        <f>0+'táj.2'!O587</f>
        <v>0</v>
      </c>
      <c r="P587" s="202">
        <f>0+'táj.2'!P587</f>
        <v>0</v>
      </c>
      <c r="Q587" s="15">
        <f t="shared" si="28"/>
        <v>46883</v>
      </c>
    </row>
    <row r="588" spans="1:17" ht="27.75" customHeight="1">
      <c r="A588" s="113"/>
      <c r="B588" s="113"/>
      <c r="C588" s="264" t="s">
        <v>526</v>
      </c>
      <c r="D588" s="325" t="s">
        <v>1439</v>
      </c>
      <c r="E588" s="102"/>
      <c r="F588" s="328">
        <v>162924</v>
      </c>
      <c r="G588" s="202">
        <f>0+'táj.2'!G588</f>
        <v>0</v>
      </c>
      <c r="H588" s="202">
        <f>0+'táj.2'!H588</f>
        <v>0</v>
      </c>
      <c r="I588" s="202">
        <f>0+'táj.2'!I588</f>
        <v>0</v>
      </c>
      <c r="J588" s="202">
        <f>0+'táj.2'!J588</f>
        <v>0</v>
      </c>
      <c r="K588" s="202">
        <f>0+'táj.2'!K588</f>
        <v>0</v>
      </c>
      <c r="L588" s="202">
        <f>40000+'táj.2'!L588</f>
        <v>40000</v>
      </c>
      <c r="M588" s="202">
        <f>40000+'táj.2'!M588</f>
        <v>40000</v>
      </c>
      <c r="N588" s="202">
        <f>0+'táj.2'!N588</f>
        <v>0</v>
      </c>
      <c r="O588" s="202">
        <f>0+'táj.2'!O588</f>
        <v>0</v>
      </c>
      <c r="P588" s="202">
        <f>0+'táj.2'!P588</f>
        <v>0</v>
      </c>
      <c r="Q588" s="15">
        <f t="shared" si="28"/>
        <v>80000</v>
      </c>
    </row>
    <row r="589" spans="1:17" ht="27.75" customHeight="1">
      <c r="A589" s="113"/>
      <c r="B589" s="113"/>
      <c r="C589" s="652" t="s">
        <v>665</v>
      </c>
      <c r="D589" s="653" t="s">
        <v>138</v>
      </c>
      <c r="E589" s="102"/>
      <c r="F589" s="328">
        <v>162925</v>
      </c>
      <c r="G589" s="202">
        <f>0+'táj.2'!G589</f>
        <v>0</v>
      </c>
      <c r="H589" s="202">
        <f>0+'táj.2'!H589</f>
        <v>0</v>
      </c>
      <c r="I589" s="202">
        <f>0+'táj.2'!I589</f>
        <v>0</v>
      </c>
      <c r="J589" s="202">
        <f>0+'táj.2'!J589</f>
        <v>0</v>
      </c>
      <c r="K589" s="202">
        <f>0+'táj.2'!K589</f>
        <v>0</v>
      </c>
      <c r="L589" s="202">
        <f>0+'táj.2'!L589</f>
        <v>0</v>
      </c>
      <c r="M589" s="202">
        <f>0+'táj.2'!M589</f>
        <v>0</v>
      </c>
      <c r="N589" s="202">
        <f>5988+'táj.2'!N589</f>
        <v>5988</v>
      </c>
      <c r="O589" s="202">
        <f>0+'táj.2'!O589</f>
        <v>0</v>
      </c>
      <c r="P589" s="202">
        <f>0+'táj.2'!P589</f>
        <v>0</v>
      </c>
      <c r="Q589" s="15">
        <f t="shared" si="28"/>
        <v>5988</v>
      </c>
    </row>
    <row r="590" spans="1:17" ht="27.75" customHeight="1">
      <c r="A590" s="113"/>
      <c r="B590" s="113"/>
      <c r="C590" s="652" t="s">
        <v>328</v>
      </c>
      <c r="D590" s="657" t="s">
        <v>329</v>
      </c>
      <c r="E590" s="15"/>
      <c r="F590" s="100">
        <v>162926</v>
      </c>
      <c r="G590" s="202">
        <f>0+'táj.2'!G590</f>
        <v>0</v>
      </c>
      <c r="H590" s="202">
        <f>0+'táj.2'!H590</f>
        <v>0</v>
      </c>
      <c r="I590" s="202">
        <f>0+'táj.2'!I590</f>
        <v>0</v>
      </c>
      <c r="J590" s="202">
        <f>0+'táj.2'!J590</f>
        <v>0</v>
      </c>
      <c r="K590" s="202">
        <f>0+'táj.2'!K590</f>
        <v>0</v>
      </c>
      <c r="L590" s="202">
        <f>0+'táj.2'!L590</f>
        <v>0</v>
      </c>
      <c r="M590" s="202">
        <f>0+'táj.2'!M590</f>
        <v>0</v>
      </c>
      <c r="N590" s="202">
        <f>5000+'táj.2'!N590</f>
        <v>5000</v>
      </c>
      <c r="O590" s="202">
        <f>0+'táj.2'!O590</f>
        <v>0</v>
      </c>
      <c r="P590" s="202">
        <f>0+'táj.2'!P590</f>
        <v>0</v>
      </c>
      <c r="Q590" s="15">
        <f t="shared" si="28"/>
        <v>5000</v>
      </c>
    </row>
    <row r="591" spans="1:17" ht="15.75" customHeight="1">
      <c r="A591" s="113"/>
      <c r="B591" s="113"/>
      <c r="C591" s="652" t="s">
        <v>330</v>
      </c>
      <c r="D591" s="657" t="s">
        <v>633</v>
      </c>
      <c r="E591" s="102"/>
      <c r="F591" s="328">
        <v>162927</v>
      </c>
      <c r="G591" s="202">
        <f>0+'táj.2'!G591</f>
        <v>0</v>
      </c>
      <c r="H591" s="202">
        <f>0+'táj.2'!H591</f>
        <v>0</v>
      </c>
      <c r="I591" s="202">
        <f>0+'táj.2'!I591</f>
        <v>0</v>
      </c>
      <c r="J591" s="202">
        <f>0+'táj.2'!J591</f>
        <v>0</v>
      </c>
      <c r="K591" s="202">
        <f>0+'táj.2'!K591</f>
        <v>0</v>
      </c>
      <c r="L591" s="202">
        <f>0+'táj.2'!L591</f>
        <v>0</v>
      </c>
      <c r="M591" s="202">
        <f>0+'táj.2'!M591</f>
        <v>0</v>
      </c>
      <c r="N591" s="202">
        <f>730+'táj.2'!N591</f>
        <v>730</v>
      </c>
      <c r="O591" s="202">
        <f>0+'táj.2'!O591</f>
        <v>0</v>
      </c>
      <c r="P591" s="202">
        <f>0+'táj.2'!P591</f>
        <v>0</v>
      </c>
      <c r="Q591" s="15">
        <f t="shared" si="28"/>
        <v>730</v>
      </c>
    </row>
    <row r="592" spans="1:17" ht="22.5" customHeight="1">
      <c r="A592" s="113"/>
      <c r="B592" s="113"/>
      <c r="C592" s="652" t="s">
        <v>1205</v>
      </c>
      <c r="D592" s="657" t="s">
        <v>1204</v>
      </c>
      <c r="E592" s="15"/>
      <c r="F592" s="100">
        <v>162934</v>
      </c>
      <c r="G592" s="202">
        <f>0+'táj.2'!G592</f>
        <v>0</v>
      </c>
      <c r="H592" s="202">
        <f>0+'táj.2'!H592</f>
        <v>0</v>
      </c>
      <c r="I592" s="202">
        <f>0+'táj.2'!I592</f>
        <v>0</v>
      </c>
      <c r="J592" s="202">
        <f>0+'táj.2'!J592</f>
        <v>0</v>
      </c>
      <c r="K592" s="202">
        <f>0+'táj.2'!K592</f>
        <v>0</v>
      </c>
      <c r="L592" s="202">
        <f>2000+'táj.2'!L592</f>
        <v>2000</v>
      </c>
      <c r="M592" s="202">
        <f>0+'táj.2'!M592</f>
        <v>0</v>
      </c>
      <c r="N592" s="202">
        <f>0+'táj.2'!N592</f>
        <v>0</v>
      </c>
      <c r="O592" s="202">
        <f>0+'táj.2'!O592</f>
        <v>0</v>
      </c>
      <c r="P592" s="202">
        <f>0+'táj.2'!P592</f>
        <v>0</v>
      </c>
      <c r="Q592" s="15">
        <f t="shared" si="28"/>
        <v>2000</v>
      </c>
    </row>
    <row r="593" spans="1:17" ht="15.75" customHeight="1">
      <c r="A593" s="113"/>
      <c r="B593" s="113"/>
      <c r="C593" s="652" t="s">
        <v>1206</v>
      </c>
      <c r="D593" s="657" t="s">
        <v>1207</v>
      </c>
      <c r="E593" s="15"/>
      <c r="F593" s="100">
        <v>164913</v>
      </c>
      <c r="G593" s="202">
        <f>0+'táj.2'!G593</f>
        <v>0</v>
      </c>
      <c r="H593" s="202">
        <f>0+'táj.2'!H593</f>
        <v>0</v>
      </c>
      <c r="I593" s="202">
        <f>0+'táj.2'!I593</f>
        <v>0</v>
      </c>
      <c r="J593" s="202">
        <f>0+'táj.2'!J593</f>
        <v>0</v>
      </c>
      <c r="K593" s="202">
        <f>0+'táj.2'!K593</f>
        <v>0</v>
      </c>
      <c r="L593" s="202">
        <f>0+'táj.2'!L593</f>
        <v>0</v>
      </c>
      <c r="M593" s="202">
        <f>2000+'táj.2'!M593</f>
        <v>2000</v>
      </c>
      <c r="N593" s="202">
        <f>0+'táj.2'!N593</f>
        <v>0</v>
      </c>
      <c r="O593" s="202">
        <f>0+'táj.2'!O593</f>
        <v>0</v>
      </c>
      <c r="P593" s="202">
        <f>0+'táj.2'!P593</f>
        <v>0</v>
      </c>
      <c r="Q593" s="15">
        <f t="shared" si="28"/>
        <v>2000</v>
      </c>
    </row>
    <row r="594" spans="1:17" ht="27" customHeight="1">
      <c r="A594" s="113"/>
      <c r="B594" s="113"/>
      <c r="C594" s="652" t="s">
        <v>241</v>
      </c>
      <c r="D594" s="325" t="s">
        <v>242</v>
      </c>
      <c r="E594" s="102"/>
      <c r="F594" s="328">
        <v>162935</v>
      </c>
      <c r="G594" s="202">
        <f>0+'táj.2'!G594</f>
        <v>0</v>
      </c>
      <c r="H594" s="202">
        <f>0+'táj.2'!H594</f>
        <v>0</v>
      </c>
      <c r="I594" s="202">
        <f>0+'táj.2'!I594</f>
        <v>0</v>
      </c>
      <c r="J594" s="202">
        <f>0+'táj.2'!J594</f>
        <v>0</v>
      </c>
      <c r="K594" s="202">
        <f>0+'táj.2'!K594</f>
        <v>0</v>
      </c>
      <c r="L594" s="202">
        <f>0+'táj.2'!L594</f>
        <v>0</v>
      </c>
      <c r="M594" s="202">
        <f>0+'táj.2'!M594</f>
        <v>0</v>
      </c>
      <c r="N594" s="202">
        <f>15000+'táj.2'!N594</f>
        <v>15000</v>
      </c>
      <c r="O594" s="202">
        <f>0+'táj.2'!O594</f>
        <v>0</v>
      </c>
      <c r="P594" s="202">
        <f>0+'táj.2'!P594</f>
        <v>0</v>
      </c>
      <c r="Q594" s="15">
        <f t="shared" si="28"/>
        <v>15000</v>
      </c>
    </row>
    <row r="595" spans="1:17" ht="19.5" customHeight="1">
      <c r="A595" s="113"/>
      <c r="B595" s="113"/>
      <c r="C595" s="652" t="s">
        <v>213</v>
      </c>
      <c r="D595" s="657" t="s">
        <v>214</v>
      </c>
      <c r="E595" s="15"/>
      <c r="F595" s="100">
        <v>162697</v>
      </c>
      <c r="G595" s="202">
        <f>0+'táj.2'!G595</f>
        <v>0</v>
      </c>
      <c r="H595" s="202">
        <f>0+'táj.2'!H595</f>
        <v>0</v>
      </c>
      <c r="I595" s="202">
        <f>0+'táj.2'!I595</f>
        <v>0</v>
      </c>
      <c r="J595" s="202">
        <f>0+'táj.2'!J595</f>
        <v>0</v>
      </c>
      <c r="K595" s="202">
        <f>0+'táj.2'!K595</f>
        <v>0</v>
      </c>
      <c r="L595" s="202">
        <f>0+'táj.2'!L595</f>
        <v>0</v>
      </c>
      <c r="M595" s="202">
        <f>0+'táj.2'!M595</f>
        <v>0</v>
      </c>
      <c r="N595" s="202">
        <f>21+'táj.2'!N595</f>
        <v>21</v>
      </c>
      <c r="O595" s="202">
        <f>0+'táj.2'!O595</f>
        <v>0</v>
      </c>
      <c r="P595" s="202">
        <f>0+'táj.2'!P595</f>
        <v>0</v>
      </c>
      <c r="Q595" s="15">
        <f t="shared" si="28"/>
        <v>21</v>
      </c>
    </row>
    <row r="596" spans="1:17" ht="19.5" customHeight="1">
      <c r="A596" s="113"/>
      <c r="B596" s="113"/>
      <c r="C596" s="719" t="s">
        <v>1434</v>
      </c>
      <c r="D596" s="717" t="s">
        <v>1433</v>
      </c>
      <c r="E596" s="102"/>
      <c r="F596" s="328">
        <v>162699</v>
      </c>
      <c r="G596" s="202">
        <f>0+'táj.2'!G596</f>
        <v>0</v>
      </c>
      <c r="H596" s="202">
        <f>0+'táj.2'!H596</f>
        <v>0</v>
      </c>
      <c r="I596" s="202">
        <f>0+'táj.2'!I596</f>
        <v>0</v>
      </c>
      <c r="J596" s="202">
        <f>0+'táj.2'!J596</f>
        <v>0</v>
      </c>
      <c r="K596" s="202">
        <f>0+'táj.2'!K596</f>
        <v>0</v>
      </c>
      <c r="L596" s="202">
        <f>3618+'táj.2'!L596</f>
        <v>3618</v>
      </c>
      <c r="M596" s="202">
        <f>0+'táj.2'!M596</f>
        <v>0</v>
      </c>
      <c r="N596" s="202">
        <f>0+'táj.2'!N596</f>
        <v>0</v>
      </c>
      <c r="O596" s="202">
        <f>0+'táj.2'!O596</f>
        <v>0</v>
      </c>
      <c r="P596" s="202">
        <f>0+'táj.2'!P596</f>
        <v>0</v>
      </c>
      <c r="Q596" s="15">
        <f t="shared" si="28"/>
        <v>3618</v>
      </c>
    </row>
    <row r="597" spans="1:17" ht="19.5" customHeight="1">
      <c r="A597" s="113"/>
      <c r="B597" s="113"/>
      <c r="C597" s="652" t="s">
        <v>1446</v>
      </c>
      <c r="D597" s="717" t="s">
        <v>1447</v>
      </c>
      <c r="E597" s="15"/>
      <c r="F597" s="100">
        <v>162663</v>
      </c>
      <c r="G597" s="202">
        <f>0+'táj.2'!G597</f>
        <v>0</v>
      </c>
      <c r="H597" s="202">
        <f>0+'táj.2'!H597</f>
        <v>0</v>
      </c>
      <c r="I597" s="202">
        <f>0+'táj.2'!I597</f>
        <v>0</v>
      </c>
      <c r="J597" s="202">
        <f>0+'táj.2'!J597</f>
        <v>0</v>
      </c>
      <c r="K597" s="202">
        <f>0+'táj.2'!K597</f>
        <v>0</v>
      </c>
      <c r="L597" s="202">
        <f>0+'táj.2'!L597</f>
        <v>0</v>
      </c>
      <c r="M597" s="202">
        <f>0+'táj.2'!M597</f>
        <v>4500</v>
      </c>
      <c r="N597" s="202">
        <f>0+'táj.2'!N597</f>
        <v>0</v>
      </c>
      <c r="O597" s="202">
        <f>0+'táj.2'!O597</f>
        <v>0</v>
      </c>
      <c r="P597" s="202">
        <f>0+'táj.2'!P597</f>
        <v>0</v>
      </c>
      <c r="Q597" s="15">
        <f t="shared" si="28"/>
        <v>4500</v>
      </c>
    </row>
    <row r="598" spans="1:17" ht="12.75" customHeight="1">
      <c r="A598" s="113"/>
      <c r="B598" s="113"/>
      <c r="C598" s="263"/>
      <c r="D598" s="211" t="s">
        <v>421</v>
      </c>
      <c r="E598" s="114"/>
      <c r="F598" s="331"/>
      <c r="G598" s="202"/>
      <c r="H598" s="231"/>
      <c r="I598" s="18"/>
      <c r="J598" s="18"/>
      <c r="K598" s="18"/>
      <c r="L598" s="15"/>
      <c r="M598" s="15"/>
      <c r="N598" s="18"/>
      <c r="O598" s="18"/>
      <c r="P598" s="18"/>
      <c r="Q598" s="18"/>
    </row>
    <row r="599" spans="1:17" ht="30" customHeight="1">
      <c r="A599" s="113"/>
      <c r="B599" s="113"/>
      <c r="C599" s="264" t="s">
        <v>1059</v>
      </c>
      <c r="D599" s="277" t="s">
        <v>1456</v>
      </c>
      <c r="E599" s="114"/>
      <c r="F599" s="331">
        <v>162904</v>
      </c>
      <c r="G599" s="202">
        <f>0+'táj.2'!G599</f>
        <v>0</v>
      </c>
      <c r="H599" s="202">
        <f>0+'táj.2'!H599</f>
        <v>0</v>
      </c>
      <c r="I599" s="355">
        <f>0+'táj.2'!I599</f>
        <v>0</v>
      </c>
      <c r="J599" s="202">
        <f>0+'táj.2'!J599</f>
        <v>0</v>
      </c>
      <c r="K599" s="202">
        <f>0+'táj.2'!K599</f>
        <v>0</v>
      </c>
      <c r="L599" s="202">
        <f>0+'táj.2'!L599</f>
        <v>0</v>
      </c>
      <c r="M599" s="202">
        <f>0+'táj.2'!M599</f>
        <v>0</v>
      </c>
      <c r="N599" s="202">
        <f>0+'táj.2'!N599</f>
        <v>0</v>
      </c>
      <c r="O599" s="202">
        <f>0+'táj.2'!O599</f>
        <v>0</v>
      </c>
      <c r="P599" s="202">
        <f>0+'táj.2'!P599</f>
        <v>0</v>
      </c>
      <c r="Q599" s="18">
        <f>SUM(G599:P599)</f>
        <v>0</v>
      </c>
    </row>
    <row r="600" spans="1:17" ht="12.75" customHeight="1">
      <c r="A600" s="113"/>
      <c r="B600" s="113"/>
      <c r="C600" s="264" t="s">
        <v>1039</v>
      </c>
      <c r="D600" s="277" t="s">
        <v>1381</v>
      </c>
      <c r="E600" s="114"/>
      <c r="F600" s="542">
        <v>164506</v>
      </c>
      <c r="G600" s="202">
        <f>0+'táj.2'!G600</f>
        <v>0</v>
      </c>
      <c r="H600" s="202">
        <f>0+'táj.2'!H600</f>
        <v>0</v>
      </c>
      <c r="I600" s="202">
        <f>0+'táj.2'!I600</f>
        <v>0</v>
      </c>
      <c r="J600" s="202">
        <f>0+'táj.2'!J600</f>
        <v>0</v>
      </c>
      <c r="K600" s="202">
        <f>0+'táj.2'!K600</f>
        <v>0</v>
      </c>
      <c r="L600" s="202">
        <f>6700+'táj.2'!L600</f>
        <v>6700</v>
      </c>
      <c r="M600" s="202">
        <f>0+'táj.2'!M600</f>
        <v>0</v>
      </c>
      <c r="N600" s="202">
        <f>0+'táj.2'!N600</f>
        <v>0</v>
      </c>
      <c r="O600" s="202">
        <f>0+'táj.2'!O600</f>
        <v>0</v>
      </c>
      <c r="P600" s="202">
        <f>0+'táj.2'!P600</f>
        <v>0</v>
      </c>
      <c r="Q600" s="284">
        <f>SUM(G600:P600)</f>
        <v>6700</v>
      </c>
    </row>
    <row r="601" spans="1:17" ht="17.25" customHeight="1">
      <c r="A601" s="113"/>
      <c r="B601" s="113"/>
      <c r="C601" s="449" t="s">
        <v>1404</v>
      </c>
      <c r="D601" s="450" t="s">
        <v>852</v>
      </c>
      <c r="E601" s="102"/>
      <c r="F601" s="328">
        <v>162907</v>
      </c>
      <c r="G601" s="202">
        <f>0+'táj.2'!G601</f>
        <v>0</v>
      </c>
      <c r="H601" s="202">
        <f>0+'táj.2'!H601</f>
        <v>0</v>
      </c>
      <c r="I601" s="202">
        <f>0+'táj.2'!I601</f>
        <v>0</v>
      </c>
      <c r="J601" s="202">
        <f>0+'táj.2'!J601</f>
        <v>0</v>
      </c>
      <c r="K601" s="202">
        <f>0+'táj.2'!K601</f>
        <v>0</v>
      </c>
      <c r="L601" s="202">
        <f>0+'táj.2'!L601</f>
        <v>0</v>
      </c>
      <c r="M601" s="202">
        <f>5420+'táj.2'!M601</f>
        <v>5420</v>
      </c>
      <c r="N601" s="202">
        <f>0+'táj.2'!N601</f>
        <v>0</v>
      </c>
      <c r="O601" s="202">
        <f>0+'táj.2'!O601</f>
        <v>0</v>
      </c>
      <c r="P601" s="202">
        <f>0+'táj.2'!P601</f>
        <v>0</v>
      </c>
      <c r="Q601" s="15">
        <f>SUM(G601:P601)</f>
        <v>5420</v>
      </c>
    </row>
    <row r="602" spans="1:17" ht="12.75" customHeight="1">
      <c r="A602" s="113"/>
      <c r="B602" s="113"/>
      <c r="C602" s="119">
        <v>10</v>
      </c>
      <c r="D602" s="369" t="s">
        <v>494</v>
      </c>
      <c r="E602" s="114"/>
      <c r="F602" s="113"/>
      <c r="G602" s="202"/>
      <c r="H602" s="18"/>
      <c r="I602" s="18"/>
      <c r="J602" s="18"/>
      <c r="K602" s="18"/>
      <c r="L602" s="18"/>
      <c r="M602" s="18"/>
      <c r="N602" s="18"/>
      <c r="O602" s="18"/>
      <c r="P602" s="18"/>
      <c r="Q602" s="284"/>
    </row>
    <row r="603" spans="1:17" ht="15" customHeight="1">
      <c r="A603" s="113"/>
      <c r="B603" s="113"/>
      <c r="C603" s="113" t="s">
        <v>495</v>
      </c>
      <c r="D603" s="17" t="s">
        <v>1414</v>
      </c>
      <c r="E603" s="114"/>
      <c r="F603" s="113"/>
      <c r="G603" s="202"/>
      <c r="H603" s="18"/>
      <c r="I603" s="18"/>
      <c r="J603" s="18"/>
      <c r="K603" s="18"/>
      <c r="L603" s="18"/>
      <c r="M603" s="18"/>
      <c r="N603" s="18"/>
      <c r="O603" s="18"/>
      <c r="P603" s="18"/>
      <c r="Q603" s="284"/>
    </row>
    <row r="604" spans="1:17" ht="15" customHeight="1">
      <c r="A604" s="113"/>
      <c r="B604" s="113"/>
      <c r="C604" s="113" t="s">
        <v>862</v>
      </c>
      <c r="D604" s="741" t="s">
        <v>282</v>
      </c>
      <c r="E604" s="114"/>
      <c r="F604" s="113">
        <v>163601</v>
      </c>
      <c r="G604" s="202">
        <f>709+'táj.2'!G604</f>
        <v>709</v>
      </c>
      <c r="H604" s="202">
        <f>191+'táj.2'!H604</f>
        <v>191</v>
      </c>
      <c r="I604" s="202">
        <f>3000+'táj.2'!I604</f>
        <v>3752</v>
      </c>
      <c r="J604" s="202">
        <f>0+'táj.2'!J604</f>
        <v>0</v>
      </c>
      <c r="K604" s="202">
        <f>0+'táj.2'!K604</f>
        <v>0</v>
      </c>
      <c r="L604" s="202">
        <f>314892+'táj.2'!L604</f>
        <v>71492</v>
      </c>
      <c r="M604" s="202">
        <f>0+'táj.2'!M604</f>
        <v>0</v>
      </c>
      <c r="N604" s="202">
        <f>0+'táj.2'!N604</f>
        <v>0</v>
      </c>
      <c r="O604" s="202">
        <f>0+'táj.2'!O604</f>
        <v>0</v>
      </c>
      <c r="P604" s="202">
        <f>0+'táj.2'!P604</f>
        <v>0</v>
      </c>
      <c r="Q604" s="284">
        <f aca="true" t="shared" si="29" ref="Q604:Q627">SUM(G604:P604)</f>
        <v>76144</v>
      </c>
    </row>
    <row r="605" spans="1:17" ht="15" customHeight="1">
      <c r="A605" s="113"/>
      <c r="B605" s="113"/>
      <c r="C605" s="113" t="s">
        <v>863</v>
      </c>
      <c r="D605" s="746" t="s">
        <v>1415</v>
      </c>
      <c r="E605" s="114"/>
      <c r="F605" s="113">
        <v>163602</v>
      </c>
      <c r="G605" s="202">
        <f>787+'táj.2'!G605</f>
        <v>0</v>
      </c>
      <c r="H605" s="202">
        <f>213+'táj.2'!H605</f>
        <v>0</v>
      </c>
      <c r="I605" s="202">
        <f>12541+'táj.2'!I605</f>
        <v>0</v>
      </c>
      <c r="J605" s="202">
        <f>0+'táj.2'!J605</f>
        <v>0</v>
      </c>
      <c r="K605" s="202">
        <f>0+'táj.2'!K605</f>
        <v>0</v>
      </c>
      <c r="L605" s="202">
        <f>13000+'táj.2'!L605</f>
        <v>0</v>
      </c>
      <c r="M605" s="202">
        <f>0+'táj.2'!M605</f>
        <v>0</v>
      </c>
      <c r="N605" s="202">
        <f>0+'táj.2'!N605</f>
        <v>0</v>
      </c>
      <c r="O605" s="202">
        <f>0+'táj.2'!O605</f>
        <v>0</v>
      </c>
      <c r="P605" s="202">
        <f>0+'táj.2'!P605</f>
        <v>0</v>
      </c>
      <c r="Q605" s="284">
        <f t="shared" si="29"/>
        <v>0</v>
      </c>
    </row>
    <row r="606" spans="1:17" ht="24.75" customHeight="1">
      <c r="A606" s="113"/>
      <c r="B606" s="113"/>
      <c r="C606" s="113" t="s">
        <v>864</v>
      </c>
      <c r="D606" s="741" t="s">
        <v>1080</v>
      </c>
      <c r="E606" s="114"/>
      <c r="F606" s="113">
        <v>163603</v>
      </c>
      <c r="G606" s="202">
        <f>787+'táj.2'!G606</f>
        <v>4409</v>
      </c>
      <c r="H606" s="202">
        <f>213+'táj.2'!H606</f>
        <v>1191</v>
      </c>
      <c r="I606" s="202">
        <f>8889+'táj.2'!I606</f>
        <v>10211</v>
      </c>
      <c r="J606" s="202">
        <f>0+'táj.2'!J606</f>
        <v>0</v>
      </c>
      <c r="K606" s="202">
        <f>0+'táj.2'!K606</f>
        <v>0</v>
      </c>
      <c r="L606" s="202">
        <f>32229+'táj.2'!L606</f>
        <v>72679</v>
      </c>
      <c r="M606" s="202">
        <f>2221+'táj.2'!M606</f>
        <v>256731</v>
      </c>
      <c r="N606" s="202">
        <f>0+'táj.2'!N606</f>
        <v>0</v>
      </c>
      <c r="O606" s="202">
        <f>0+'táj.2'!O606</f>
        <v>0</v>
      </c>
      <c r="P606" s="202">
        <f>0+'táj.2'!P606</f>
        <v>0</v>
      </c>
      <c r="Q606" s="284">
        <f t="shared" si="29"/>
        <v>345221</v>
      </c>
    </row>
    <row r="607" spans="1:17" ht="25.5" customHeight="1">
      <c r="A607" s="113"/>
      <c r="B607" s="113"/>
      <c r="C607" s="113" t="s">
        <v>865</v>
      </c>
      <c r="D607" s="742" t="s">
        <v>1079</v>
      </c>
      <c r="E607" s="114"/>
      <c r="F607" s="113">
        <v>163604</v>
      </c>
      <c r="G607" s="202">
        <f>787+'táj.2'!G607</f>
        <v>2756</v>
      </c>
      <c r="H607" s="202">
        <f>213+'táj.2'!H607</f>
        <v>744</v>
      </c>
      <c r="I607" s="202">
        <f>7306+'táj.2'!I607</f>
        <v>5385</v>
      </c>
      <c r="J607" s="202">
        <f>0+'táj.2'!J607</f>
        <v>0</v>
      </c>
      <c r="K607" s="202">
        <f>0+'táj.2'!K607</f>
        <v>0</v>
      </c>
      <c r="L607" s="202">
        <f>18763+'táj.2'!L607</f>
        <v>37280</v>
      </c>
      <c r="M607" s="202">
        <f>1186+'táj.2'!M607</f>
        <v>143942</v>
      </c>
      <c r="N607" s="202">
        <f>0+'táj.2'!N607</f>
        <v>0</v>
      </c>
      <c r="O607" s="202">
        <f>0+'táj.2'!O607</f>
        <v>0</v>
      </c>
      <c r="P607" s="202">
        <f>0+'táj.2'!P607</f>
        <v>0</v>
      </c>
      <c r="Q607" s="284">
        <f t="shared" si="29"/>
        <v>190107</v>
      </c>
    </row>
    <row r="608" spans="1:17" ht="24" customHeight="1">
      <c r="A608" s="113"/>
      <c r="B608" s="113"/>
      <c r="C608" s="113" t="s">
        <v>866</v>
      </c>
      <c r="D608" s="742" t="s">
        <v>895</v>
      </c>
      <c r="E608" s="114"/>
      <c r="F608" s="113">
        <v>163605</v>
      </c>
      <c r="G608" s="202">
        <f>787+'táj.2'!G608</f>
        <v>0</v>
      </c>
      <c r="H608" s="202">
        <f>213+'táj.2'!H608</f>
        <v>0</v>
      </c>
      <c r="I608" s="202">
        <f>52053+'táj.2'!I608</f>
        <v>10654</v>
      </c>
      <c r="J608" s="202">
        <f>0+'táj.2'!J608</f>
        <v>0</v>
      </c>
      <c r="K608" s="202">
        <f>0+'táj.2'!K608</f>
        <v>0</v>
      </c>
      <c r="L608" s="202">
        <f>24000+'táj.2'!L608</f>
        <v>0</v>
      </c>
      <c r="M608" s="202">
        <f>0+'táj.2'!M608</f>
        <v>0</v>
      </c>
      <c r="N608" s="202">
        <f>0+'táj.2'!N608</f>
        <v>0</v>
      </c>
      <c r="O608" s="202">
        <f>0+'táj.2'!O608</f>
        <v>0</v>
      </c>
      <c r="P608" s="202">
        <f>0+'táj.2'!P608</f>
        <v>0</v>
      </c>
      <c r="Q608" s="284">
        <f t="shared" si="29"/>
        <v>10654</v>
      </c>
    </row>
    <row r="609" spans="1:17" ht="24" customHeight="1">
      <c r="A609" s="113"/>
      <c r="B609" s="113"/>
      <c r="C609" s="113" t="s">
        <v>867</v>
      </c>
      <c r="D609" s="742" t="s">
        <v>1081</v>
      </c>
      <c r="E609" s="114"/>
      <c r="F609" s="113">
        <v>163606</v>
      </c>
      <c r="G609" s="202">
        <f>587+'táj.2'!G609</f>
        <v>2393</v>
      </c>
      <c r="H609" s="202">
        <f>159+'táj.2'!H609</f>
        <v>647</v>
      </c>
      <c r="I609" s="202">
        <f>7680+'táj.2'!I609</f>
        <v>7087</v>
      </c>
      <c r="J609" s="202">
        <f>0+'táj.2'!J609</f>
        <v>0</v>
      </c>
      <c r="K609" s="202">
        <f>0+'táj.2'!K609</f>
        <v>0</v>
      </c>
      <c r="L609" s="202">
        <f>13700+'táj.2'!L609</f>
        <v>139865</v>
      </c>
      <c r="M609" s="202">
        <f>0+'táj.2'!M609</f>
        <v>0</v>
      </c>
      <c r="N609" s="202">
        <f>0+'táj.2'!N609</f>
        <v>0</v>
      </c>
      <c r="O609" s="202">
        <f>0+'táj.2'!O609</f>
        <v>0</v>
      </c>
      <c r="P609" s="202">
        <f>0+'táj.2'!P609</f>
        <v>0</v>
      </c>
      <c r="Q609" s="284">
        <f t="shared" si="29"/>
        <v>149992</v>
      </c>
    </row>
    <row r="610" spans="1:17" ht="60" customHeight="1">
      <c r="A610" s="113"/>
      <c r="B610" s="113"/>
      <c r="C610" s="113" t="s">
        <v>868</v>
      </c>
      <c r="D610" s="741" t="s">
        <v>1089</v>
      </c>
      <c r="E610" s="114"/>
      <c r="F610" s="113">
        <v>163607</v>
      </c>
      <c r="G610" s="202">
        <f>0+'táj.2'!G610</f>
        <v>0</v>
      </c>
      <c r="H610" s="202">
        <f>0+'táj.2'!H610</f>
        <v>0</v>
      </c>
      <c r="I610" s="202">
        <f>68890+'táj.2'!I610</f>
        <v>52395</v>
      </c>
      <c r="J610" s="202">
        <f>0+'táj.2'!J610</f>
        <v>0</v>
      </c>
      <c r="K610" s="202">
        <f>0+'táj.2'!K610</f>
        <v>0</v>
      </c>
      <c r="L610" s="202">
        <f>29466+'táj.2'!L610</f>
        <v>940605</v>
      </c>
      <c r="M610" s="202">
        <f>0+'táj.2'!M610</f>
        <v>0</v>
      </c>
      <c r="N610" s="202">
        <f>0+'táj.2'!N610</f>
        <v>0</v>
      </c>
      <c r="O610" s="202">
        <f>0+'táj.2'!O610</f>
        <v>0</v>
      </c>
      <c r="P610" s="202">
        <f>0+'táj.2'!P610</f>
        <v>0</v>
      </c>
      <c r="Q610" s="284">
        <f t="shared" si="29"/>
        <v>993000</v>
      </c>
    </row>
    <row r="611" spans="1:17" ht="23.25" customHeight="1">
      <c r="A611" s="113"/>
      <c r="B611" s="113"/>
      <c r="C611" s="113" t="s">
        <v>869</v>
      </c>
      <c r="D611" s="741" t="s">
        <v>281</v>
      </c>
      <c r="E611" s="114"/>
      <c r="F611" s="113">
        <v>163608</v>
      </c>
      <c r="G611" s="202">
        <f>315+'táj.2'!G611</f>
        <v>0</v>
      </c>
      <c r="H611" s="202">
        <f>85+'táj.2'!H611</f>
        <v>0</v>
      </c>
      <c r="I611" s="202">
        <f>27605+'táj.2'!I611</f>
        <v>72374</v>
      </c>
      <c r="J611" s="202">
        <f>0+'táj.2'!J611</f>
        <v>0</v>
      </c>
      <c r="K611" s="202">
        <f>0+'táj.2'!K611</f>
        <v>0</v>
      </c>
      <c r="L611" s="202">
        <f>25000+'táj.2'!L611</f>
        <v>877626</v>
      </c>
      <c r="M611" s="202">
        <f>0+'táj.2'!M611</f>
        <v>0</v>
      </c>
      <c r="N611" s="202">
        <f>0+'táj.2'!N611</f>
        <v>0</v>
      </c>
      <c r="O611" s="202">
        <f>0+'táj.2'!O611</f>
        <v>0</v>
      </c>
      <c r="P611" s="202">
        <f>0+'táj.2'!P611</f>
        <v>0</v>
      </c>
      <c r="Q611" s="284">
        <f t="shared" si="29"/>
        <v>950000</v>
      </c>
    </row>
    <row r="612" spans="1:17" ht="25.5" customHeight="1">
      <c r="A612" s="113"/>
      <c r="B612" s="113"/>
      <c r="C612" s="113" t="s">
        <v>870</v>
      </c>
      <c r="D612" s="741" t="s">
        <v>1091</v>
      </c>
      <c r="E612" s="114"/>
      <c r="F612" s="113">
        <v>163609</v>
      </c>
      <c r="G612" s="202">
        <f>0+'táj.2'!G612</f>
        <v>0</v>
      </c>
      <c r="H612" s="202">
        <f>0+'táj.2'!H612</f>
        <v>0</v>
      </c>
      <c r="I612" s="202">
        <f>29000+'táj.2'!I612</f>
        <v>58000</v>
      </c>
      <c r="J612" s="202">
        <f>0+'táj.2'!J612</f>
        <v>0</v>
      </c>
      <c r="K612" s="202">
        <f>0+'táj.2'!K612</f>
        <v>0</v>
      </c>
      <c r="L612" s="202">
        <f>31000+'táj.2'!L612</f>
        <v>373760</v>
      </c>
      <c r="M612" s="202">
        <f>0+'táj.2'!M612</f>
        <v>0</v>
      </c>
      <c r="N612" s="202">
        <f>0+'táj.2'!N612</f>
        <v>0</v>
      </c>
      <c r="O612" s="202">
        <f>0+'táj.2'!O612</f>
        <v>0</v>
      </c>
      <c r="P612" s="202">
        <f>0+'táj.2'!P612</f>
        <v>0</v>
      </c>
      <c r="Q612" s="284">
        <f t="shared" si="29"/>
        <v>431760</v>
      </c>
    </row>
    <row r="613" spans="1:17" ht="25.5" customHeight="1">
      <c r="A613" s="113"/>
      <c r="B613" s="113"/>
      <c r="C613" s="113" t="s">
        <v>871</v>
      </c>
      <c r="D613" s="743" t="s">
        <v>1083</v>
      </c>
      <c r="E613" s="114"/>
      <c r="F613" s="113">
        <v>163610</v>
      </c>
      <c r="G613" s="202">
        <f>2000+'táj.2'!G613</f>
        <v>2000</v>
      </c>
      <c r="H613" s="202">
        <f>540+'táj.2'!H613</f>
        <v>540</v>
      </c>
      <c r="I613" s="202">
        <f>21847+'táj.2'!I613</f>
        <v>12703</v>
      </c>
      <c r="J613" s="202">
        <f>0+'táj.2'!J613</f>
        <v>0</v>
      </c>
      <c r="K613" s="202">
        <f>0+'táj.2'!K613</f>
        <v>0</v>
      </c>
      <c r="L613" s="202">
        <f>11684+'táj.2'!L613</f>
        <v>312841</v>
      </c>
      <c r="M613" s="202">
        <f>0+'táj.2'!M613</f>
        <v>0</v>
      </c>
      <c r="N613" s="202">
        <f>0+'táj.2'!N613</f>
        <v>0</v>
      </c>
      <c r="O613" s="202">
        <f>0+'táj.2'!O613</f>
        <v>0</v>
      </c>
      <c r="P613" s="202">
        <f>0+'táj.2'!P613</f>
        <v>0</v>
      </c>
      <c r="Q613" s="284">
        <f t="shared" si="29"/>
        <v>328084</v>
      </c>
    </row>
    <row r="614" spans="1:17" ht="35.25" customHeight="1">
      <c r="A614" s="113"/>
      <c r="B614" s="113"/>
      <c r="C614" s="113" t="s">
        <v>872</v>
      </c>
      <c r="D614" s="743" t="s">
        <v>1082</v>
      </c>
      <c r="E614" s="114"/>
      <c r="F614" s="113">
        <v>163611</v>
      </c>
      <c r="G614" s="202">
        <f>2000+'táj.2'!G614</f>
        <v>2000</v>
      </c>
      <c r="H614" s="202">
        <f>540+'táj.2'!H614</f>
        <v>540</v>
      </c>
      <c r="I614" s="202">
        <f>10306+'táj.2'!I614</f>
        <v>10305</v>
      </c>
      <c r="J614" s="202">
        <f>0+'táj.2'!J614</f>
        <v>0</v>
      </c>
      <c r="K614" s="202">
        <f>0+'táj.2'!K614</f>
        <v>0</v>
      </c>
      <c r="L614" s="202">
        <f>12446+'táj.2'!L614</f>
        <v>375730</v>
      </c>
      <c r="M614" s="202">
        <f>0+'táj.2'!M614</f>
        <v>6350</v>
      </c>
      <c r="N614" s="202">
        <f>0+'táj.2'!N614</f>
        <v>0</v>
      </c>
      <c r="O614" s="202">
        <f>0+'táj.2'!O614</f>
        <v>0</v>
      </c>
      <c r="P614" s="202">
        <f>0+'táj.2'!P614</f>
        <v>0</v>
      </c>
      <c r="Q614" s="284">
        <f t="shared" si="29"/>
        <v>394925</v>
      </c>
    </row>
    <row r="615" spans="1:17" ht="37.5" customHeight="1">
      <c r="A615" s="113"/>
      <c r="B615" s="113"/>
      <c r="C615" s="113" t="s">
        <v>873</v>
      </c>
      <c r="D615" s="744" t="s">
        <v>1092</v>
      </c>
      <c r="E615" s="114"/>
      <c r="F615" s="113">
        <v>163612</v>
      </c>
      <c r="G615" s="202">
        <f>0+'táj.2'!G615</f>
        <v>0</v>
      </c>
      <c r="H615" s="202">
        <f>0+'táj.2'!H615</f>
        <v>0</v>
      </c>
      <c r="I615" s="202">
        <f>109033+'táj.2'!I615</f>
        <v>119588</v>
      </c>
      <c r="J615" s="202">
        <f>0+'táj.2'!J615</f>
        <v>0</v>
      </c>
      <c r="K615" s="202">
        <f>0+'táj.2'!K615</f>
        <v>0</v>
      </c>
      <c r="L615" s="202">
        <f>61397+'táj.2'!L615</f>
        <v>1273412</v>
      </c>
      <c r="M615" s="202">
        <f>0+'táj.2'!M615</f>
        <v>0</v>
      </c>
      <c r="N615" s="202">
        <f>0+'táj.2'!N615</f>
        <v>0</v>
      </c>
      <c r="O615" s="202">
        <f>0+'táj.2'!O615</f>
        <v>0</v>
      </c>
      <c r="P615" s="202">
        <f>0+'táj.2'!P615</f>
        <v>0</v>
      </c>
      <c r="Q615" s="284">
        <f t="shared" si="29"/>
        <v>1393000</v>
      </c>
    </row>
    <row r="616" spans="1:17" ht="26.25" customHeight="1">
      <c r="A616" s="113"/>
      <c r="B616" s="113"/>
      <c r="C616" s="113" t="s">
        <v>874</v>
      </c>
      <c r="D616" s="744" t="s">
        <v>1093</v>
      </c>
      <c r="E616" s="114"/>
      <c r="F616" s="113">
        <v>163613</v>
      </c>
      <c r="G616" s="202">
        <f>0+'táj.2'!G616</f>
        <v>0</v>
      </c>
      <c r="H616" s="202">
        <f>0+'táj.2'!H616</f>
        <v>0</v>
      </c>
      <c r="I616" s="202">
        <f>27108+'táj.2'!I616</f>
        <v>34670</v>
      </c>
      <c r="J616" s="202">
        <f>0+'táj.2'!J616</f>
        <v>0</v>
      </c>
      <c r="K616" s="202">
        <f>0+'táj.2'!K616</f>
        <v>0</v>
      </c>
      <c r="L616" s="202">
        <f>40000+'táj.2'!L616</f>
        <v>440891</v>
      </c>
      <c r="M616" s="202">
        <f>0+'táj.2'!M616</f>
        <v>0</v>
      </c>
      <c r="N616" s="202">
        <f>0+'táj.2'!N616</f>
        <v>0</v>
      </c>
      <c r="O616" s="202">
        <f>0+'táj.2'!O616</f>
        <v>0</v>
      </c>
      <c r="P616" s="202">
        <f>0+'táj.2'!P616</f>
        <v>0</v>
      </c>
      <c r="Q616" s="284">
        <f t="shared" si="29"/>
        <v>475561</v>
      </c>
    </row>
    <row r="617" spans="1:17" ht="26.25" customHeight="1">
      <c r="A617" s="113"/>
      <c r="B617" s="113"/>
      <c r="C617" s="113" t="s">
        <v>875</v>
      </c>
      <c r="D617" s="744" t="s">
        <v>1075</v>
      </c>
      <c r="E617" s="114"/>
      <c r="F617" s="113">
        <v>163614</v>
      </c>
      <c r="G617" s="202">
        <f>787+'táj.2'!G617</f>
        <v>1000</v>
      </c>
      <c r="H617" s="202">
        <f>213+'táj.2'!H617</f>
        <v>270</v>
      </c>
      <c r="I617" s="202">
        <f>25010+'táj.2'!I617</f>
        <v>16866</v>
      </c>
      <c r="J617" s="202">
        <f>0+'táj.2'!J617</f>
        <v>0</v>
      </c>
      <c r="K617" s="202">
        <f>0+'táj.2'!K617</f>
        <v>0</v>
      </c>
      <c r="L617" s="202">
        <f>173990+'táj.2'!L617</f>
        <v>174879</v>
      </c>
      <c r="M617" s="202">
        <f>0+'táj.2'!M617</f>
        <v>0</v>
      </c>
      <c r="N617" s="202">
        <f>0+'táj.2'!N617</f>
        <v>0</v>
      </c>
      <c r="O617" s="202">
        <f>0+'táj.2'!O617</f>
        <v>0</v>
      </c>
      <c r="P617" s="202">
        <f>0+'táj.2'!P617</f>
        <v>0</v>
      </c>
      <c r="Q617" s="284">
        <f t="shared" si="29"/>
        <v>193015</v>
      </c>
    </row>
    <row r="618" spans="1:17" ht="38.25" customHeight="1">
      <c r="A618" s="113"/>
      <c r="B618" s="113"/>
      <c r="C618" s="113" t="s">
        <v>876</v>
      </c>
      <c r="D618" s="744" t="s">
        <v>1090</v>
      </c>
      <c r="E618" s="114"/>
      <c r="F618" s="113">
        <v>163615</v>
      </c>
      <c r="G618" s="202">
        <f>2000+'táj.2'!G618</f>
        <v>2000</v>
      </c>
      <c r="H618" s="202">
        <f>1320+'táj.2'!H618</f>
        <v>1320</v>
      </c>
      <c r="I618" s="202">
        <f>80000+'táj.2'!I618</f>
        <v>80000</v>
      </c>
      <c r="J618" s="202">
        <f>0+'táj.2'!J618</f>
        <v>0</v>
      </c>
      <c r="K618" s="202">
        <f>0+'táj.2'!K618</f>
        <v>0</v>
      </c>
      <c r="L618" s="202">
        <f>0+'táj.2'!L618</f>
        <v>0</v>
      </c>
      <c r="M618" s="202">
        <f>0+'táj.2'!M618</f>
        <v>0</v>
      </c>
      <c r="N618" s="202">
        <f>0+'táj.2'!N618</f>
        <v>0</v>
      </c>
      <c r="O618" s="202">
        <f>0+'táj.2'!O618</f>
        <v>0</v>
      </c>
      <c r="P618" s="202">
        <f>0+'táj.2'!P618</f>
        <v>0</v>
      </c>
      <c r="Q618" s="284">
        <f t="shared" si="29"/>
        <v>83320</v>
      </c>
    </row>
    <row r="619" spans="1:17" ht="25.5" customHeight="1">
      <c r="A619" s="113"/>
      <c r="B619" s="113"/>
      <c r="C619" s="100" t="s">
        <v>950</v>
      </c>
      <c r="D619" s="745" t="s">
        <v>1084</v>
      </c>
      <c r="E619" s="15"/>
      <c r="F619" s="100">
        <v>163616</v>
      </c>
      <c r="G619" s="202">
        <f>2000+'táj.2'!G619</f>
        <v>2000</v>
      </c>
      <c r="H619" s="202">
        <f>540+'táj.2'!H619</f>
        <v>540</v>
      </c>
      <c r="I619" s="202">
        <f>19703+'táj.2'!I619</f>
        <v>19703</v>
      </c>
      <c r="J619" s="202">
        <f>0+'táj.2'!J619</f>
        <v>0</v>
      </c>
      <c r="K619" s="202">
        <f>0+'táj.2'!K619</f>
        <v>0</v>
      </c>
      <c r="L619" s="202">
        <f>209757+'táj.2'!L619</f>
        <v>199205</v>
      </c>
      <c r="M619" s="202">
        <f>0+'táj.2'!M619</f>
        <v>0</v>
      </c>
      <c r="N619" s="202">
        <f>0+'táj.2'!N619</f>
        <v>0</v>
      </c>
      <c r="O619" s="202">
        <f>0+'táj.2'!O619</f>
        <v>0</v>
      </c>
      <c r="P619" s="202">
        <f>0+'táj.2'!P619</f>
        <v>0</v>
      </c>
      <c r="Q619" s="284">
        <f t="shared" si="29"/>
        <v>221448</v>
      </c>
    </row>
    <row r="620" spans="1:17" ht="47.25" customHeight="1">
      <c r="A620" s="113"/>
      <c r="B620" s="113"/>
      <c r="C620" s="100" t="s">
        <v>951</v>
      </c>
      <c r="D620" s="745" t="s">
        <v>1087</v>
      </c>
      <c r="E620" s="15"/>
      <c r="F620" s="100">
        <v>163617</v>
      </c>
      <c r="G620" s="202">
        <f>1480+'táj.2'!G620</f>
        <v>1480</v>
      </c>
      <c r="H620" s="202">
        <f>400+'táj.2'!H620</f>
        <v>400</v>
      </c>
      <c r="I620" s="202">
        <f>11660+'táj.2'!I620</f>
        <v>11660</v>
      </c>
      <c r="J620" s="202">
        <f>0+'táj.2'!J620</f>
        <v>0</v>
      </c>
      <c r="K620" s="202">
        <f>0+'táj.2'!K620</f>
        <v>0</v>
      </c>
      <c r="L620" s="202">
        <f>225209+'táj.2'!L620</f>
        <v>225209</v>
      </c>
      <c r="M620" s="202">
        <f>0+'táj.2'!M620</f>
        <v>0</v>
      </c>
      <c r="N620" s="202">
        <f>0+'táj.2'!N620</f>
        <v>0</v>
      </c>
      <c r="O620" s="202">
        <f>0+'táj.2'!O620</f>
        <v>0</v>
      </c>
      <c r="P620" s="202">
        <f>0+'táj.2'!P620</f>
        <v>0</v>
      </c>
      <c r="Q620" s="284">
        <f t="shared" si="29"/>
        <v>238749</v>
      </c>
    </row>
    <row r="621" spans="1:17" ht="27" customHeight="1">
      <c r="A621" s="113"/>
      <c r="B621" s="113"/>
      <c r="C621" s="100" t="s">
        <v>331</v>
      </c>
      <c r="D621" s="633" t="s">
        <v>332</v>
      </c>
      <c r="E621" s="15"/>
      <c r="F621" s="100">
        <v>163630</v>
      </c>
      <c r="G621" s="202">
        <f>0+'táj.2'!G621</f>
        <v>0</v>
      </c>
      <c r="H621" s="202">
        <f>0+'táj.2'!H621</f>
        <v>0</v>
      </c>
      <c r="I621" s="202">
        <f>0+'táj.2'!I621</f>
        <v>0</v>
      </c>
      <c r="J621" s="202">
        <f>0+'táj.2'!J621</f>
        <v>0</v>
      </c>
      <c r="K621" s="202">
        <f>0+'táj.2'!K621</f>
        <v>0</v>
      </c>
      <c r="L621" s="202">
        <f>0+'táj.2'!L621</f>
        <v>0</v>
      </c>
      <c r="M621" s="202">
        <f>4000+'táj.2'!M621</f>
        <v>1108</v>
      </c>
      <c r="N621" s="202">
        <f>0+'táj.2'!N621</f>
        <v>0</v>
      </c>
      <c r="O621" s="202">
        <f>0+'táj.2'!O621</f>
        <v>0</v>
      </c>
      <c r="P621" s="202">
        <f>0+'táj.2'!P621</f>
        <v>0</v>
      </c>
      <c r="Q621" s="284">
        <f t="shared" si="29"/>
        <v>1108</v>
      </c>
    </row>
    <row r="622" spans="1:17" ht="25.5" customHeight="1">
      <c r="A622" s="113"/>
      <c r="B622" s="113"/>
      <c r="C622" s="100" t="s">
        <v>1425</v>
      </c>
      <c r="D622" s="745" t="s">
        <v>1085</v>
      </c>
      <c r="E622" s="102"/>
      <c r="F622" s="100">
        <v>163618</v>
      </c>
      <c r="G622" s="202">
        <f>1260+'táj.2'!G622</f>
        <v>1260</v>
      </c>
      <c r="H622" s="202">
        <f>340+'táj.2'!H622</f>
        <v>340</v>
      </c>
      <c r="I622" s="202">
        <f>2333+'táj.2'!I622</f>
        <v>2333</v>
      </c>
      <c r="J622" s="202">
        <f>0+'táj.2'!J622</f>
        <v>0</v>
      </c>
      <c r="K622" s="202">
        <f>0+'táj.2'!K622</f>
        <v>0</v>
      </c>
      <c r="L622" s="202">
        <f>92914+'táj.2'!L622</f>
        <v>92914</v>
      </c>
      <c r="M622" s="202">
        <f>0+'táj.2'!M622</f>
        <v>0</v>
      </c>
      <c r="N622" s="202">
        <f>0+'táj.2'!N622</f>
        <v>0</v>
      </c>
      <c r="O622" s="202">
        <f>0+'táj.2'!O622</f>
        <v>0</v>
      </c>
      <c r="P622" s="202">
        <f>0+'táj.2'!P622</f>
        <v>0</v>
      </c>
      <c r="Q622" s="284">
        <f t="shared" si="29"/>
        <v>96847</v>
      </c>
    </row>
    <row r="623" spans="1:17" ht="26.25" customHeight="1">
      <c r="A623" s="113"/>
      <c r="B623" s="113"/>
      <c r="C623" s="100" t="s">
        <v>1426</v>
      </c>
      <c r="D623" s="745" t="s">
        <v>1088</v>
      </c>
      <c r="E623" s="102"/>
      <c r="F623" s="100">
        <v>163619</v>
      </c>
      <c r="G623" s="202">
        <f>1260+'táj.2'!G623</f>
        <v>1260</v>
      </c>
      <c r="H623" s="202">
        <f>340+'táj.2'!H623</f>
        <v>340</v>
      </c>
      <c r="I623" s="202">
        <f>2407+'táj.2'!I623</f>
        <v>2407</v>
      </c>
      <c r="J623" s="202">
        <f>0+'táj.2'!J623</f>
        <v>0</v>
      </c>
      <c r="K623" s="202">
        <f>0+'táj.2'!K623</f>
        <v>0</v>
      </c>
      <c r="L623" s="202">
        <f>93683+'táj.2'!L623</f>
        <v>93682</v>
      </c>
      <c r="M623" s="202">
        <f>0+'táj.2'!M623</f>
        <v>0</v>
      </c>
      <c r="N623" s="202">
        <f>0+'táj.2'!N623</f>
        <v>0</v>
      </c>
      <c r="O623" s="202">
        <f>0+'táj.2'!O623</f>
        <v>0</v>
      </c>
      <c r="P623" s="202">
        <f>0+'táj.2'!P623</f>
        <v>0</v>
      </c>
      <c r="Q623" s="284">
        <f t="shared" si="29"/>
        <v>97689</v>
      </c>
    </row>
    <row r="624" spans="1:17" ht="36.75" customHeight="1">
      <c r="A624" s="113"/>
      <c r="B624" s="113"/>
      <c r="C624" s="100" t="s">
        <v>1427</v>
      </c>
      <c r="D624" s="745" t="s">
        <v>1086</v>
      </c>
      <c r="E624" s="102"/>
      <c r="F624" s="100">
        <v>163620</v>
      </c>
      <c r="G624" s="202">
        <f>1260+'táj.2'!G624</f>
        <v>1260</v>
      </c>
      <c r="H624" s="202">
        <f>340+'táj.2'!H624</f>
        <v>340</v>
      </c>
      <c r="I624" s="202">
        <f>1879+'táj.2'!I624</f>
        <v>1879</v>
      </c>
      <c r="J624" s="202">
        <f>0+'táj.2'!J624</f>
        <v>0</v>
      </c>
      <c r="K624" s="202">
        <f>0+'táj.2'!K624</f>
        <v>0</v>
      </c>
      <c r="L624" s="202">
        <f>73245+'táj.2'!L624</f>
        <v>73245</v>
      </c>
      <c r="M624" s="202">
        <f>0+'táj.2'!M624</f>
        <v>0</v>
      </c>
      <c r="N624" s="202">
        <f>0+'táj.2'!N624</f>
        <v>0</v>
      </c>
      <c r="O624" s="202">
        <f>0+'táj.2'!O624</f>
        <v>0</v>
      </c>
      <c r="P624" s="202">
        <f>0+'táj.2'!P624</f>
        <v>0</v>
      </c>
      <c r="Q624" s="284">
        <f t="shared" si="29"/>
        <v>76724</v>
      </c>
    </row>
    <row r="625" spans="1:17" ht="36.75" customHeight="1">
      <c r="A625" s="113"/>
      <c r="B625" s="113"/>
      <c r="C625" s="100" t="s">
        <v>1448</v>
      </c>
      <c r="D625" s="745" t="s">
        <v>1078</v>
      </c>
      <c r="E625" s="15"/>
      <c r="F625" s="100">
        <v>163622</v>
      </c>
      <c r="G625" s="202">
        <f>0+'táj.2'!G625</f>
        <v>1890</v>
      </c>
      <c r="H625" s="202">
        <f>0+'táj.2'!H625</f>
        <v>510</v>
      </c>
      <c r="I625" s="202">
        <f>0+'táj.2'!I625</f>
        <v>5510</v>
      </c>
      <c r="J625" s="202">
        <f>0+'táj.2'!J625</f>
        <v>0</v>
      </c>
      <c r="K625" s="202">
        <f>0+'táj.2'!K625</f>
        <v>0</v>
      </c>
      <c r="L625" s="202">
        <f>0+'táj.2'!L625</f>
        <v>0</v>
      </c>
      <c r="M625" s="202">
        <f>0+'táj.2'!M625</f>
        <v>125254</v>
      </c>
      <c r="N625" s="202">
        <f>0+'táj.2'!N625</f>
        <v>0</v>
      </c>
      <c r="O625" s="202">
        <f>0+'táj.2'!O625</f>
        <v>0</v>
      </c>
      <c r="P625" s="202">
        <f>0+'táj.2'!P625</f>
        <v>0</v>
      </c>
      <c r="Q625" s="284">
        <f t="shared" si="29"/>
        <v>133164</v>
      </c>
    </row>
    <row r="626" spans="1:17" ht="30" customHeight="1">
      <c r="A626" s="113"/>
      <c r="B626" s="113"/>
      <c r="C626" s="100" t="s">
        <v>1449</v>
      </c>
      <c r="D626" s="745" t="s">
        <v>1077</v>
      </c>
      <c r="E626" s="15"/>
      <c r="F626" s="100">
        <v>163623</v>
      </c>
      <c r="G626" s="202">
        <f>0+'táj.2'!G626</f>
        <v>1890</v>
      </c>
      <c r="H626" s="202">
        <f>0+'táj.2'!H626</f>
        <v>510</v>
      </c>
      <c r="I626" s="202">
        <f>0+'táj.2'!I626</f>
        <v>11739</v>
      </c>
      <c r="J626" s="202">
        <f>0+'táj.2'!J626</f>
        <v>0</v>
      </c>
      <c r="K626" s="202">
        <f>0+'táj.2'!K626</f>
        <v>0</v>
      </c>
      <c r="L626" s="202">
        <f>0+'táj.2'!L626</f>
        <v>0</v>
      </c>
      <c r="M626" s="202">
        <f>0+'táj.2'!M626</f>
        <v>271347</v>
      </c>
      <c r="N626" s="202">
        <f>0+'táj.2'!N626</f>
        <v>0</v>
      </c>
      <c r="O626" s="202">
        <f>0+'táj.2'!O626</f>
        <v>0</v>
      </c>
      <c r="P626" s="202">
        <f>0+'táj.2'!P626</f>
        <v>0</v>
      </c>
      <c r="Q626" s="284">
        <f t="shared" si="29"/>
        <v>285486</v>
      </c>
    </row>
    <row r="627" spans="1:17" ht="28.5" customHeight="1">
      <c r="A627" s="113"/>
      <c r="B627" s="113"/>
      <c r="C627" s="100" t="s">
        <v>1450</v>
      </c>
      <c r="D627" s="745" t="s">
        <v>1076</v>
      </c>
      <c r="E627" s="15"/>
      <c r="F627" s="100">
        <v>163624</v>
      </c>
      <c r="G627" s="202">
        <f>0+'táj.2'!G627</f>
        <v>1890</v>
      </c>
      <c r="H627" s="202">
        <f>0+'táj.2'!H627</f>
        <v>510</v>
      </c>
      <c r="I627" s="202">
        <f>0+'táj.2'!I627</f>
        <v>9721</v>
      </c>
      <c r="J627" s="202">
        <f>0+'táj.2'!J627</f>
        <v>0</v>
      </c>
      <c r="K627" s="202">
        <f>0+'táj.2'!K627</f>
        <v>0</v>
      </c>
      <c r="L627" s="202">
        <f>0+'táj.2'!L627</f>
        <v>0</v>
      </c>
      <c r="M627" s="202">
        <f>0+'táj.2'!M627</f>
        <v>173817</v>
      </c>
      <c r="N627" s="202">
        <f>0+'táj.2'!N627</f>
        <v>0</v>
      </c>
      <c r="O627" s="202">
        <f>0+'táj.2'!O627</f>
        <v>0</v>
      </c>
      <c r="P627" s="202">
        <f>0+'táj.2'!P627</f>
        <v>0</v>
      </c>
      <c r="Q627" s="284">
        <f t="shared" si="29"/>
        <v>185938</v>
      </c>
    </row>
    <row r="628" spans="1:17" ht="28.5" customHeight="1">
      <c r="A628" s="113"/>
      <c r="B628" s="113"/>
      <c r="C628" s="113" t="s">
        <v>939</v>
      </c>
      <c r="D628" s="294" t="s">
        <v>303</v>
      </c>
      <c r="E628" s="114"/>
      <c r="F628" s="100">
        <v>162694</v>
      </c>
      <c r="G628" s="202">
        <f>0+'táj.2'!G628</f>
        <v>0</v>
      </c>
      <c r="H628" s="202">
        <f>0+'táj.2'!H628</f>
        <v>0</v>
      </c>
      <c r="I628" s="202">
        <f>29593+'táj.2'!I628</f>
        <v>5715</v>
      </c>
      <c r="J628" s="202">
        <f>0+'táj.2'!J628</f>
        <v>0</v>
      </c>
      <c r="K628" s="202">
        <f>0+'táj.2'!K628</f>
        <v>0</v>
      </c>
      <c r="L628" s="202">
        <f>25626+'táj.2'!L628</f>
        <v>58221</v>
      </c>
      <c r="M628" s="202">
        <f>0+'táj.2'!M628</f>
        <v>0</v>
      </c>
      <c r="N628" s="202">
        <f>0+'táj.2'!N628</f>
        <v>0</v>
      </c>
      <c r="O628" s="202">
        <f>0+'táj.2'!O628</f>
        <v>0</v>
      </c>
      <c r="P628" s="202">
        <f>0+'táj.2'!P628</f>
        <v>0</v>
      </c>
      <c r="Q628" s="18">
        <f>SUM(G628:P628)</f>
        <v>63936</v>
      </c>
    </row>
    <row r="629" spans="1:17" ht="15.75" customHeight="1">
      <c r="A629" s="113"/>
      <c r="B629" s="113"/>
      <c r="C629" s="113" t="s">
        <v>351</v>
      </c>
      <c r="D629" s="294" t="s">
        <v>358</v>
      </c>
      <c r="E629" s="114"/>
      <c r="F629" s="544">
        <v>162689</v>
      </c>
      <c r="G629" s="202"/>
      <c r="H629" s="202"/>
      <c r="I629" s="202"/>
      <c r="J629" s="202"/>
      <c r="K629" s="202"/>
      <c r="L629" s="202"/>
      <c r="M629" s="202"/>
      <c r="N629" s="202"/>
      <c r="O629" s="202"/>
      <c r="P629" s="202"/>
      <c r="Q629" s="202"/>
    </row>
    <row r="630" spans="1:17" ht="15.75" customHeight="1">
      <c r="A630" s="113"/>
      <c r="B630" s="113"/>
      <c r="C630" s="113" t="s">
        <v>352</v>
      </c>
      <c r="D630" s="451" t="s">
        <v>881</v>
      </c>
      <c r="E630" s="114"/>
      <c r="F630" s="331">
        <v>162690</v>
      </c>
      <c r="G630" s="202">
        <f>0+'táj.2'!G630</f>
        <v>0</v>
      </c>
      <c r="H630" s="202">
        <f>0+'táj.2'!H630</f>
        <v>0</v>
      </c>
      <c r="I630" s="202">
        <f>24629+'táj.2'!I630</f>
        <v>24629</v>
      </c>
      <c r="J630" s="202">
        <f>0+'táj.2'!J630</f>
        <v>0</v>
      </c>
      <c r="K630" s="202">
        <f>0+'táj.2'!K630</f>
        <v>0</v>
      </c>
      <c r="L630" s="202">
        <f>113074+'táj.2'!L630</f>
        <v>113074</v>
      </c>
      <c r="M630" s="202">
        <f>10604+'táj.2'!M630</f>
        <v>10604</v>
      </c>
      <c r="N630" s="202">
        <f>0+'táj.2'!N630</f>
        <v>0</v>
      </c>
      <c r="O630" s="202">
        <f>0+'táj.2'!O630</f>
        <v>0</v>
      </c>
      <c r="P630" s="202">
        <f>0+'táj.2'!P630</f>
        <v>0</v>
      </c>
      <c r="Q630" s="18">
        <f aca="true" t="shared" si="30" ref="Q630:Q640">SUM(G630:P630)</f>
        <v>148307</v>
      </c>
    </row>
    <row r="631" spans="1:17" ht="15.75" customHeight="1">
      <c r="A631" s="113"/>
      <c r="B631" s="113"/>
      <c r="C631" s="113" t="s">
        <v>353</v>
      </c>
      <c r="D631" s="451" t="s">
        <v>877</v>
      </c>
      <c r="E631" s="114"/>
      <c r="F631" s="331">
        <v>162691</v>
      </c>
      <c r="G631" s="202">
        <f>0+'táj.2'!G631</f>
        <v>0</v>
      </c>
      <c r="H631" s="202">
        <f>0+'táj.2'!H631</f>
        <v>0</v>
      </c>
      <c r="I631" s="202">
        <f>591+'táj.2'!I631</f>
        <v>591</v>
      </c>
      <c r="J631" s="202">
        <f>0+'táj.2'!J631</f>
        <v>0</v>
      </c>
      <c r="K631" s="202">
        <f>0+'táj.2'!K631</f>
        <v>0</v>
      </c>
      <c r="L631" s="202">
        <f>78869+'táj.2'!L631</f>
        <v>79121</v>
      </c>
      <c r="M631" s="202">
        <f>0+'táj.2'!M631</f>
        <v>0</v>
      </c>
      <c r="N631" s="202">
        <f>0+'táj.2'!N631</f>
        <v>0</v>
      </c>
      <c r="O631" s="202">
        <f>0+'táj.2'!O631</f>
        <v>0</v>
      </c>
      <c r="P631" s="202">
        <f>0+'táj.2'!P631</f>
        <v>0</v>
      </c>
      <c r="Q631" s="18">
        <f t="shared" si="30"/>
        <v>79712</v>
      </c>
    </row>
    <row r="632" spans="1:17" ht="15.75" customHeight="1">
      <c r="A632" s="113"/>
      <c r="B632" s="113"/>
      <c r="C632" s="113" t="s">
        <v>354</v>
      </c>
      <c r="D632" s="451" t="s">
        <v>878</v>
      </c>
      <c r="E632" s="114"/>
      <c r="F632" s="331">
        <v>162692</v>
      </c>
      <c r="G632" s="202">
        <f>0+'táj.2'!G632</f>
        <v>0</v>
      </c>
      <c r="H632" s="202">
        <f>0+'táj.2'!H632</f>
        <v>0</v>
      </c>
      <c r="I632" s="202">
        <f>4856+'táj.2'!I632</f>
        <v>4856</v>
      </c>
      <c r="J632" s="202">
        <f>0+'táj.2'!J632</f>
        <v>0</v>
      </c>
      <c r="K632" s="202">
        <f>0+'táj.2'!K632</f>
        <v>0</v>
      </c>
      <c r="L632" s="202">
        <f>31206+'táj.2'!L632</f>
        <v>31032</v>
      </c>
      <c r="M632" s="202">
        <f>0+'táj.2'!M632</f>
        <v>0</v>
      </c>
      <c r="N632" s="202">
        <f>0+'táj.2'!N632</f>
        <v>0</v>
      </c>
      <c r="O632" s="202">
        <f>0+'táj.2'!O632</f>
        <v>0</v>
      </c>
      <c r="P632" s="202">
        <f>0+'táj.2'!P632</f>
        <v>0</v>
      </c>
      <c r="Q632" s="18">
        <f t="shared" si="30"/>
        <v>35888</v>
      </c>
    </row>
    <row r="633" spans="1:17" ht="15.75" customHeight="1">
      <c r="A633" s="113"/>
      <c r="B633" s="113"/>
      <c r="C633" s="113" t="s">
        <v>355</v>
      </c>
      <c r="D633" s="451" t="s">
        <v>879</v>
      </c>
      <c r="E633" s="114"/>
      <c r="F633" s="331">
        <v>162693</v>
      </c>
      <c r="G633" s="202">
        <f>0+'táj.2'!G633</f>
        <v>0</v>
      </c>
      <c r="H633" s="202">
        <f>0+'táj.2'!H633</f>
        <v>0</v>
      </c>
      <c r="I633" s="202">
        <f>28422+'táj.2'!I633</f>
        <v>28422</v>
      </c>
      <c r="J633" s="202">
        <f>0+'táj.2'!J633</f>
        <v>0</v>
      </c>
      <c r="K633" s="202">
        <f>0+'táj.2'!K633</f>
        <v>0</v>
      </c>
      <c r="L633" s="202">
        <f>114916+'táj.2'!L633</f>
        <v>114307</v>
      </c>
      <c r="M633" s="202">
        <f>0+'táj.2'!M633</f>
        <v>0</v>
      </c>
      <c r="N633" s="202">
        <f>0+'táj.2'!N633</f>
        <v>0</v>
      </c>
      <c r="O633" s="202">
        <f>0+'táj.2'!O633</f>
        <v>0</v>
      </c>
      <c r="P633" s="202">
        <f>0+'táj.2'!P633</f>
        <v>0</v>
      </c>
      <c r="Q633" s="18">
        <f t="shared" si="30"/>
        <v>142729</v>
      </c>
    </row>
    <row r="634" spans="1:17" ht="25.5" customHeight="1">
      <c r="A634" s="113"/>
      <c r="B634" s="113"/>
      <c r="C634" s="113" t="s">
        <v>356</v>
      </c>
      <c r="D634" s="452" t="s">
        <v>880</v>
      </c>
      <c r="E634" s="114"/>
      <c r="F634" s="331">
        <v>162665</v>
      </c>
      <c r="G634" s="202">
        <f>0+'táj.2'!G634</f>
        <v>0</v>
      </c>
      <c r="H634" s="202">
        <f>0+'táj.2'!H634</f>
        <v>0</v>
      </c>
      <c r="I634" s="202">
        <f>13243+'táj.2'!I634</f>
        <v>13243</v>
      </c>
      <c r="J634" s="202">
        <f>0+'táj.2'!J634</f>
        <v>0</v>
      </c>
      <c r="K634" s="202">
        <f>0+'táj.2'!K634</f>
        <v>0</v>
      </c>
      <c r="L634" s="202">
        <f>84693+'táj.2'!L634</f>
        <v>84693</v>
      </c>
      <c r="M634" s="202">
        <f>0+'táj.2'!M634</f>
        <v>0</v>
      </c>
      <c r="N634" s="202">
        <f>0+'táj.2'!N634</f>
        <v>0</v>
      </c>
      <c r="O634" s="202">
        <f>0+'táj.2'!O634</f>
        <v>0</v>
      </c>
      <c r="P634" s="202">
        <f>0+'táj.2'!P634</f>
        <v>0</v>
      </c>
      <c r="Q634" s="18">
        <f t="shared" si="30"/>
        <v>97936</v>
      </c>
    </row>
    <row r="635" spans="1:17" ht="25.5" customHeight="1">
      <c r="A635" s="113"/>
      <c r="B635" s="113"/>
      <c r="C635" s="113" t="s">
        <v>952</v>
      </c>
      <c r="D635" s="193" t="s">
        <v>953</v>
      </c>
      <c r="E635" s="15"/>
      <c r="F635" s="100">
        <v>161907</v>
      </c>
      <c r="G635" s="355">
        <f>0+'táj.2'!G635</f>
        <v>0</v>
      </c>
      <c r="H635" s="202">
        <f>0+'táj.2'!H635</f>
        <v>0</v>
      </c>
      <c r="I635" s="202">
        <f>28+'táj.2'!I635</f>
        <v>28</v>
      </c>
      <c r="J635" s="202">
        <f>0+'táj.2'!J635</f>
        <v>0</v>
      </c>
      <c r="K635" s="202">
        <f>0+'táj.2'!K635</f>
        <v>0</v>
      </c>
      <c r="L635" s="202">
        <f>0+'táj.2'!L635</f>
        <v>0</v>
      </c>
      <c r="M635" s="202">
        <f>0+'táj.2'!M635</f>
        <v>0</v>
      </c>
      <c r="N635" s="202">
        <f>0+'táj.2'!N635</f>
        <v>0</v>
      </c>
      <c r="O635" s="202">
        <f>0+'táj.2'!O635</f>
        <v>0</v>
      </c>
      <c r="P635" s="202">
        <f>0+'táj.2'!P635</f>
        <v>0</v>
      </c>
      <c r="Q635" s="18">
        <f t="shared" si="30"/>
        <v>28</v>
      </c>
    </row>
    <row r="636" spans="1:17" ht="25.5" customHeight="1">
      <c r="A636" s="113"/>
      <c r="B636" s="113"/>
      <c r="C636" s="100" t="s">
        <v>319</v>
      </c>
      <c r="D636" s="193" t="s">
        <v>320</v>
      </c>
      <c r="E636" s="15"/>
      <c r="F636" s="100">
        <v>162695</v>
      </c>
      <c r="G636" s="355">
        <f>0+'táj.2'!G636</f>
        <v>0</v>
      </c>
      <c r="H636" s="202">
        <f>0+'táj.2'!H636</f>
        <v>0</v>
      </c>
      <c r="I636" s="202">
        <f>0+'táj.2'!I636</f>
        <v>0</v>
      </c>
      <c r="J636" s="202">
        <f>0+'táj.2'!J636</f>
        <v>0</v>
      </c>
      <c r="K636" s="202">
        <f>8000+'táj.2'!K636</f>
        <v>8000</v>
      </c>
      <c r="L636" s="202">
        <f>0+'táj.2'!L636</f>
        <v>0</v>
      </c>
      <c r="M636" s="202">
        <f>0+'táj.2'!M636</f>
        <v>0</v>
      </c>
      <c r="N636" s="202">
        <f>0+'táj.2'!N636</f>
        <v>0</v>
      </c>
      <c r="O636" s="202">
        <f>0+'táj.2'!O636</f>
        <v>0</v>
      </c>
      <c r="P636" s="202">
        <f>0+'táj.2'!P636</f>
        <v>0</v>
      </c>
      <c r="Q636" s="18">
        <f t="shared" si="30"/>
        <v>8000</v>
      </c>
    </row>
    <row r="637" spans="1:17" ht="25.5" customHeight="1">
      <c r="A637" s="113"/>
      <c r="B637" s="113"/>
      <c r="C637" s="100" t="s">
        <v>215</v>
      </c>
      <c r="D637" s="710" t="s">
        <v>216</v>
      </c>
      <c r="E637" s="15"/>
      <c r="F637" s="100">
        <v>162696</v>
      </c>
      <c r="G637" s="355">
        <f>0+'táj.2'!G637</f>
        <v>0</v>
      </c>
      <c r="H637" s="202">
        <f>0+'táj.2'!H637</f>
        <v>0</v>
      </c>
      <c r="I637" s="202">
        <f>8763+'táj.2'!I637</f>
        <v>8218</v>
      </c>
      <c r="J637" s="202">
        <f>0+'táj.2'!J637</f>
        <v>0</v>
      </c>
      <c r="K637" s="202">
        <f>0+'táj.2'!K637</f>
        <v>0</v>
      </c>
      <c r="L637" s="202">
        <f>6223+'táj.2'!L637</f>
        <v>6223</v>
      </c>
      <c r="M637" s="202">
        <f>18741+'táj.2'!M637</f>
        <v>19286</v>
      </c>
      <c r="N637" s="202">
        <f>0+'táj.2'!N637</f>
        <v>0</v>
      </c>
      <c r="O637" s="202">
        <f>0+'táj.2'!O637</f>
        <v>0</v>
      </c>
      <c r="P637" s="202">
        <f>0+'táj.2'!P637</f>
        <v>0</v>
      </c>
      <c r="Q637" s="18">
        <f t="shared" si="30"/>
        <v>33727</v>
      </c>
    </row>
    <row r="638" spans="1:17" ht="25.5" customHeight="1">
      <c r="A638" s="113"/>
      <c r="B638" s="113"/>
      <c r="C638" s="100" t="s">
        <v>1418</v>
      </c>
      <c r="D638" s="715" t="s">
        <v>1416</v>
      </c>
      <c r="E638" s="102"/>
      <c r="F638" s="328">
        <v>162698</v>
      </c>
      <c r="G638" s="355">
        <f>0+'táj.2'!G638</f>
        <v>0</v>
      </c>
      <c r="H638" s="202">
        <f>0+'táj.2'!H638</f>
        <v>0</v>
      </c>
      <c r="I638" s="202">
        <f>0+'táj.2'!I638</f>
        <v>0</v>
      </c>
      <c r="J638" s="202">
        <f>0+'táj.2'!J638</f>
        <v>0</v>
      </c>
      <c r="K638" s="202">
        <f>0+'táj.2'!K638</f>
        <v>0</v>
      </c>
      <c r="L638" s="202">
        <f>15000+'táj.2'!L638</f>
        <v>15000</v>
      </c>
      <c r="M638" s="202">
        <f>0+'táj.2'!M638</f>
        <v>0</v>
      </c>
      <c r="N638" s="202">
        <f>0+'táj.2'!N638</f>
        <v>0</v>
      </c>
      <c r="O638" s="202">
        <f>0+'táj.2'!O638</f>
        <v>0</v>
      </c>
      <c r="P638" s="202">
        <f>0+'táj.2'!P638</f>
        <v>0</v>
      </c>
      <c r="Q638" s="18">
        <f t="shared" si="30"/>
        <v>15000</v>
      </c>
    </row>
    <row r="639" spans="1:17" ht="25.5" customHeight="1">
      <c r="A639" s="113"/>
      <c r="B639" s="113"/>
      <c r="C639" s="100" t="s">
        <v>1451</v>
      </c>
      <c r="D639" s="731" t="s">
        <v>45</v>
      </c>
      <c r="E639" s="102"/>
      <c r="F639" s="100">
        <v>163621</v>
      </c>
      <c r="G639" s="355">
        <f>0+'táj.2'!G639</f>
        <v>0</v>
      </c>
      <c r="H639" s="202">
        <f>0+'táj.2'!H639</f>
        <v>0</v>
      </c>
      <c r="I639" s="202">
        <f>0+'táj.2'!I639</f>
        <v>2032</v>
      </c>
      <c r="J639" s="202">
        <f>0+'táj.2'!J639</f>
        <v>0</v>
      </c>
      <c r="K639" s="202">
        <f>0+'táj.2'!K639</f>
        <v>0</v>
      </c>
      <c r="L639" s="202">
        <f>0+'táj.2'!L639</f>
        <v>0</v>
      </c>
      <c r="M639" s="202">
        <f>0+'táj.2'!M639</f>
        <v>0</v>
      </c>
      <c r="N639" s="202">
        <f>0+'táj.2'!N639</f>
        <v>0</v>
      </c>
      <c r="O639" s="202">
        <f>0+'táj.2'!O639</f>
        <v>0</v>
      </c>
      <c r="P639" s="202">
        <f>0+'táj.2'!P639</f>
        <v>0</v>
      </c>
      <c r="Q639" s="18">
        <f t="shared" si="30"/>
        <v>2032</v>
      </c>
    </row>
    <row r="640" spans="1:17" ht="25.5" customHeight="1">
      <c r="A640" s="113"/>
      <c r="B640" s="113"/>
      <c r="C640" s="100" t="s">
        <v>1452</v>
      </c>
      <c r="D640" s="729" t="s">
        <v>1453</v>
      </c>
      <c r="E640" s="102"/>
      <c r="F640" s="328">
        <v>162687</v>
      </c>
      <c r="G640" s="355">
        <f>0+'táj.2'!G640</f>
        <v>0</v>
      </c>
      <c r="H640" s="202">
        <f>0+'táj.2'!H640</f>
        <v>0</v>
      </c>
      <c r="I640" s="202">
        <f>0+'táj.2'!I640</f>
        <v>0</v>
      </c>
      <c r="J640" s="202">
        <f>0+'táj.2'!J640</f>
        <v>0</v>
      </c>
      <c r="K640" s="202">
        <f>0+'táj.2'!K640</f>
        <v>0</v>
      </c>
      <c r="L640" s="202">
        <f>0+'táj.2'!L640</f>
        <v>105410</v>
      </c>
      <c r="M640" s="202">
        <f>0+'táj.2'!M640</f>
        <v>0</v>
      </c>
      <c r="N640" s="202">
        <f>0+'táj.2'!N640</f>
        <v>0</v>
      </c>
      <c r="O640" s="202">
        <f>0+'táj.2'!O640</f>
        <v>0</v>
      </c>
      <c r="P640" s="202">
        <f>0+'táj.2'!P640</f>
        <v>0</v>
      </c>
      <c r="Q640" s="18">
        <f t="shared" si="30"/>
        <v>105410</v>
      </c>
    </row>
    <row r="641" spans="1:17" ht="15.75" customHeight="1">
      <c r="A641" s="113"/>
      <c r="B641" s="113"/>
      <c r="C641" s="113"/>
      <c r="D641" s="453" t="s">
        <v>421</v>
      </c>
      <c r="E641" s="114"/>
      <c r="F641" s="331"/>
      <c r="G641" s="202"/>
      <c r="H641" s="18"/>
      <c r="I641" s="18"/>
      <c r="J641" s="18"/>
      <c r="K641" s="18"/>
      <c r="L641" s="18"/>
      <c r="M641" s="18"/>
      <c r="N641" s="18"/>
      <c r="O641" s="18"/>
      <c r="P641" s="18"/>
      <c r="Q641" s="18"/>
    </row>
    <row r="642" spans="1:17" ht="27.75" customHeight="1">
      <c r="A642" s="113"/>
      <c r="B642" s="113"/>
      <c r="C642" s="113" t="s">
        <v>357</v>
      </c>
      <c r="D642" s="294" t="s">
        <v>1405</v>
      </c>
      <c r="E642" s="114"/>
      <c r="F642" s="113">
        <v>162684</v>
      </c>
      <c r="G642" s="202">
        <f>0+'táj.2'!G642</f>
        <v>0</v>
      </c>
      <c r="H642" s="202">
        <f>0+'táj.2'!H642</f>
        <v>0</v>
      </c>
      <c r="I642" s="202">
        <f>0+'táj.2'!I642</f>
        <v>0</v>
      </c>
      <c r="J642" s="202">
        <f>0+'táj.2'!J642</f>
        <v>0</v>
      </c>
      <c r="K642" s="202">
        <f>0+'táj.2'!K642</f>
        <v>0</v>
      </c>
      <c r="L642" s="202">
        <f>0+'táj.2'!L642</f>
        <v>0</v>
      </c>
      <c r="M642" s="202">
        <f>0+'táj.2'!M642</f>
        <v>0</v>
      </c>
      <c r="N642" s="202">
        <f>0+'táj.2'!N642</f>
        <v>0</v>
      </c>
      <c r="O642" s="202">
        <f>0+'táj.2'!O642</f>
        <v>0</v>
      </c>
      <c r="P642" s="202">
        <f>0+'táj.2'!P642</f>
        <v>0</v>
      </c>
      <c r="Q642" s="18">
        <f>SUM(G642:P642)</f>
        <v>0</v>
      </c>
    </row>
    <row r="643" spans="1:17" ht="12.75" customHeight="1">
      <c r="A643" s="104"/>
      <c r="B643" s="104"/>
      <c r="C643" s="245"/>
      <c r="D643" s="106" t="s">
        <v>290</v>
      </c>
      <c r="E643" s="107"/>
      <c r="F643" s="532"/>
      <c r="G643" s="111">
        <f aca="true" t="shared" si="31" ref="G643:Q643">SUM(G524:G642)</f>
        <v>30197</v>
      </c>
      <c r="H643" s="111">
        <f t="shared" si="31"/>
        <v>8933</v>
      </c>
      <c r="I643" s="111">
        <f t="shared" si="31"/>
        <v>718403</v>
      </c>
      <c r="J643" s="111">
        <f t="shared" si="31"/>
        <v>0</v>
      </c>
      <c r="K643" s="111">
        <f t="shared" si="31"/>
        <v>8220</v>
      </c>
      <c r="L643" s="111">
        <f t="shared" si="31"/>
        <v>6689115</v>
      </c>
      <c r="M643" s="111">
        <f t="shared" si="31"/>
        <v>1250070</v>
      </c>
      <c r="N643" s="111">
        <f t="shared" si="31"/>
        <v>58899</v>
      </c>
      <c r="O643" s="111">
        <f t="shared" si="31"/>
        <v>0</v>
      </c>
      <c r="P643" s="111">
        <f t="shared" si="31"/>
        <v>0</v>
      </c>
      <c r="Q643" s="111">
        <f t="shared" si="31"/>
        <v>8763837</v>
      </c>
    </row>
    <row r="644" spans="1:17" ht="13.5" customHeight="1">
      <c r="A644" s="113">
        <v>1</v>
      </c>
      <c r="B644" s="113">
        <v>17</v>
      </c>
      <c r="C644" s="248"/>
      <c r="D644" s="21" t="s">
        <v>291</v>
      </c>
      <c r="E644" s="114"/>
      <c r="F644" s="331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</row>
    <row r="645" spans="1:17" ht="13.5" customHeight="1">
      <c r="A645" s="113"/>
      <c r="B645" s="113"/>
      <c r="C645" s="248"/>
      <c r="D645" s="236" t="s">
        <v>117</v>
      </c>
      <c r="E645" s="161"/>
      <c r="F645" s="54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8"/>
    </row>
    <row r="646" spans="1:17" ht="13.5" customHeight="1">
      <c r="A646" s="113"/>
      <c r="B646" s="113"/>
      <c r="C646" s="248"/>
      <c r="D646" s="16" t="s">
        <v>943</v>
      </c>
      <c r="E646" s="15">
        <v>1</v>
      </c>
      <c r="F646" s="100">
        <v>171905</v>
      </c>
      <c r="G646" s="15">
        <f>0+'táj.2'!G646</f>
        <v>0</v>
      </c>
      <c r="H646" s="15">
        <f>0+'táj.2'!H646</f>
        <v>0</v>
      </c>
      <c r="I646" s="15">
        <f>7348+'táj.2'!I646</f>
        <v>7348</v>
      </c>
      <c r="J646" s="15">
        <f>0+'táj.2'!J646</f>
        <v>0</v>
      </c>
      <c r="K646" s="15">
        <f>0+'táj.2'!K646</f>
        <v>0</v>
      </c>
      <c r="L646" s="15">
        <f>0+'táj.2'!L646</f>
        <v>0</v>
      </c>
      <c r="M646" s="15">
        <f>0+'táj.2'!M646</f>
        <v>0</v>
      </c>
      <c r="N646" s="15">
        <f>0+'táj.2'!N646</f>
        <v>0</v>
      </c>
      <c r="O646" s="15">
        <f>0+'táj.2'!O646</f>
        <v>0</v>
      </c>
      <c r="P646" s="15">
        <f>0+'táj.2'!P646</f>
        <v>0</v>
      </c>
      <c r="Q646" s="18">
        <f aca="true" t="shared" si="32" ref="Q646:Q653">SUM(G646:P646)</f>
        <v>7348</v>
      </c>
    </row>
    <row r="647" spans="1:17" ht="13.5" customHeight="1">
      <c r="A647" s="113"/>
      <c r="B647" s="113"/>
      <c r="C647" s="248"/>
      <c r="D647" s="16" t="s">
        <v>292</v>
      </c>
      <c r="E647" s="15">
        <v>1</v>
      </c>
      <c r="F647" s="100">
        <v>171903</v>
      </c>
      <c r="G647" s="15">
        <f>0+'táj.2'!G647</f>
        <v>0</v>
      </c>
      <c r="H647" s="15">
        <f>0+'táj.2'!H647</f>
        <v>0</v>
      </c>
      <c r="I647" s="15">
        <f>520+'táj.2'!I647</f>
        <v>520</v>
      </c>
      <c r="J647" s="15">
        <f>0+'táj.2'!J647</f>
        <v>0</v>
      </c>
      <c r="K647" s="15">
        <f>0+'táj.2'!K647</f>
        <v>0</v>
      </c>
      <c r="L647" s="15">
        <f>0+'táj.2'!L647</f>
        <v>0</v>
      </c>
      <c r="M647" s="15">
        <f>0+'táj.2'!M647</f>
        <v>0</v>
      </c>
      <c r="N647" s="15">
        <f>0+'táj.2'!N647</f>
        <v>0</v>
      </c>
      <c r="O647" s="15">
        <f>0+'táj.2'!O647</f>
        <v>0</v>
      </c>
      <c r="P647" s="15">
        <f>0+'táj.2'!P647</f>
        <v>0</v>
      </c>
      <c r="Q647" s="18">
        <f t="shared" si="32"/>
        <v>520</v>
      </c>
    </row>
    <row r="648" spans="1:17" ht="13.5" customHeight="1">
      <c r="A648" s="113"/>
      <c r="B648" s="113"/>
      <c r="C648" s="248"/>
      <c r="D648" s="16" t="s">
        <v>170</v>
      </c>
      <c r="E648" s="311">
        <v>1</v>
      </c>
      <c r="F648" s="100">
        <v>171920</v>
      </c>
      <c r="G648" s="15">
        <f>0+'táj.2'!G648</f>
        <v>0</v>
      </c>
      <c r="H648" s="15">
        <f>0+'táj.2'!H648</f>
        <v>0</v>
      </c>
      <c r="I648" s="15">
        <f>5199+'táj.2'!I648</f>
        <v>5199</v>
      </c>
      <c r="J648" s="15">
        <f>0+'táj.2'!J648</f>
        <v>0</v>
      </c>
      <c r="K648" s="15">
        <f>0+'táj.2'!K648</f>
        <v>0</v>
      </c>
      <c r="L648" s="15">
        <f>0+'táj.2'!L648</f>
        <v>0</v>
      </c>
      <c r="M648" s="15">
        <f>0+'táj.2'!M648</f>
        <v>0</v>
      </c>
      <c r="N648" s="15">
        <f>0+'táj.2'!N648</f>
        <v>0</v>
      </c>
      <c r="O648" s="15">
        <f>0+'táj.2'!O648</f>
        <v>0</v>
      </c>
      <c r="P648" s="15">
        <f>0+'táj.2'!P648</f>
        <v>0</v>
      </c>
      <c r="Q648" s="18">
        <f t="shared" si="32"/>
        <v>5199</v>
      </c>
    </row>
    <row r="649" spans="1:17" ht="13.5" customHeight="1">
      <c r="A649" s="113"/>
      <c r="B649" s="113"/>
      <c r="C649" s="248"/>
      <c r="D649" s="206" t="s">
        <v>896</v>
      </c>
      <c r="E649" s="179">
        <v>1</v>
      </c>
      <c r="F649" s="172">
        <v>171940</v>
      </c>
      <c r="G649" s="15">
        <f>0+'táj.2'!G649</f>
        <v>0</v>
      </c>
      <c r="H649" s="15">
        <f>0+'táj.2'!H649</f>
        <v>0</v>
      </c>
      <c r="I649" s="15">
        <f>0+'táj.2'!I649</f>
        <v>0</v>
      </c>
      <c r="J649" s="15">
        <f>0+'táj.2'!J649</f>
        <v>0</v>
      </c>
      <c r="K649" s="15">
        <f>0+'táj.2'!K649</f>
        <v>0</v>
      </c>
      <c r="L649" s="15">
        <f>0+'táj.2'!L649</f>
        <v>0</v>
      </c>
      <c r="M649" s="15">
        <f>0+'táj.2'!M649</f>
        <v>0</v>
      </c>
      <c r="N649" s="15">
        <f>0+'táj.2'!N649</f>
        <v>0</v>
      </c>
      <c r="O649" s="15">
        <f>0+'táj.2'!O649</f>
        <v>0</v>
      </c>
      <c r="P649" s="15">
        <f>0+'táj.2'!P649</f>
        <v>0</v>
      </c>
      <c r="Q649" s="18">
        <f t="shared" si="32"/>
        <v>0</v>
      </c>
    </row>
    <row r="650" spans="1:17" ht="13.5" customHeight="1">
      <c r="A650" s="113"/>
      <c r="B650" s="113"/>
      <c r="C650" s="248"/>
      <c r="D650" s="206" t="s">
        <v>39</v>
      </c>
      <c r="E650" s="179">
        <v>1</v>
      </c>
      <c r="F650" s="172">
        <v>171956</v>
      </c>
      <c r="G650" s="15">
        <f>0+'táj.2'!G650</f>
        <v>0</v>
      </c>
      <c r="H650" s="15">
        <f>0+'táj.2'!H650</f>
        <v>0</v>
      </c>
      <c r="I650" s="15">
        <f>2600+'táj.2'!I650</f>
        <v>3960</v>
      </c>
      <c r="J650" s="15">
        <f>0+'táj.2'!J650</f>
        <v>0</v>
      </c>
      <c r="K650" s="15">
        <f>0+'táj.2'!K650</f>
        <v>0</v>
      </c>
      <c r="L650" s="15">
        <f>0+'táj.2'!L650</f>
        <v>0</v>
      </c>
      <c r="M650" s="15">
        <f>0+'táj.2'!M650</f>
        <v>0</v>
      </c>
      <c r="N650" s="15">
        <f>0+'táj.2'!N650</f>
        <v>0</v>
      </c>
      <c r="O650" s="15">
        <f>0+'táj.2'!O650</f>
        <v>0</v>
      </c>
      <c r="P650" s="15">
        <f>0+'táj.2'!P650</f>
        <v>0</v>
      </c>
      <c r="Q650" s="18">
        <f t="shared" si="32"/>
        <v>3960</v>
      </c>
    </row>
    <row r="651" spans="1:17" ht="13.5" customHeight="1">
      <c r="A651" s="113"/>
      <c r="B651" s="113"/>
      <c r="C651" s="248"/>
      <c r="D651" s="206" t="s">
        <v>40</v>
      </c>
      <c r="E651" s="179">
        <v>1</v>
      </c>
      <c r="F651" s="172">
        <v>171958</v>
      </c>
      <c r="G651" s="15">
        <f>0+'táj.2'!G651</f>
        <v>0</v>
      </c>
      <c r="H651" s="15">
        <f>0+'táj.2'!H651</f>
        <v>0</v>
      </c>
      <c r="I651" s="15">
        <f>2872+'táj.2'!I651</f>
        <v>2872</v>
      </c>
      <c r="J651" s="15">
        <f>0+'táj.2'!J651</f>
        <v>0</v>
      </c>
      <c r="K651" s="15">
        <f>0+'táj.2'!K651</f>
        <v>0</v>
      </c>
      <c r="L651" s="15">
        <f>0+'táj.2'!L651</f>
        <v>0</v>
      </c>
      <c r="M651" s="15">
        <f>0+'táj.2'!M651</f>
        <v>0</v>
      </c>
      <c r="N651" s="15">
        <f>0+'táj.2'!N651</f>
        <v>0</v>
      </c>
      <c r="O651" s="15">
        <f>0+'táj.2'!O651</f>
        <v>0</v>
      </c>
      <c r="P651" s="15">
        <f>0+'táj.2'!P651</f>
        <v>0</v>
      </c>
      <c r="Q651" s="18">
        <f t="shared" si="32"/>
        <v>2872</v>
      </c>
    </row>
    <row r="652" spans="1:17" ht="24.75" customHeight="1">
      <c r="A652" s="113"/>
      <c r="B652" s="113"/>
      <c r="C652" s="248"/>
      <c r="D652" s="206" t="s">
        <v>41</v>
      </c>
      <c r="E652" s="179">
        <v>1</v>
      </c>
      <c r="F652" s="172">
        <v>171959</v>
      </c>
      <c r="G652" s="15">
        <f>0+'táj.2'!G652</f>
        <v>0</v>
      </c>
      <c r="H652" s="15">
        <f>0+'táj.2'!H652</f>
        <v>0</v>
      </c>
      <c r="I652" s="15">
        <f>1500+'táj.2'!I652</f>
        <v>1000</v>
      </c>
      <c r="J652" s="15">
        <f>0+'táj.2'!J652</f>
        <v>0</v>
      </c>
      <c r="K652" s="15">
        <f>0+'táj.2'!K652</f>
        <v>0</v>
      </c>
      <c r="L652" s="15">
        <f>0+'táj.2'!L652</f>
        <v>0</v>
      </c>
      <c r="M652" s="15">
        <f>0+'táj.2'!M652</f>
        <v>0</v>
      </c>
      <c r="N652" s="15">
        <f>0+'táj.2'!N652</f>
        <v>0</v>
      </c>
      <c r="O652" s="15">
        <f>0+'táj.2'!O652</f>
        <v>0</v>
      </c>
      <c r="P652" s="15">
        <f>0+'táj.2'!P652</f>
        <v>0</v>
      </c>
      <c r="Q652" s="18">
        <f t="shared" si="32"/>
        <v>1000</v>
      </c>
    </row>
    <row r="653" spans="1:17" ht="15" customHeight="1">
      <c r="A653" s="113"/>
      <c r="B653" s="113"/>
      <c r="C653" s="248"/>
      <c r="D653" s="206" t="s">
        <v>46</v>
      </c>
      <c r="E653" s="179">
        <v>1</v>
      </c>
      <c r="F653" s="172">
        <v>171904</v>
      </c>
      <c r="G653" s="15">
        <f>0+'táj.2'!G653</f>
        <v>0</v>
      </c>
      <c r="H653" s="15">
        <f>0+'táj.2'!H653</f>
        <v>0</v>
      </c>
      <c r="I653" s="15">
        <f>2000+'táj.2'!I653</f>
        <v>4000</v>
      </c>
      <c r="J653" s="15">
        <f>0+'táj.2'!J653</f>
        <v>0</v>
      </c>
      <c r="K653" s="15">
        <f>0+'táj.2'!K653</f>
        <v>0</v>
      </c>
      <c r="L653" s="15">
        <f>0+'táj.2'!L653</f>
        <v>0</v>
      </c>
      <c r="M653" s="15">
        <f>0+'táj.2'!M653</f>
        <v>0</v>
      </c>
      <c r="N653" s="15">
        <f>0+'táj.2'!N653</f>
        <v>0</v>
      </c>
      <c r="O653" s="15">
        <f>0+'táj.2'!O653</f>
        <v>0</v>
      </c>
      <c r="P653" s="15">
        <f>0+'táj.2'!P653</f>
        <v>0</v>
      </c>
      <c r="Q653" s="18">
        <f t="shared" si="32"/>
        <v>4000</v>
      </c>
    </row>
    <row r="654" spans="1:17" ht="13.5" customHeight="1">
      <c r="A654" s="113"/>
      <c r="B654" s="113"/>
      <c r="C654" s="248"/>
      <c r="D654" s="16" t="s">
        <v>1296</v>
      </c>
      <c r="E654" s="15">
        <v>1</v>
      </c>
      <c r="F654" s="100">
        <v>171902</v>
      </c>
      <c r="G654" s="15">
        <f>0+'táj.2'!G654</f>
        <v>0</v>
      </c>
      <c r="H654" s="15">
        <f>0+'táj.2'!H654</f>
        <v>0</v>
      </c>
      <c r="I654" s="15">
        <f>18634+'táj.2'!I654</f>
        <v>18634</v>
      </c>
      <c r="J654" s="15">
        <f>0+'táj.2'!J654</f>
        <v>0</v>
      </c>
      <c r="K654" s="15">
        <f>0+'táj.2'!K654</f>
        <v>0</v>
      </c>
      <c r="L654" s="15">
        <f>0+'táj.2'!L654</f>
        <v>0</v>
      </c>
      <c r="M654" s="15">
        <f>0+'táj.2'!M654</f>
        <v>0</v>
      </c>
      <c r="N654" s="15">
        <f>0+'táj.2'!N654</f>
        <v>0</v>
      </c>
      <c r="O654" s="15">
        <f>0+'táj.2'!O654</f>
        <v>0</v>
      </c>
      <c r="P654" s="15">
        <f>0+'táj.2'!P654</f>
        <v>0</v>
      </c>
      <c r="Q654" s="18">
        <f>SUM(G654:P654)</f>
        <v>18634</v>
      </c>
    </row>
    <row r="655" spans="1:17" ht="13.5" customHeight="1">
      <c r="A655" s="113"/>
      <c r="B655" s="113"/>
      <c r="C655" s="248"/>
      <c r="D655" s="16" t="s">
        <v>38</v>
      </c>
      <c r="E655" s="15">
        <v>1</v>
      </c>
      <c r="F655" s="100">
        <v>171925</v>
      </c>
      <c r="G655" s="15">
        <f>0+'táj.2'!G655</f>
        <v>0</v>
      </c>
      <c r="H655" s="15">
        <f>0+'táj.2'!H655</f>
        <v>0</v>
      </c>
      <c r="I655" s="15">
        <f>500+'táj.2'!I655</f>
        <v>500</v>
      </c>
      <c r="J655" s="15">
        <f>0+'táj.2'!J655</f>
        <v>0</v>
      </c>
      <c r="K655" s="15">
        <f>0+'táj.2'!K655</f>
        <v>0</v>
      </c>
      <c r="L655" s="15">
        <f>0+'táj.2'!L655</f>
        <v>0</v>
      </c>
      <c r="M655" s="15">
        <f>0+'táj.2'!M655</f>
        <v>0</v>
      </c>
      <c r="N655" s="15">
        <f>0+'táj.2'!N655</f>
        <v>0</v>
      </c>
      <c r="O655" s="15">
        <f>0+'táj.2'!O655</f>
        <v>0</v>
      </c>
      <c r="P655" s="15">
        <f>0+'táj.2'!P655</f>
        <v>0</v>
      </c>
      <c r="Q655" s="18">
        <f>SUM(G655:P655)</f>
        <v>500</v>
      </c>
    </row>
    <row r="656" spans="1:17" ht="13.5" customHeight="1">
      <c r="A656" s="113"/>
      <c r="B656" s="113"/>
      <c r="C656" s="248"/>
      <c r="D656" s="320" t="s">
        <v>408</v>
      </c>
      <c r="E656" s="15">
        <v>1</v>
      </c>
      <c r="F656" s="100">
        <v>171968</v>
      </c>
      <c r="G656" s="15">
        <f>0+'táj.2'!G656</f>
        <v>0</v>
      </c>
      <c r="H656" s="15">
        <f>0+'táj.2'!H656</f>
        <v>0</v>
      </c>
      <c r="I656" s="15">
        <f>0+'táj.2'!I656</f>
        <v>0</v>
      </c>
      <c r="J656" s="15">
        <f>0+'táj.2'!J656</f>
        <v>0</v>
      </c>
      <c r="K656" s="15">
        <f>0+'táj.2'!K656</f>
        <v>0</v>
      </c>
      <c r="L656" s="15">
        <f>0+'táj.2'!L656</f>
        <v>0</v>
      </c>
      <c r="M656" s="15">
        <f>0+'táj.2'!M656</f>
        <v>0</v>
      </c>
      <c r="N656" s="15">
        <f>0+'táj.2'!N656</f>
        <v>0</v>
      </c>
      <c r="O656" s="15">
        <f>0+'táj.2'!O656</f>
        <v>0</v>
      </c>
      <c r="P656" s="15">
        <f>0+'táj.2'!P656</f>
        <v>0</v>
      </c>
      <c r="Q656" s="18">
        <f>SUM(G656:P656)</f>
        <v>0</v>
      </c>
    </row>
    <row r="657" spans="1:17" ht="13.5" customHeight="1">
      <c r="A657" s="113"/>
      <c r="B657" s="113"/>
      <c r="C657" s="248"/>
      <c r="D657" s="320" t="s">
        <v>409</v>
      </c>
      <c r="E657" s="15">
        <v>1</v>
      </c>
      <c r="F657" s="100">
        <v>171928</v>
      </c>
      <c r="G657" s="15">
        <f>0+'táj.2'!G657</f>
        <v>0</v>
      </c>
      <c r="H657" s="15">
        <f>0+'táj.2'!H657</f>
        <v>0</v>
      </c>
      <c r="I657" s="15">
        <f>550+'táj.2'!I657</f>
        <v>550</v>
      </c>
      <c r="J657" s="15">
        <f>0+'táj.2'!J657</f>
        <v>0</v>
      </c>
      <c r="K657" s="15">
        <f>0+'táj.2'!K657</f>
        <v>0</v>
      </c>
      <c r="L657" s="15">
        <f>0+'táj.2'!L657</f>
        <v>0</v>
      </c>
      <c r="M657" s="15">
        <f>0+'táj.2'!M657</f>
        <v>0</v>
      </c>
      <c r="N657" s="15">
        <f>0+'táj.2'!N657</f>
        <v>0</v>
      </c>
      <c r="O657" s="15">
        <f>0+'táj.2'!O657</f>
        <v>0</v>
      </c>
      <c r="P657" s="15">
        <f>0+'táj.2'!P657</f>
        <v>0</v>
      </c>
      <c r="Q657" s="18">
        <f>SUM(G657:P657)</f>
        <v>550</v>
      </c>
    </row>
    <row r="658" spans="1:17" ht="15" customHeight="1">
      <c r="A658" s="113"/>
      <c r="B658" s="113"/>
      <c r="C658" s="248"/>
      <c r="D658" s="49" t="s">
        <v>334</v>
      </c>
      <c r="E658" s="15">
        <v>1</v>
      </c>
      <c r="F658" s="100">
        <v>171954</v>
      </c>
      <c r="G658" s="15">
        <f>0+'táj.2'!G658</f>
        <v>0</v>
      </c>
      <c r="H658" s="15">
        <f>0+'táj.2'!H658</f>
        <v>0</v>
      </c>
      <c r="I658" s="15">
        <f>7465+'táj.2'!I658</f>
        <v>7465</v>
      </c>
      <c r="J658" s="15">
        <f>0+'táj.2'!J658</f>
        <v>0</v>
      </c>
      <c r="K658" s="15">
        <f>0+'táj.2'!K658</f>
        <v>0</v>
      </c>
      <c r="L658" s="15">
        <f>0+'táj.2'!L658</f>
        <v>0</v>
      </c>
      <c r="M658" s="15">
        <f>0+'táj.2'!M658</f>
        <v>0</v>
      </c>
      <c r="N658" s="15">
        <f>0+'táj.2'!N658</f>
        <v>0</v>
      </c>
      <c r="O658" s="15">
        <f>0+'táj.2'!O658</f>
        <v>0</v>
      </c>
      <c r="P658" s="15">
        <f>0+'táj.2'!P658</f>
        <v>0</v>
      </c>
      <c r="Q658" s="18">
        <f>SUM(G658:P658)</f>
        <v>7465</v>
      </c>
    </row>
    <row r="659" spans="1:17" ht="13.5" customHeight="1">
      <c r="A659" s="104"/>
      <c r="B659" s="104"/>
      <c r="C659" s="245"/>
      <c r="D659" s="106" t="s">
        <v>434</v>
      </c>
      <c r="E659" s="107"/>
      <c r="F659" s="532"/>
      <c r="G659" s="111">
        <f aca="true" t="shared" si="33" ref="G659:Q659">SUM(G645:G658)</f>
        <v>0</v>
      </c>
      <c r="H659" s="111">
        <f t="shared" si="33"/>
        <v>0</v>
      </c>
      <c r="I659" s="111">
        <f t="shared" si="33"/>
        <v>52048</v>
      </c>
      <c r="J659" s="111">
        <f t="shared" si="33"/>
        <v>0</v>
      </c>
      <c r="K659" s="111">
        <f t="shared" si="33"/>
        <v>0</v>
      </c>
      <c r="L659" s="111">
        <f t="shared" si="33"/>
        <v>0</v>
      </c>
      <c r="M659" s="111">
        <f t="shared" si="33"/>
        <v>0</v>
      </c>
      <c r="N659" s="111">
        <f t="shared" si="33"/>
        <v>0</v>
      </c>
      <c r="O659" s="111">
        <f t="shared" si="33"/>
        <v>0</v>
      </c>
      <c r="P659" s="111">
        <f t="shared" si="33"/>
        <v>0</v>
      </c>
      <c r="Q659" s="111">
        <f t="shared" si="33"/>
        <v>52048</v>
      </c>
    </row>
    <row r="660" spans="1:17" ht="13.5" customHeight="1">
      <c r="A660" s="112"/>
      <c r="B660" s="112"/>
      <c r="C660" s="247"/>
      <c r="D660" s="157" t="s">
        <v>496</v>
      </c>
      <c r="E660" s="109"/>
      <c r="F660" s="539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</row>
    <row r="661" spans="1:17" ht="27.75" customHeight="1">
      <c r="A661" s="112"/>
      <c r="B661" s="112"/>
      <c r="C661" s="244" t="s">
        <v>1328</v>
      </c>
      <c r="D661" s="562" t="s">
        <v>497</v>
      </c>
      <c r="E661" s="529"/>
      <c r="F661" s="546">
        <v>171980</v>
      </c>
      <c r="G661" s="123">
        <f>0+'táj.2'!G661</f>
        <v>0</v>
      </c>
      <c r="H661" s="123">
        <f>0+'táj.2'!H661</f>
        <v>0</v>
      </c>
      <c r="I661" s="123">
        <f>0+'táj.2'!I661</f>
        <v>0</v>
      </c>
      <c r="J661" s="123">
        <f>0+'táj.2'!J661</f>
        <v>0</v>
      </c>
      <c r="K661" s="123">
        <f>0+'táj.2'!K661</f>
        <v>0</v>
      </c>
      <c r="L661" s="123">
        <f>0+'táj.2'!L661</f>
        <v>0</v>
      </c>
      <c r="M661" s="123">
        <f>0+'táj.2'!M661</f>
        <v>0</v>
      </c>
      <c r="N661" s="123">
        <f>35075+'táj.2'!N661</f>
        <v>35111</v>
      </c>
      <c r="O661" s="123">
        <f>0+'táj.2'!O661</f>
        <v>0</v>
      </c>
      <c r="P661" s="123">
        <f>0+'táj.2'!P661</f>
        <v>0</v>
      </c>
      <c r="Q661" s="123">
        <f aca="true" t="shared" si="34" ref="Q661:Q673">SUM(G661:P661)</f>
        <v>35111</v>
      </c>
    </row>
    <row r="662" spans="1:17" ht="27.75" customHeight="1">
      <c r="A662" s="112"/>
      <c r="B662" s="112"/>
      <c r="C662" s="244" t="s">
        <v>1331</v>
      </c>
      <c r="D662" s="428" t="s">
        <v>637</v>
      </c>
      <c r="E662" s="529"/>
      <c r="F662" s="565">
        <v>171969</v>
      </c>
      <c r="G662" s="123">
        <f>0+'táj.2'!G662</f>
        <v>0</v>
      </c>
      <c r="H662" s="123">
        <f>0+'táj.2'!H662</f>
        <v>0</v>
      </c>
      <c r="I662" s="123">
        <f>0+'táj.2'!I662</f>
        <v>0</v>
      </c>
      <c r="J662" s="123">
        <f>0+'táj.2'!J662</f>
        <v>0</v>
      </c>
      <c r="K662" s="123">
        <f>0+'táj.2'!K662</f>
        <v>0</v>
      </c>
      <c r="L662" s="123">
        <f>15000+'táj.2'!L662</f>
        <v>15000</v>
      </c>
      <c r="M662" s="123">
        <f>0+'táj.2'!M662</f>
        <v>0</v>
      </c>
      <c r="N662" s="123">
        <f>0+'táj.2'!N662</f>
        <v>0</v>
      </c>
      <c r="O662" s="123">
        <f>0+'táj.2'!O662</f>
        <v>0</v>
      </c>
      <c r="P662" s="123">
        <f>0+'táj.2'!P662</f>
        <v>0</v>
      </c>
      <c r="Q662" s="123">
        <f t="shared" si="34"/>
        <v>15000</v>
      </c>
    </row>
    <row r="663" spans="1:17" ht="27.75" customHeight="1">
      <c r="A663" s="112"/>
      <c r="B663" s="112"/>
      <c r="C663" s="244" t="s">
        <v>1332</v>
      </c>
      <c r="D663" s="563" t="s">
        <v>348</v>
      </c>
      <c r="E663" s="529"/>
      <c r="F663" s="565">
        <v>171970</v>
      </c>
      <c r="G663" s="123">
        <f>0+'táj.2'!G663</f>
        <v>0</v>
      </c>
      <c r="H663" s="123">
        <f>0+'táj.2'!H663</f>
        <v>0</v>
      </c>
      <c r="I663" s="123">
        <f>0+'táj.2'!I663</f>
        <v>0</v>
      </c>
      <c r="J663" s="123">
        <f>0+'táj.2'!J663</f>
        <v>0</v>
      </c>
      <c r="K663" s="123">
        <f>0+'táj.2'!K663</f>
        <v>0</v>
      </c>
      <c r="L663" s="123">
        <f>5000+'táj.2'!L663</f>
        <v>105000</v>
      </c>
      <c r="M663" s="123">
        <f>0+'táj.2'!M663</f>
        <v>0</v>
      </c>
      <c r="N663" s="123">
        <f>0+'táj.2'!N663</f>
        <v>0</v>
      </c>
      <c r="O663" s="123">
        <f>0+'táj.2'!O663</f>
        <v>0</v>
      </c>
      <c r="P663" s="123">
        <f>0+'táj.2'!P663</f>
        <v>0</v>
      </c>
      <c r="Q663" s="123">
        <f t="shared" si="34"/>
        <v>105000</v>
      </c>
    </row>
    <row r="664" spans="1:17" ht="27.75" customHeight="1">
      <c r="A664" s="112"/>
      <c r="B664" s="112"/>
      <c r="C664" s="100" t="s">
        <v>1208</v>
      </c>
      <c r="D664" s="684" t="s">
        <v>244</v>
      </c>
      <c r="E664" s="684"/>
      <c r="F664" s="565">
        <v>172901</v>
      </c>
      <c r="G664" s="123">
        <f>0+'táj.2'!G664</f>
        <v>0</v>
      </c>
      <c r="H664" s="123">
        <f>0+'táj.2'!H664</f>
        <v>0</v>
      </c>
      <c r="I664" s="123">
        <f>0+'táj.2'!I664</f>
        <v>0</v>
      </c>
      <c r="J664" s="123">
        <f>0+'táj.2'!J664</f>
        <v>0</v>
      </c>
      <c r="K664" s="123">
        <f>0+'táj.2'!K664</f>
        <v>0</v>
      </c>
      <c r="L664" s="123">
        <f>971+'táj.2'!L664</f>
        <v>971</v>
      </c>
      <c r="M664" s="123">
        <f>0+'táj.2'!M664</f>
        <v>0</v>
      </c>
      <c r="N664" s="123">
        <f>0+'táj.2'!N664</f>
        <v>0</v>
      </c>
      <c r="O664" s="123">
        <f>0+'táj.2'!O664</f>
        <v>0</v>
      </c>
      <c r="P664" s="123">
        <f>0+'táj.2'!P664</f>
        <v>0</v>
      </c>
      <c r="Q664" s="123">
        <f t="shared" si="34"/>
        <v>971</v>
      </c>
    </row>
    <row r="665" spans="1:17" ht="27.75" customHeight="1">
      <c r="A665" s="112"/>
      <c r="B665" s="112"/>
      <c r="C665" s="100" t="s">
        <v>317</v>
      </c>
      <c r="D665" s="684" t="s">
        <v>318</v>
      </c>
      <c r="E665" s="684"/>
      <c r="F665" s="565">
        <v>172908</v>
      </c>
      <c r="G665" s="123">
        <f>0+'táj.2'!G665</f>
        <v>0</v>
      </c>
      <c r="H665" s="123">
        <f>0+'táj.2'!H665</f>
        <v>0</v>
      </c>
      <c r="I665" s="123">
        <f>0+'táj.2'!I665</f>
        <v>0</v>
      </c>
      <c r="J665" s="123">
        <f>0+'táj.2'!J665</f>
        <v>0</v>
      </c>
      <c r="K665" s="123">
        <f>0+'táj.2'!K665</f>
        <v>0</v>
      </c>
      <c r="L665" s="123">
        <f>21500+'táj.2'!L665</f>
        <v>21500</v>
      </c>
      <c r="M665" s="123">
        <f>0+'táj.2'!M665</f>
        <v>0</v>
      </c>
      <c r="N665" s="123">
        <f>0+'táj.2'!N665</f>
        <v>0</v>
      </c>
      <c r="O665" s="123">
        <f>0+'táj.2'!O665</f>
        <v>0</v>
      </c>
      <c r="P665" s="123">
        <f>0+'táj.2'!P665</f>
        <v>0</v>
      </c>
      <c r="Q665" s="123">
        <f t="shared" si="34"/>
        <v>21500</v>
      </c>
    </row>
    <row r="666" spans="1:17" ht="27.75" customHeight="1">
      <c r="A666" s="112"/>
      <c r="B666" s="112"/>
      <c r="C666" s="100" t="s">
        <v>663</v>
      </c>
      <c r="D666" s="702" t="s">
        <v>620</v>
      </c>
      <c r="E666" s="529"/>
      <c r="F666" s="703">
        <v>172909</v>
      </c>
      <c r="G666" s="123">
        <f>0+'táj.2'!G666</f>
        <v>0</v>
      </c>
      <c r="H666" s="123">
        <f>0+'táj.2'!H666</f>
        <v>0</v>
      </c>
      <c r="I666" s="123">
        <f>0+'táj.2'!I666</f>
        <v>0</v>
      </c>
      <c r="J666" s="123">
        <f>0+'táj.2'!J666</f>
        <v>0</v>
      </c>
      <c r="K666" s="123">
        <f>0+'táj.2'!K666</f>
        <v>0</v>
      </c>
      <c r="L666" s="123">
        <f>1900000+'táj.2'!L666</f>
        <v>1900000</v>
      </c>
      <c r="M666" s="123">
        <f>0+'táj.2'!M666</f>
        <v>0</v>
      </c>
      <c r="N666" s="123">
        <f>0+'táj.2'!N666</f>
        <v>0</v>
      </c>
      <c r="O666" s="123">
        <f>0+'táj.2'!O666</f>
        <v>0</v>
      </c>
      <c r="P666" s="123">
        <f>0+'táj.2'!P666</f>
        <v>0</v>
      </c>
      <c r="Q666" s="123">
        <f t="shared" si="34"/>
        <v>1900000</v>
      </c>
    </row>
    <row r="667" spans="1:17" ht="27.75" customHeight="1">
      <c r="A667" s="112"/>
      <c r="B667" s="112"/>
      <c r="C667" s="100" t="s">
        <v>1209</v>
      </c>
      <c r="D667" s="49" t="s">
        <v>217</v>
      </c>
      <c r="E667" s="102"/>
      <c r="F667" s="711">
        <v>174904</v>
      </c>
      <c r="G667" s="123">
        <f>0+'táj.2'!G667</f>
        <v>0</v>
      </c>
      <c r="H667" s="123">
        <f>0+'táj.2'!H667</f>
        <v>0</v>
      </c>
      <c r="I667" s="123">
        <f>0+'táj.2'!I667</f>
        <v>0</v>
      </c>
      <c r="J667" s="123">
        <f>0+'táj.2'!J667</f>
        <v>0</v>
      </c>
      <c r="K667" s="123">
        <f>0+'táj.2'!K667</f>
        <v>0</v>
      </c>
      <c r="L667" s="123">
        <f>0+'táj.2'!L667</f>
        <v>0</v>
      </c>
      <c r="M667" s="123">
        <f>0+'táj.2'!M667</f>
        <v>0</v>
      </c>
      <c r="N667" s="123">
        <f>2722+'táj.2'!N667</f>
        <v>2722</v>
      </c>
      <c r="O667" s="123">
        <f>0+'táj.2'!O667</f>
        <v>0</v>
      </c>
      <c r="P667" s="123">
        <f>0+'táj.2'!P667</f>
        <v>0</v>
      </c>
      <c r="Q667" s="123">
        <f t="shared" si="34"/>
        <v>2722</v>
      </c>
    </row>
    <row r="668" spans="1:17" ht="27.75" customHeight="1">
      <c r="A668" s="112"/>
      <c r="B668" s="112"/>
      <c r="C668" s="100" t="s">
        <v>221</v>
      </c>
      <c r="D668" s="717" t="s">
        <v>1422</v>
      </c>
      <c r="E668" s="102"/>
      <c r="F668" s="720">
        <v>174909</v>
      </c>
      <c r="G668" s="123">
        <f>0+'táj.2'!G668</f>
        <v>0</v>
      </c>
      <c r="H668" s="123">
        <f>0+'táj.2'!H668</f>
        <v>0</v>
      </c>
      <c r="I668" s="123">
        <f>0+'táj.2'!I668</f>
        <v>0</v>
      </c>
      <c r="J668" s="123">
        <f>0+'táj.2'!J668</f>
        <v>0</v>
      </c>
      <c r="K668" s="123">
        <f>0+'táj.2'!K668</f>
        <v>0</v>
      </c>
      <c r="L668" s="123">
        <f>0+'táj.2'!L668</f>
        <v>0</v>
      </c>
      <c r="M668" s="123">
        <f>0+'táj.2'!M668</f>
        <v>0</v>
      </c>
      <c r="N668" s="123">
        <f>1000+'táj.2'!N668</f>
        <v>1000</v>
      </c>
      <c r="O668" s="123">
        <f>0+'táj.2'!O668</f>
        <v>0</v>
      </c>
      <c r="P668" s="123">
        <f>0+'táj.2'!P668</f>
        <v>0</v>
      </c>
      <c r="Q668" s="123">
        <f t="shared" si="34"/>
        <v>1000</v>
      </c>
    </row>
    <row r="669" spans="1:17" ht="27.75" customHeight="1">
      <c r="A669" s="112"/>
      <c r="B669" s="112"/>
      <c r="C669" s="100" t="s">
        <v>1454</v>
      </c>
      <c r="D669" s="100" t="s">
        <v>1455</v>
      </c>
      <c r="E669" s="102"/>
      <c r="F669" s="711">
        <v>174906</v>
      </c>
      <c r="G669" s="123">
        <f>0+'táj.2'!G669</f>
        <v>0</v>
      </c>
      <c r="H669" s="123">
        <f>0+'táj.2'!H669</f>
        <v>0</v>
      </c>
      <c r="I669" s="123">
        <f>0+'táj.2'!I669</f>
        <v>5171</v>
      </c>
      <c r="J669" s="123">
        <f>0+'táj.2'!J669</f>
        <v>0</v>
      </c>
      <c r="K669" s="123">
        <f>0+'táj.2'!K669</f>
        <v>0</v>
      </c>
      <c r="L669" s="123">
        <f>0+'táj.2'!L669</f>
        <v>0</v>
      </c>
      <c r="M669" s="123">
        <f>0+'táj.2'!M669</f>
        <v>0</v>
      </c>
      <c r="N669" s="123">
        <f>0+'táj.2'!N669</f>
        <v>0</v>
      </c>
      <c r="O669" s="123">
        <f>0+'táj.2'!O669</f>
        <v>0</v>
      </c>
      <c r="P669" s="123">
        <f>0+'táj.2'!P669</f>
        <v>0</v>
      </c>
      <c r="Q669" s="123">
        <f t="shared" si="34"/>
        <v>5171</v>
      </c>
    </row>
    <row r="670" spans="1:17" ht="13.5" customHeight="1">
      <c r="A670" s="112"/>
      <c r="B670" s="112"/>
      <c r="C670" s="259"/>
      <c r="D670" s="260" t="s">
        <v>421</v>
      </c>
      <c r="E670" s="109"/>
      <c r="F670" s="539"/>
      <c r="G670" s="123"/>
      <c r="H670" s="105"/>
      <c r="I670" s="105"/>
      <c r="J670" s="105"/>
      <c r="K670" s="105"/>
      <c r="L670" s="105"/>
      <c r="M670" s="105"/>
      <c r="N670" s="105"/>
      <c r="O670" s="105"/>
      <c r="P670" s="105"/>
      <c r="Q670" s="123">
        <f t="shared" si="34"/>
        <v>0</v>
      </c>
    </row>
    <row r="671" spans="1:17" ht="13.5" customHeight="1">
      <c r="A671" s="112"/>
      <c r="B671" s="112"/>
      <c r="C671" s="259" t="s">
        <v>145</v>
      </c>
      <c r="D671" s="271" t="s">
        <v>31</v>
      </c>
      <c r="E671" s="109"/>
      <c r="F671" s="328">
        <v>172910</v>
      </c>
      <c r="G671" s="123">
        <f>0+'táj.2'!G671</f>
        <v>0</v>
      </c>
      <c r="H671" s="123">
        <f>0+'táj.2'!H671</f>
        <v>0</v>
      </c>
      <c r="I671" s="123">
        <f>0+'táj.2'!I671</f>
        <v>0</v>
      </c>
      <c r="J671" s="123">
        <f>0+'táj.2'!J671</f>
        <v>0</v>
      </c>
      <c r="K671" s="123">
        <f>0+'táj.2'!K671</f>
        <v>0</v>
      </c>
      <c r="L671" s="123">
        <f>59200+'táj.2'!L671</f>
        <v>59200</v>
      </c>
      <c r="M671" s="123">
        <f>0+'táj.2'!M671</f>
        <v>0</v>
      </c>
      <c r="N671" s="123">
        <f>0+'táj.2'!N671</f>
        <v>0</v>
      </c>
      <c r="O671" s="123">
        <f>0+'táj.2'!O671</f>
        <v>0</v>
      </c>
      <c r="P671" s="123">
        <f>0+'táj.2'!P671</f>
        <v>0</v>
      </c>
      <c r="Q671" s="123">
        <f t="shared" si="34"/>
        <v>59200</v>
      </c>
    </row>
    <row r="672" spans="1:17" ht="13.5" customHeight="1">
      <c r="A672" s="112"/>
      <c r="B672" s="112"/>
      <c r="C672" s="259" t="s">
        <v>106</v>
      </c>
      <c r="D672" s="212" t="s">
        <v>429</v>
      </c>
      <c r="E672" s="109"/>
      <c r="F672" s="328">
        <v>162652</v>
      </c>
      <c r="G672" s="123">
        <f>0+'táj.2'!G672</f>
        <v>0</v>
      </c>
      <c r="H672" s="123">
        <f>0+'táj.2'!H672</f>
        <v>0</v>
      </c>
      <c r="I672" s="123">
        <f>0+'táj.2'!I672</f>
        <v>0</v>
      </c>
      <c r="J672" s="123">
        <f>0+'táj.2'!J672</f>
        <v>0</v>
      </c>
      <c r="K672" s="123">
        <f>0+'táj.2'!K672</f>
        <v>0</v>
      </c>
      <c r="L672" s="123">
        <f>0+'táj.2'!L672</f>
        <v>0</v>
      </c>
      <c r="M672" s="123">
        <f>1200+'táj.2'!M672</f>
        <v>1200</v>
      </c>
      <c r="N672" s="123">
        <f>0+'táj.2'!N672</f>
        <v>0</v>
      </c>
      <c r="O672" s="123">
        <f>0+'táj.2'!O672</f>
        <v>0</v>
      </c>
      <c r="P672" s="123">
        <f>0+'táj.2'!P672</f>
        <v>0</v>
      </c>
      <c r="Q672" s="123">
        <f t="shared" si="34"/>
        <v>1200</v>
      </c>
    </row>
    <row r="673" spans="1:17" ht="13.5" customHeight="1">
      <c r="A673" s="112"/>
      <c r="B673" s="112"/>
      <c r="C673" s="259" t="s">
        <v>107</v>
      </c>
      <c r="D673" s="212" t="s">
        <v>1101</v>
      </c>
      <c r="E673" s="109"/>
      <c r="F673" s="328">
        <v>162603</v>
      </c>
      <c r="G673" s="123">
        <f>0+'táj.2'!G673</f>
        <v>0</v>
      </c>
      <c r="H673" s="123">
        <f>0+'táj.2'!H673</f>
        <v>0</v>
      </c>
      <c r="I673" s="123">
        <f>0+'táj.2'!I673</f>
        <v>0</v>
      </c>
      <c r="J673" s="123">
        <f>0+'táj.2'!J673</f>
        <v>0</v>
      </c>
      <c r="K673" s="123">
        <f>0+'táj.2'!K673</f>
        <v>0</v>
      </c>
      <c r="L673" s="123">
        <f>22871+'táj.2'!L673</f>
        <v>22871</v>
      </c>
      <c r="M673" s="123">
        <f>0+'táj.2'!M673</f>
        <v>0</v>
      </c>
      <c r="N673" s="123">
        <f>0+'táj.2'!N673</f>
        <v>0</v>
      </c>
      <c r="O673" s="123">
        <f>0+'táj.2'!O673</f>
        <v>0</v>
      </c>
      <c r="P673" s="123">
        <f>0+'táj.2'!P673</f>
        <v>0</v>
      </c>
      <c r="Q673" s="123">
        <f t="shared" si="34"/>
        <v>22871</v>
      </c>
    </row>
    <row r="674" spans="1:17" ht="13.5" customHeight="1">
      <c r="A674" s="104"/>
      <c r="B674" s="104"/>
      <c r="C674" s="245"/>
      <c r="D674" s="106" t="s">
        <v>1052</v>
      </c>
      <c r="E674" s="107"/>
      <c r="F674" s="532"/>
      <c r="G674" s="111">
        <f aca="true" t="shared" si="35" ref="G674:Q674">SUM(G659:G673)</f>
        <v>0</v>
      </c>
      <c r="H674" s="111">
        <f t="shared" si="35"/>
        <v>0</v>
      </c>
      <c r="I674" s="111">
        <f t="shared" si="35"/>
        <v>57219</v>
      </c>
      <c r="J674" s="111">
        <f t="shared" si="35"/>
        <v>0</v>
      </c>
      <c r="K674" s="111">
        <f t="shared" si="35"/>
        <v>0</v>
      </c>
      <c r="L674" s="111">
        <f t="shared" si="35"/>
        <v>2124542</v>
      </c>
      <c r="M674" s="111">
        <f t="shared" si="35"/>
        <v>1200</v>
      </c>
      <c r="N674" s="111">
        <f t="shared" si="35"/>
        <v>38833</v>
      </c>
      <c r="O674" s="111">
        <f t="shared" si="35"/>
        <v>0</v>
      </c>
      <c r="P674" s="111">
        <f t="shared" si="35"/>
        <v>0</v>
      </c>
      <c r="Q674" s="111">
        <f t="shared" si="35"/>
        <v>2221794</v>
      </c>
    </row>
    <row r="675" spans="1:17" ht="13.5" customHeight="1">
      <c r="A675" s="113">
        <v>1</v>
      </c>
      <c r="B675" s="113">
        <v>18</v>
      </c>
      <c r="C675" s="248"/>
      <c r="D675" s="21" t="s">
        <v>435</v>
      </c>
      <c r="E675" s="20"/>
      <c r="F675" s="547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</row>
    <row r="676" spans="1:17" ht="13.5" customHeight="1">
      <c r="A676" s="113"/>
      <c r="B676" s="113"/>
      <c r="C676" s="248"/>
      <c r="D676" s="17" t="s">
        <v>117</v>
      </c>
      <c r="E676" s="158"/>
      <c r="F676" s="531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</row>
    <row r="677" spans="1:17" ht="13.5" customHeight="1">
      <c r="A677" s="113"/>
      <c r="B677" s="113"/>
      <c r="C677" s="244"/>
      <c r="D677" s="17" t="s">
        <v>1044</v>
      </c>
      <c r="E677" s="15">
        <v>2</v>
      </c>
      <c r="F677" s="100">
        <v>181905</v>
      </c>
      <c r="G677" s="18">
        <f>0+'táj.2'!G677</f>
        <v>0</v>
      </c>
      <c r="H677" s="18">
        <f>0+'táj.2'!H677</f>
        <v>0</v>
      </c>
      <c r="I677" s="18">
        <f>10049+'táj.2'!I677</f>
        <v>10049</v>
      </c>
      <c r="J677" s="18">
        <f>0+'táj.2'!J677</f>
        <v>0</v>
      </c>
      <c r="K677" s="18">
        <f>0+'táj.2'!K677</f>
        <v>0</v>
      </c>
      <c r="L677" s="18">
        <f>0+'táj.2'!L677</f>
        <v>0</v>
      </c>
      <c r="M677" s="18">
        <f>0+'táj.2'!M677</f>
        <v>0</v>
      </c>
      <c r="N677" s="18">
        <f>0+'táj.2'!N677</f>
        <v>0</v>
      </c>
      <c r="O677" s="18">
        <f>0+'táj.2'!O677</f>
        <v>0</v>
      </c>
      <c r="P677" s="18">
        <f>0+'táj.2'!P677</f>
        <v>0</v>
      </c>
      <c r="Q677" s="18">
        <f>SUM(G677:P677)</f>
        <v>10049</v>
      </c>
    </row>
    <row r="678" spans="1:17" ht="27.75" customHeight="1">
      <c r="A678" s="113"/>
      <c r="B678" s="113"/>
      <c r="C678" s="248"/>
      <c r="D678" s="206" t="s">
        <v>484</v>
      </c>
      <c r="E678" s="15">
        <v>1</v>
      </c>
      <c r="F678" s="100" t="s">
        <v>366</v>
      </c>
      <c r="G678" s="18">
        <f>0+'táj.2'!G678</f>
        <v>0</v>
      </c>
      <c r="H678" s="18">
        <f>0+'táj.2'!H678</f>
        <v>0</v>
      </c>
      <c r="I678" s="18">
        <f>30233+'táj.2'!I678</f>
        <v>30233</v>
      </c>
      <c r="J678" s="18">
        <f>0+'táj.2'!J678</f>
        <v>0</v>
      </c>
      <c r="K678" s="18">
        <f>0+'táj.2'!K678</f>
        <v>0</v>
      </c>
      <c r="L678" s="18">
        <f>0+'táj.2'!L678</f>
        <v>0</v>
      </c>
      <c r="M678" s="18">
        <f>427+'táj.2'!M678</f>
        <v>427</v>
      </c>
      <c r="N678" s="18">
        <f>650+'táj.2'!N678</f>
        <v>650</v>
      </c>
      <c r="O678" s="18">
        <f>0+'táj.2'!O678</f>
        <v>0</v>
      </c>
      <c r="P678" s="18">
        <f>0+'táj.2'!P678</f>
        <v>0</v>
      </c>
      <c r="Q678" s="18">
        <f>SUM(G678:P678)</f>
        <v>31310</v>
      </c>
    </row>
    <row r="679" spans="1:17" ht="13.5" customHeight="1">
      <c r="A679" s="113"/>
      <c r="B679" s="113"/>
      <c r="C679" s="248"/>
      <c r="D679" s="16" t="s">
        <v>47</v>
      </c>
      <c r="E679" s="15">
        <v>1</v>
      </c>
      <c r="F679" s="100">
        <v>181906</v>
      </c>
      <c r="G679" s="18">
        <f>0+'táj.2'!G679</f>
        <v>0</v>
      </c>
      <c r="H679" s="18">
        <f>0+'táj.2'!H679</f>
        <v>0</v>
      </c>
      <c r="I679" s="18">
        <f>1397+'táj.2'!I679</f>
        <v>1397</v>
      </c>
      <c r="J679" s="18">
        <f>0+'táj.2'!J679</f>
        <v>0</v>
      </c>
      <c r="K679" s="18">
        <f>0+'táj.2'!K679</f>
        <v>0</v>
      </c>
      <c r="L679" s="18">
        <f>0+'táj.2'!L679</f>
        <v>0</v>
      </c>
      <c r="M679" s="18">
        <f>0+'táj.2'!M679</f>
        <v>0</v>
      </c>
      <c r="N679" s="18">
        <f>0+'táj.2'!N679</f>
        <v>0</v>
      </c>
      <c r="O679" s="18">
        <f>0+'táj.2'!O679</f>
        <v>0</v>
      </c>
      <c r="P679" s="18">
        <f>0+'táj.2'!P679</f>
        <v>0</v>
      </c>
      <c r="Q679" s="18">
        <f>SUM(G679:P679)</f>
        <v>1397</v>
      </c>
    </row>
    <row r="680" spans="1:17" ht="15" customHeight="1">
      <c r="A680" s="113"/>
      <c r="B680" s="113"/>
      <c r="C680" s="248"/>
      <c r="D680" s="235" t="s">
        <v>57</v>
      </c>
      <c r="E680" s="303"/>
      <c r="F680" s="534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</row>
    <row r="681" spans="1:17" ht="24.75" customHeight="1">
      <c r="A681" s="113"/>
      <c r="B681" s="113"/>
      <c r="C681" s="248"/>
      <c r="D681" s="233" t="s">
        <v>437</v>
      </c>
      <c r="E681" s="302">
        <v>1</v>
      </c>
      <c r="F681" s="113">
        <v>181907</v>
      </c>
      <c r="G681" s="18">
        <f>0+'táj.2'!G681</f>
        <v>0</v>
      </c>
      <c r="H681" s="18">
        <f>0+'táj.2'!H681</f>
        <v>0</v>
      </c>
      <c r="I681" s="18">
        <f>19373+'táj.2'!I681</f>
        <v>19373</v>
      </c>
      <c r="J681" s="18">
        <f>0+'táj.2'!J681</f>
        <v>0</v>
      </c>
      <c r="K681" s="18">
        <f>18443+'táj.2'!K681</f>
        <v>18443</v>
      </c>
      <c r="L681" s="18">
        <f>0+'táj.2'!L681</f>
        <v>0</v>
      </c>
      <c r="M681" s="18">
        <f>0+'táj.2'!M681</f>
        <v>0</v>
      </c>
      <c r="N681" s="18">
        <f>0+'táj.2'!N681</f>
        <v>0</v>
      </c>
      <c r="O681" s="18">
        <f>0+'táj.2'!O681</f>
        <v>0</v>
      </c>
      <c r="P681" s="18">
        <f>0+'táj.2'!P681</f>
        <v>0</v>
      </c>
      <c r="Q681" s="18">
        <f>SUM(G681:P681)</f>
        <v>37816</v>
      </c>
    </row>
    <row r="682" spans="1:17" ht="15.75" customHeight="1">
      <c r="A682" s="113"/>
      <c r="B682" s="113"/>
      <c r="C682" s="248"/>
      <c r="D682" s="17" t="s">
        <v>118</v>
      </c>
      <c r="E682" s="302"/>
      <c r="F682" s="522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</row>
    <row r="683" spans="1:17" ht="15.75" customHeight="1">
      <c r="A683" s="113"/>
      <c r="B683" s="113"/>
      <c r="C683" s="248"/>
      <c r="D683" s="17" t="s">
        <v>818</v>
      </c>
      <c r="E683" s="302">
        <v>1</v>
      </c>
      <c r="F683" s="113">
        <v>181908</v>
      </c>
      <c r="G683" s="18">
        <f>0+'táj.2'!G683</f>
        <v>0</v>
      </c>
      <c r="H683" s="18">
        <f>0+'táj.2'!H683</f>
        <v>0</v>
      </c>
      <c r="I683" s="18">
        <f>0+'táj.2'!I683</f>
        <v>0</v>
      </c>
      <c r="J683" s="18">
        <f>0+'táj.2'!J683</f>
        <v>0</v>
      </c>
      <c r="K683" s="18">
        <f>0+'táj.2'!K683</f>
        <v>0</v>
      </c>
      <c r="L683" s="18">
        <f>0+'táj.2'!L683</f>
        <v>0</v>
      </c>
      <c r="M683" s="18">
        <f>0+'táj.2'!M683</f>
        <v>0</v>
      </c>
      <c r="N683" s="18">
        <f>0+'táj.2'!N683</f>
        <v>0</v>
      </c>
      <c r="O683" s="18">
        <f>0+'táj.2'!O683</f>
        <v>0</v>
      </c>
      <c r="P683" s="18">
        <f>0+'táj.2'!P683</f>
        <v>0</v>
      </c>
      <c r="Q683" s="18">
        <f>SUM(G683:P683)</f>
        <v>0</v>
      </c>
    </row>
    <row r="684" spans="1:17" ht="12.75" customHeight="1">
      <c r="A684" s="113"/>
      <c r="B684" s="113"/>
      <c r="C684" s="248"/>
      <c r="D684" s="233" t="s">
        <v>905</v>
      </c>
      <c r="E684" s="302">
        <v>1</v>
      </c>
      <c r="F684" s="113">
        <v>181909</v>
      </c>
      <c r="G684" s="18">
        <f>0+'táj.2'!G684</f>
        <v>0</v>
      </c>
      <c r="H684" s="18">
        <f>0+'táj.2'!H684</f>
        <v>0</v>
      </c>
      <c r="I684" s="18">
        <f>791+'táj.2'!I684</f>
        <v>491</v>
      </c>
      <c r="J684" s="18">
        <f>0+'táj.2'!J684</f>
        <v>0</v>
      </c>
      <c r="K684" s="18">
        <f>300+'táj.2'!K684</f>
        <v>300</v>
      </c>
      <c r="L684" s="18">
        <f>0+'táj.2'!L684</f>
        <v>0</v>
      </c>
      <c r="M684" s="18">
        <f>0+'táj.2'!M684</f>
        <v>0</v>
      </c>
      <c r="N684" s="18">
        <f>0+'táj.2'!N684</f>
        <v>300</v>
      </c>
      <c r="O684" s="18">
        <f>0+'táj.2'!O684</f>
        <v>0</v>
      </c>
      <c r="P684" s="18">
        <f>0+'táj.2'!P684</f>
        <v>0</v>
      </c>
      <c r="Q684" s="18">
        <f>SUM(G684:P684)</f>
        <v>1091</v>
      </c>
    </row>
    <row r="685" spans="1:17" ht="22.5" customHeight="1">
      <c r="A685" s="113"/>
      <c r="B685" s="113"/>
      <c r="C685" s="248"/>
      <c r="D685" s="233" t="s">
        <v>801</v>
      </c>
      <c r="E685" s="303">
        <v>2</v>
      </c>
      <c r="F685" s="540">
        <v>191142</v>
      </c>
      <c r="G685" s="18">
        <f>0+'táj.2'!G685</f>
        <v>0</v>
      </c>
      <c r="H685" s="18">
        <f>0+'táj.2'!H685</f>
        <v>0</v>
      </c>
      <c r="I685" s="18">
        <f>0+'táj.2'!I685</f>
        <v>0</v>
      </c>
      <c r="J685" s="18">
        <f>0+'táj.2'!J685</f>
        <v>0</v>
      </c>
      <c r="K685" s="18">
        <f>1000+'táj.2'!K685</f>
        <v>1000</v>
      </c>
      <c r="L685" s="18">
        <f>0+'táj.2'!L685</f>
        <v>0</v>
      </c>
      <c r="M685" s="18">
        <f>0+'táj.2'!M685</f>
        <v>0</v>
      </c>
      <c r="N685" s="18">
        <f>0+'táj.2'!N685</f>
        <v>0</v>
      </c>
      <c r="O685" s="18">
        <f>0+'táj.2'!O685</f>
        <v>0</v>
      </c>
      <c r="P685" s="18">
        <f>0+'táj.2'!P685</f>
        <v>0</v>
      </c>
      <c r="Q685" s="18">
        <f>SUM(G685:P685)</f>
        <v>1000</v>
      </c>
    </row>
    <row r="686" spans="1:17" ht="23.25" customHeight="1">
      <c r="A686" s="113"/>
      <c r="B686" s="113"/>
      <c r="C686" s="248"/>
      <c r="D686" s="233" t="s">
        <v>802</v>
      </c>
      <c r="E686" s="303">
        <v>2</v>
      </c>
      <c r="F686" s="540">
        <v>191154</v>
      </c>
      <c r="G686" s="18">
        <f>0+'táj.2'!G686</f>
        <v>0</v>
      </c>
      <c r="H686" s="18">
        <f>0+'táj.2'!H686</f>
        <v>0</v>
      </c>
      <c r="I686" s="18">
        <f>0+'táj.2'!I686</f>
        <v>0</v>
      </c>
      <c r="J686" s="18">
        <f>0+'táj.2'!J686</f>
        <v>0</v>
      </c>
      <c r="K686" s="18">
        <f>2000+'táj.2'!K686</f>
        <v>2000</v>
      </c>
      <c r="L686" s="18">
        <f>0+'táj.2'!L686</f>
        <v>0</v>
      </c>
      <c r="M686" s="18">
        <f>0+'táj.2'!M686</f>
        <v>0</v>
      </c>
      <c r="N686" s="18">
        <f>0+'táj.2'!N686</f>
        <v>0</v>
      </c>
      <c r="O686" s="18">
        <f>0+'táj.2'!O686</f>
        <v>0</v>
      </c>
      <c r="P686" s="18">
        <f>0+'táj.2'!P686</f>
        <v>0</v>
      </c>
      <c r="Q686" s="18">
        <f>SUM(G686:P686)</f>
        <v>2000</v>
      </c>
    </row>
    <row r="687" spans="1:17" ht="23.25" customHeight="1">
      <c r="A687" s="113"/>
      <c r="B687" s="113"/>
      <c r="C687" s="248"/>
      <c r="D687" s="233" t="s">
        <v>1406</v>
      </c>
      <c r="E687" s="303">
        <v>2</v>
      </c>
      <c r="F687" s="534">
        <v>191145</v>
      </c>
      <c r="G687" s="18">
        <f>0+'táj.2'!G687</f>
        <v>0</v>
      </c>
      <c r="H687" s="18">
        <f>0+'táj.2'!H687</f>
        <v>0</v>
      </c>
      <c r="I687" s="18">
        <f>0+'táj.2'!I687</f>
        <v>0</v>
      </c>
      <c r="J687" s="18">
        <f>0+'táj.2'!J687</f>
        <v>0</v>
      </c>
      <c r="K687" s="18">
        <f>1000+'táj.2'!K687</f>
        <v>1000</v>
      </c>
      <c r="L687" s="18">
        <f>0+'táj.2'!L687</f>
        <v>0</v>
      </c>
      <c r="M687" s="18">
        <f>0+'táj.2'!M687</f>
        <v>0</v>
      </c>
      <c r="N687" s="18">
        <f>0+'táj.2'!N687</f>
        <v>0</v>
      </c>
      <c r="O687" s="18">
        <f>0+'táj.2'!O687</f>
        <v>0</v>
      </c>
      <c r="P687" s="18">
        <f>0+'táj.2'!P687</f>
        <v>0</v>
      </c>
      <c r="Q687" s="18">
        <f>SUM(G687:P687)</f>
        <v>1000</v>
      </c>
    </row>
    <row r="688" spans="1:17" ht="15" customHeight="1">
      <c r="A688" s="113"/>
      <c r="B688" s="113"/>
      <c r="C688" s="248"/>
      <c r="D688" s="233" t="s">
        <v>88</v>
      </c>
      <c r="E688" s="302"/>
      <c r="F688" s="522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</row>
    <row r="689" spans="1:17" ht="15" customHeight="1">
      <c r="A689" s="113"/>
      <c r="B689" s="113"/>
      <c r="C689" s="248"/>
      <c r="D689" s="233" t="s">
        <v>250</v>
      </c>
      <c r="E689" s="302">
        <v>1</v>
      </c>
      <c r="F689" s="113">
        <v>181902</v>
      </c>
      <c r="G689" s="18">
        <f>0+'táj.2'!G689</f>
        <v>0</v>
      </c>
      <c r="H689" s="18">
        <f>0+'táj.2'!H689</f>
        <v>0</v>
      </c>
      <c r="I689" s="18">
        <f>100+'táj.2'!I689</f>
        <v>100</v>
      </c>
      <c r="J689" s="18">
        <f>0+'táj.2'!J689</f>
        <v>0</v>
      </c>
      <c r="K689" s="18">
        <f>0+'táj.2'!K689</f>
        <v>0</v>
      </c>
      <c r="L689" s="18">
        <f>0+'táj.2'!L689</f>
        <v>0</v>
      </c>
      <c r="M689" s="18">
        <f>0+'táj.2'!M689</f>
        <v>0</v>
      </c>
      <c r="N689" s="18">
        <f>0+'táj.2'!N689</f>
        <v>0</v>
      </c>
      <c r="O689" s="18">
        <f>0+'táj.2'!O689</f>
        <v>0</v>
      </c>
      <c r="P689" s="18">
        <f>0+'táj.2'!P689</f>
        <v>0</v>
      </c>
      <c r="Q689" s="18">
        <f>SUM(G689:P689)</f>
        <v>100</v>
      </c>
    </row>
    <row r="690" spans="1:17" ht="15" customHeight="1">
      <c r="A690" s="113"/>
      <c r="B690" s="113"/>
      <c r="C690" s="248"/>
      <c r="D690" s="49" t="s">
        <v>335</v>
      </c>
      <c r="E690" s="311">
        <v>1</v>
      </c>
      <c r="F690" s="100">
        <v>181903</v>
      </c>
      <c r="G690" s="18">
        <f>0+'táj.2'!G690</f>
        <v>0</v>
      </c>
      <c r="H690" s="18">
        <f>0+'táj.2'!H690</f>
        <v>0</v>
      </c>
      <c r="I690" s="18">
        <f>100+'táj.2'!I690</f>
        <v>100</v>
      </c>
      <c r="J690" s="18">
        <f>0+'táj.2'!J690</f>
        <v>0</v>
      </c>
      <c r="K690" s="18">
        <f>0+'táj.2'!K690</f>
        <v>0</v>
      </c>
      <c r="L690" s="18">
        <f>0+'táj.2'!L690</f>
        <v>0</v>
      </c>
      <c r="M690" s="18">
        <f>0+'táj.2'!M690</f>
        <v>0</v>
      </c>
      <c r="N690" s="18">
        <f>0+'táj.2'!N690</f>
        <v>0</v>
      </c>
      <c r="O690" s="18">
        <f>0+'táj.2'!O690</f>
        <v>0</v>
      </c>
      <c r="P690" s="18">
        <f>0+'táj.2'!P690</f>
        <v>0</v>
      </c>
      <c r="Q690" s="18">
        <f>SUM(G690:P690)</f>
        <v>100</v>
      </c>
    </row>
    <row r="691" spans="1:17" ht="13.5" customHeight="1">
      <c r="A691" s="127"/>
      <c r="B691" s="127"/>
      <c r="C691" s="127"/>
      <c r="D691" s="17" t="s">
        <v>1299</v>
      </c>
      <c r="E691" s="18">
        <v>1</v>
      </c>
      <c r="F691" s="113">
        <v>181904</v>
      </c>
      <c r="G691" s="18">
        <f>0+'táj.2'!G691</f>
        <v>0</v>
      </c>
      <c r="H691" s="18">
        <f>0+'táj.2'!H691</f>
        <v>0</v>
      </c>
      <c r="I691" s="18">
        <f>150+'táj.2'!I691</f>
        <v>150</v>
      </c>
      <c r="J691" s="18">
        <f>0+'táj.2'!J691</f>
        <v>0</v>
      </c>
      <c r="K691" s="18">
        <f>0+'táj.2'!K691</f>
        <v>0</v>
      </c>
      <c r="L691" s="18">
        <f>0+'táj.2'!L691</f>
        <v>0</v>
      </c>
      <c r="M691" s="18">
        <f>0+'táj.2'!M691</f>
        <v>0</v>
      </c>
      <c r="N691" s="18">
        <f>0+'táj.2'!N691</f>
        <v>0</v>
      </c>
      <c r="O691" s="18">
        <f>0+'táj.2'!O691</f>
        <v>0</v>
      </c>
      <c r="P691" s="18">
        <f>0+'táj.2'!P691</f>
        <v>0</v>
      </c>
      <c r="Q691" s="18">
        <f>SUM(G691:P691)</f>
        <v>150</v>
      </c>
    </row>
    <row r="692" spans="1:17" ht="15" customHeight="1">
      <c r="A692" s="111"/>
      <c r="B692" s="111"/>
      <c r="C692" s="106"/>
      <c r="D692" s="106" t="s">
        <v>788</v>
      </c>
      <c r="E692" s="107"/>
      <c r="F692" s="532"/>
      <c r="G692" s="111"/>
      <c r="H692" s="111"/>
      <c r="I692" s="111">
        <f>SUM(I675:I691)</f>
        <v>61893</v>
      </c>
      <c r="J692" s="111">
        <f aca="true" t="shared" si="36" ref="J692:Q692">SUM(J675:J691)</f>
        <v>0</v>
      </c>
      <c r="K692" s="111">
        <f t="shared" si="36"/>
        <v>22743</v>
      </c>
      <c r="L692" s="111">
        <f t="shared" si="36"/>
        <v>0</v>
      </c>
      <c r="M692" s="111">
        <f t="shared" si="36"/>
        <v>427</v>
      </c>
      <c r="N692" s="111">
        <f t="shared" si="36"/>
        <v>950</v>
      </c>
      <c r="O692" s="111"/>
      <c r="P692" s="111">
        <f t="shared" si="36"/>
        <v>0</v>
      </c>
      <c r="Q692" s="111">
        <f t="shared" si="36"/>
        <v>86013</v>
      </c>
    </row>
    <row r="693" spans="1:17" ht="15" customHeight="1">
      <c r="A693" s="105"/>
      <c r="B693" s="105"/>
      <c r="C693" s="228"/>
      <c r="D693" s="272" t="s">
        <v>498</v>
      </c>
      <c r="E693" s="109"/>
      <c r="F693" s="539"/>
      <c r="G693" s="105"/>
      <c r="H693" s="105"/>
      <c r="I693" s="105"/>
      <c r="J693" s="105"/>
      <c r="K693" s="105"/>
      <c r="L693" s="15"/>
      <c r="M693" s="15"/>
      <c r="N693" s="15"/>
      <c r="O693" s="15"/>
      <c r="P693" s="15"/>
      <c r="Q693" s="15"/>
    </row>
    <row r="694" spans="1:17" ht="15" customHeight="1">
      <c r="A694" s="105"/>
      <c r="B694" s="105"/>
      <c r="C694" s="16" t="s">
        <v>1328</v>
      </c>
      <c r="D694" s="16" t="s">
        <v>635</v>
      </c>
      <c r="E694" s="109"/>
      <c r="F694" s="328">
        <v>182905</v>
      </c>
      <c r="G694" s="15">
        <f>0+'táj.2'!G694</f>
        <v>0</v>
      </c>
      <c r="H694" s="15">
        <f>0+'táj.2'!H694</f>
        <v>0</v>
      </c>
      <c r="I694" s="15">
        <f>71+'táj.2'!I694</f>
        <v>71</v>
      </c>
      <c r="J694" s="15">
        <f>0+'táj.2'!J694</f>
        <v>0</v>
      </c>
      <c r="K694" s="15">
        <f>0+'táj.2'!K694</f>
        <v>0</v>
      </c>
      <c r="L694" s="15">
        <f>5588+'táj.2'!L694</f>
        <v>6279</v>
      </c>
      <c r="M694" s="15">
        <f>691+'táj.2'!M694</f>
        <v>0</v>
      </c>
      <c r="N694" s="15">
        <f>0+'táj.2'!N694</f>
        <v>0</v>
      </c>
      <c r="O694" s="15">
        <f>0+'táj.2'!O694</f>
        <v>0</v>
      </c>
      <c r="P694" s="15">
        <f>0+'táj.2'!P694</f>
        <v>0</v>
      </c>
      <c r="Q694" s="15">
        <f>SUM(G694:P694)</f>
        <v>6350</v>
      </c>
    </row>
    <row r="695" spans="1:17" ht="15" customHeight="1">
      <c r="A695" s="105"/>
      <c r="B695" s="105"/>
      <c r="C695" s="16" t="s">
        <v>1331</v>
      </c>
      <c r="D695" s="293" t="s">
        <v>631</v>
      </c>
      <c r="E695" s="114"/>
      <c r="F695" s="331">
        <v>182906</v>
      </c>
      <c r="G695" s="15">
        <f>0+'táj.2'!G695</f>
        <v>0</v>
      </c>
      <c r="H695" s="15">
        <f>0+'táj.2'!H695</f>
        <v>0</v>
      </c>
      <c r="I695" s="15">
        <f>3307+'táj.2'!I695</f>
        <v>3307</v>
      </c>
      <c r="J695" s="15">
        <f>0+'táj.2'!J695</f>
        <v>0</v>
      </c>
      <c r="K695" s="15">
        <f>0+'táj.2'!K695</f>
        <v>0</v>
      </c>
      <c r="L695" s="15">
        <f>23081+'táj.2'!L695</f>
        <v>23081</v>
      </c>
      <c r="M695" s="15">
        <f>24683+'táj.2'!M695</f>
        <v>24683</v>
      </c>
      <c r="N695" s="15">
        <f>0+'táj.2'!N695</f>
        <v>0</v>
      </c>
      <c r="O695" s="15">
        <f>0+'táj.2'!O695</f>
        <v>0</v>
      </c>
      <c r="P695" s="15">
        <f>0+'táj.2'!P695</f>
        <v>0</v>
      </c>
      <c r="Q695" s="18">
        <f>SUM(G695:P695)</f>
        <v>51071</v>
      </c>
    </row>
    <row r="696" spans="1:17" ht="15" customHeight="1">
      <c r="A696" s="105"/>
      <c r="B696" s="105"/>
      <c r="C696" s="16"/>
      <c r="D696" s="16" t="s">
        <v>350</v>
      </c>
      <c r="E696" s="109"/>
      <c r="F696" s="539"/>
      <c r="G696" s="15"/>
      <c r="H696" s="105"/>
      <c r="I696" s="105"/>
      <c r="J696" s="105"/>
      <c r="K696" s="105"/>
      <c r="L696" s="15"/>
      <c r="M696" s="15"/>
      <c r="N696" s="15"/>
      <c r="O696" s="15"/>
      <c r="P696" s="15"/>
      <c r="Q696" s="15"/>
    </row>
    <row r="697" spans="1:17" ht="15" customHeight="1">
      <c r="A697" s="105"/>
      <c r="B697" s="105"/>
      <c r="C697" s="16" t="s">
        <v>1060</v>
      </c>
      <c r="D697" s="359" t="s">
        <v>1261</v>
      </c>
      <c r="E697" s="109"/>
      <c r="F697" s="328">
        <v>182904</v>
      </c>
      <c r="G697" s="15">
        <f>0+'táj.2'!G697</f>
        <v>0</v>
      </c>
      <c r="H697" s="15">
        <f>0+'táj.2'!H697</f>
        <v>0</v>
      </c>
      <c r="I697" s="15">
        <f>0+'táj.2'!I697</f>
        <v>0</v>
      </c>
      <c r="J697" s="15">
        <f>0+'táj.2'!J697</f>
        <v>0</v>
      </c>
      <c r="K697" s="15">
        <f>0+'táj.2'!K697</f>
        <v>0</v>
      </c>
      <c r="L697" s="15">
        <f>997+'táj.2'!L697</f>
        <v>997</v>
      </c>
      <c r="M697" s="15">
        <f>0+'táj.2'!M697</f>
        <v>0</v>
      </c>
      <c r="N697" s="15">
        <f>0+'táj.2'!N697</f>
        <v>0</v>
      </c>
      <c r="O697" s="15">
        <f>0+'táj.2'!O697</f>
        <v>0</v>
      </c>
      <c r="P697" s="15">
        <f>0+'táj.2'!P697</f>
        <v>0</v>
      </c>
      <c r="Q697" s="15">
        <f>SUM(L697:P697)</f>
        <v>997</v>
      </c>
    </row>
    <row r="698" spans="1:17" s="23" customFormat="1" ht="15" customHeight="1">
      <c r="A698" s="105"/>
      <c r="B698" s="105"/>
      <c r="C698" s="106"/>
      <c r="D698" s="106" t="s">
        <v>252</v>
      </c>
      <c r="E698" s="107"/>
      <c r="F698" s="532"/>
      <c r="G698" s="111">
        <f>SUM(G692:G697)</f>
        <v>0</v>
      </c>
      <c r="H698" s="111">
        <f aca="true" t="shared" si="37" ref="H698:Q698">SUM(H692:H697)</f>
        <v>0</v>
      </c>
      <c r="I698" s="111">
        <f t="shared" si="37"/>
        <v>65271</v>
      </c>
      <c r="J698" s="111">
        <f t="shared" si="37"/>
        <v>0</v>
      </c>
      <c r="K698" s="111">
        <f t="shared" si="37"/>
        <v>22743</v>
      </c>
      <c r="L698" s="111">
        <f t="shared" si="37"/>
        <v>30357</v>
      </c>
      <c r="M698" s="111">
        <f t="shared" si="37"/>
        <v>25110</v>
      </c>
      <c r="N698" s="111">
        <f t="shared" si="37"/>
        <v>950</v>
      </c>
      <c r="O698" s="111">
        <f t="shared" si="37"/>
        <v>0</v>
      </c>
      <c r="P698" s="111">
        <f t="shared" si="37"/>
        <v>0</v>
      </c>
      <c r="Q698" s="111">
        <f t="shared" si="37"/>
        <v>144431</v>
      </c>
    </row>
    <row r="699" spans="1:17" ht="12.75" customHeight="1">
      <c r="A699" s="113">
        <v>1</v>
      </c>
      <c r="B699" s="113">
        <v>19</v>
      </c>
      <c r="C699" s="248"/>
      <c r="D699" s="21" t="s">
        <v>1126</v>
      </c>
      <c r="E699" s="114"/>
      <c r="F699" s="331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</row>
    <row r="700" spans="1:17" ht="12.75" customHeight="1">
      <c r="A700" s="113"/>
      <c r="B700" s="113"/>
      <c r="C700" s="248"/>
      <c r="D700" s="115" t="s">
        <v>89</v>
      </c>
      <c r="E700" s="158"/>
      <c r="F700" s="531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</row>
    <row r="701" spans="1:17" ht="15" customHeight="1">
      <c r="A701" s="113"/>
      <c r="B701" s="113"/>
      <c r="C701" s="248"/>
      <c r="D701" s="17" t="s">
        <v>34</v>
      </c>
      <c r="E701" s="302">
        <v>1</v>
      </c>
      <c r="F701" s="113">
        <v>191101</v>
      </c>
      <c r="G701" s="18">
        <f>0+'táj.2'!G701</f>
        <v>0</v>
      </c>
      <c r="H701" s="18">
        <f>0+'táj.2'!H701</f>
        <v>0</v>
      </c>
      <c r="I701" s="18">
        <f>7572+'táj.2'!I701</f>
        <v>7544</v>
      </c>
      <c r="J701" s="18">
        <f>0+'táj.2'!J701</f>
        <v>0</v>
      </c>
      <c r="K701" s="18">
        <f>2226+'táj.2'!K701</f>
        <v>2254</v>
      </c>
      <c r="L701" s="18">
        <f>0+'táj.2'!L701</f>
        <v>0</v>
      </c>
      <c r="M701" s="18">
        <f>0+'táj.2'!M701</f>
        <v>0</v>
      </c>
      <c r="N701" s="18">
        <f>0+'táj.2'!N701</f>
        <v>0</v>
      </c>
      <c r="O701" s="18">
        <f>0+'táj.2'!O701</f>
        <v>0</v>
      </c>
      <c r="P701" s="18">
        <f>0+'táj.2'!P701</f>
        <v>0</v>
      </c>
      <c r="Q701" s="18">
        <f>SUM(G701:P701)</f>
        <v>9798</v>
      </c>
    </row>
    <row r="702" spans="1:17" ht="15" customHeight="1">
      <c r="A702" s="113"/>
      <c r="B702" s="113"/>
      <c r="C702" s="248"/>
      <c r="D702" s="17" t="s">
        <v>1045</v>
      </c>
      <c r="E702" s="302">
        <v>1</v>
      </c>
      <c r="F702" s="113">
        <v>191901</v>
      </c>
      <c r="G702" s="18">
        <f>0+'táj.2'!G702</f>
        <v>0</v>
      </c>
      <c r="H702" s="18">
        <f>0+'táj.2'!H702</f>
        <v>0</v>
      </c>
      <c r="I702" s="18">
        <f>0+'táj.2'!I702</f>
        <v>0</v>
      </c>
      <c r="J702" s="18">
        <f>0+'táj.2'!J702</f>
        <v>0</v>
      </c>
      <c r="K702" s="18">
        <f>0+'táj.2'!K702</f>
        <v>0</v>
      </c>
      <c r="L702" s="18">
        <f>0+'táj.2'!L702</f>
        <v>0</v>
      </c>
      <c r="M702" s="18">
        <f>0+'táj.2'!M702</f>
        <v>0</v>
      </c>
      <c r="N702" s="18">
        <f>0+'táj.2'!N702</f>
        <v>0</v>
      </c>
      <c r="O702" s="18">
        <f>0+'táj.2'!O702</f>
        <v>0</v>
      </c>
      <c r="P702" s="18">
        <f>72571+'táj.2'!P702</f>
        <v>72571</v>
      </c>
      <c r="Q702" s="18">
        <f>SUM(G702:P702)</f>
        <v>72571</v>
      </c>
    </row>
    <row r="703" spans="1:17" ht="15" customHeight="1">
      <c r="A703" s="113"/>
      <c r="B703" s="113"/>
      <c r="C703" s="248"/>
      <c r="D703" s="235" t="s">
        <v>57</v>
      </c>
      <c r="E703" s="303"/>
      <c r="F703" s="534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</row>
    <row r="704" spans="1:17" ht="15" customHeight="1">
      <c r="A704" s="113"/>
      <c r="B704" s="113"/>
      <c r="C704" s="248"/>
      <c r="D704" s="17" t="s">
        <v>254</v>
      </c>
      <c r="E704" s="302">
        <v>1</v>
      </c>
      <c r="F704" s="113">
        <v>191102</v>
      </c>
      <c r="G704" s="18">
        <f>0+'táj.2'!G704</f>
        <v>0</v>
      </c>
      <c r="H704" s="18">
        <f>0+'táj.2'!H704</f>
        <v>0</v>
      </c>
      <c r="I704" s="18">
        <f>20000+'táj.2'!I704</f>
        <v>20000</v>
      </c>
      <c r="J704" s="18">
        <f>0+'táj.2'!J704</f>
        <v>0</v>
      </c>
      <c r="K704" s="18">
        <f>0+'táj.2'!K704</f>
        <v>0</v>
      </c>
      <c r="L704" s="18">
        <f>0+'táj.2'!L704</f>
        <v>0</v>
      </c>
      <c r="M704" s="18">
        <f>0+'táj.2'!M704</f>
        <v>0</v>
      </c>
      <c r="N704" s="18">
        <f>0+'táj.2'!N704</f>
        <v>0</v>
      </c>
      <c r="O704" s="18">
        <f>0+'táj.2'!O704</f>
        <v>0</v>
      </c>
      <c r="P704" s="18">
        <f>0+'táj.2'!P704</f>
        <v>0</v>
      </c>
      <c r="Q704" s="18">
        <f>SUM(G704:P704)</f>
        <v>20000</v>
      </c>
    </row>
    <row r="705" spans="1:17" ht="15" customHeight="1">
      <c r="A705" s="113"/>
      <c r="B705" s="113"/>
      <c r="C705" s="248"/>
      <c r="D705" s="17" t="s">
        <v>255</v>
      </c>
      <c r="E705" s="18">
        <v>1</v>
      </c>
      <c r="F705" s="113">
        <v>191103</v>
      </c>
      <c r="G705" s="18">
        <f>0+'táj.2'!G705</f>
        <v>0</v>
      </c>
      <c r="H705" s="18">
        <f>0+'táj.2'!H705</f>
        <v>0</v>
      </c>
      <c r="I705" s="18">
        <f>293962+'táj.2'!I705</f>
        <v>293962</v>
      </c>
      <c r="J705" s="18">
        <f>0+'táj.2'!J705</f>
        <v>0</v>
      </c>
      <c r="K705" s="18">
        <f>0+'táj.2'!K705</f>
        <v>0</v>
      </c>
      <c r="L705" s="18">
        <f>0+'táj.2'!L705</f>
        <v>0</v>
      </c>
      <c r="M705" s="18">
        <f>0+'táj.2'!M705</f>
        <v>0</v>
      </c>
      <c r="N705" s="18">
        <f>0+'táj.2'!N705</f>
        <v>0</v>
      </c>
      <c r="O705" s="18">
        <f>0+'táj.2'!O705</f>
        <v>0</v>
      </c>
      <c r="P705" s="18">
        <f>0+'táj.2'!P705</f>
        <v>0</v>
      </c>
      <c r="Q705" s="18">
        <f>SUM(G705:P705)</f>
        <v>293962</v>
      </c>
    </row>
    <row r="706" spans="1:17" ht="15" customHeight="1">
      <c r="A706" s="113"/>
      <c r="B706" s="113"/>
      <c r="C706" s="248"/>
      <c r="D706" s="17" t="s">
        <v>257</v>
      </c>
      <c r="E706" s="18">
        <v>1</v>
      </c>
      <c r="F706" s="113">
        <v>191105</v>
      </c>
      <c r="G706" s="18">
        <f>0+'táj.2'!G706</f>
        <v>0</v>
      </c>
      <c r="H706" s="18">
        <f>0+'táj.2'!H706</f>
        <v>0</v>
      </c>
      <c r="I706" s="18">
        <f>3365+'táj.2'!I706</f>
        <v>3365</v>
      </c>
      <c r="J706" s="18">
        <f>0+'táj.2'!J706</f>
        <v>0</v>
      </c>
      <c r="K706" s="18">
        <f>0+'táj.2'!K706</f>
        <v>0</v>
      </c>
      <c r="L706" s="18">
        <f>0+'táj.2'!L706</f>
        <v>0</v>
      </c>
      <c r="M706" s="18">
        <f>0+'táj.2'!M706</f>
        <v>0</v>
      </c>
      <c r="N706" s="18">
        <f>0+'táj.2'!N706</f>
        <v>0</v>
      </c>
      <c r="O706" s="18">
        <f>0+'táj.2'!O706</f>
        <v>0</v>
      </c>
      <c r="P706" s="18">
        <f>0+'táj.2'!P706</f>
        <v>0</v>
      </c>
      <c r="Q706" s="18">
        <f>SUM(G706:P706)</f>
        <v>3365</v>
      </c>
    </row>
    <row r="707" spans="1:17" ht="15" customHeight="1">
      <c r="A707" s="113"/>
      <c r="B707" s="113"/>
      <c r="C707" s="248"/>
      <c r="D707" s="17" t="s">
        <v>906</v>
      </c>
      <c r="E707" s="18">
        <v>1</v>
      </c>
      <c r="F707" s="113">
        <v>196901</v>
      </c>
      <c r="G707" s="18">
        <f>0+'táj.2'!G707</f>
        <v>0</v>
      </c>
      <c r="H707" s="18">
        <f>0+'táj.2'!H707</f>
        <v>0</v>
      </c>
      <c r="I707" s="18">
        <f>400+'táj.2'!I707</f>
        <v>400</v>
      </c>
      <c r="J707" s="18">
        <f>0+'táj.2'!J707</f>
        <v>0</v>
      </c>
      <c r="K707" s="18">
        <f>0+'táj.2'!K707</f>
        <v>0</v>
      </c>
      <c r="L707" s="18">
        <f>0+'táj.2'!L707</f>
        <v>0</v>
      </c>
      <c r="M707" s="18">
        <f>0+'táj.2'!M707</f>
        <v>0</v>
      </c>
      <c r="N707" s="18">
        <f>8254+'táj.2'!N707</f>
        <v>8254</v>
      </c>
      <c r="O707" s="18">
        <f>0+'táj.2'!O707</f>
        <v>0</v>
      </c>
      <c r="P707" s="18">
        <f>0+'táj.2'!P707</f>
        <v>0</v>
      </c>
      <c r="Q707" s="18">
        <f>SUM(G707:P707)</f>
        <v>8654</v>
      </c>
    </row>
    <row r="708" spans="1:17" ht="15" customHeight="1">
      <c r="A708" s="113"/>
      <c r="B708" s="113"/>
      <c r="C708" s="248"/>
      <c r="D708" s="17" t="s">
        <v>117</v>
      </c>
      <c r="E708" s="18"/>
      <c r="F708" s="113"/>
      <c r="G708" s="18"/>
      <c r="H708" s="18"/>
      <c r="I708" s="15"/>
      <c r="J708" s="18"/>
      <c r="K708" s="18"/>
      <c r="L708" s="18"/>
      <c r="M708" s="18"/>
      <c r="N708" s="18"/>
      <c r="O708" s="18"/>
      <c r="P708" s="18"/>
      <c r="Q708" s="18"/>
    </row>
    <row r="709" spans="1:17" ht="12" customHeight="1">
      <c r="A709" s="113"/>
      <c r="B709" s="113"/>
      <c r="C709" s="248"/>
      <c r="D709" s="17" t="s">
        <v>256</v>
      </c>
      <c r="E709" s="18">
        <v>1</v>
      </c>
      <c r="F709" s="113">
        <v>191104</v>
      </c>
      <c r="G709" s="18">
        <f>0+'táj.2'!G709</f>
        <v>0</v>
      </c>
      <c r="H709" s="18">
        <f>0+'táj.2'!H709</f>
        <v>0</v>
      </c>
      <c r="I709" s="18">
        <f>5130+'táj.2'!I709</f>
        <v>5130</v>
      </c>
      <c r="J709" s="18">
        <f>0+'táj.2'!J709</f>
        <v>0</v>
      </c>
      <c r="K709" s="18">
        <f>0+'táj.2'!K709</f>
        <v>0</v>
      </c>
      <c r="L709" s="18">
        <f>0+'táj.2'!L709</f>
        <v>0</v>
      </c>
      <c r="M709" s="18">
        <f>0+'táj.2'!M709</f>
        <v>0</v>
      </c>
      <c r="N709" s="18">
        <f>0+'táj.2'!N709</f>
        <v>0</v>
      </c>
      <c r="O709" s="18">
        <f>0+'táj.2'!O709</f>
        <v>0</v>
      </c>
      <c r="P709" s="18">
        <f>0+'táj.2'!P709</f>
        <v>0</v>
      </c>
      <c r="Q709" s="18">
        <f>SUM(G709:P709)</f>
        <v>5130</v>
      </c>
    </row>
    <row r="710" spans="1:17" ht="13.5" customHeight="1">
      <c r="A710" s="113"/>
      <c r="B710" s="113"/>
      <c r="C710" s="248"/>
      <c r="D710" s="124" t="s">
        <v>91</v>
      </c>
      <c r="E710" s="18"/>
      <c r="F710" s="113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</row>
    <row r="711" spans="1:17" ht="13.5" customHeight="1">
      <c r="A711" s="113"/>
      <c r="B711" s="113"/>
      <c r="C711" s="248"/>
      <c r="D711" s="17" t="s">
        <v>1493</v>
      </c>
      <c r="E711" s="18">
        <v>2</v>
      </c>
      <c r="F711" s="113">
        <v>191109</v>
      </c>
      <c r="G711" s="18">
        <f>0+'táj.2'!G711</f>
        <v>0</v>
      </c>
      <c r="H711" s="18">
        <f>0+'táj.2'!H711</f>
        <v>0</v>
      </c>
      <c r="I711" s="18">
        <f>0+'táj.2'!I711</f>
        <v>0</v>
      </c>
      <c r="J711" s="18">
        <f>0+'táj.2'!J711</f>
        <v>0</v>
      </c>
      <c r="K711" s="18">
        <f>3500+'táj.2'!K711</f>
        <v>3500</v>
      </c>
      <c r="L711" s="18">
        <f>0+'táj.2'!L711</f>
        <v>0</v>
      </c>
      <c r="M711" s="18">
        <f>0+'táj.2'!M711</f>
        <v>0</v>
      </c>
      <c r="N711" s="18">
        <f>0+'táj.2'!N711</f>
        <v>0</v>
      </c>
      <c r="O711" s="18">
        <f>0+'táj.2'!O711</f>
        <v>0</v>
      </c>
      <c r="P711" s="18">
        <f>0+'táj.2'!P711</f>
        <v>0</v>
      </c>
      <c r="Q711" s="18">
        <f>SUM(G711:P711)</f>
        <v>3500</v>
      </c>
    </row>
    <row r="712" spans="1:17" ht="13.5" customHeight="1">
      <c r="A712" s="113"/>
      <c r="B712" s="113"/>
      <c r="C712" s="248"/>
      <c r="D712" s="17" t="s">
        <v>92</v>
      </c>
      <c r="E712" s="18"/>
      <c r="F712" s="113"/>
      <c r="G712" s="18"/>
      <c r="H712" s="15"/>
      <c r="I712" s="15"/>
      <c r="J712" s="15"/>
      <c r="K712" s="15"/>
      <c r="L712" s="18"/>
      <c r="M712" s="18"/>
      <c r="N712" s="18"/>
      <c r="O712" s="18"/>
      <c r="P712" s="18"/>
      <c r="Q712" s="18"/>
    </row>
    <row r="713" spans="1:17" ht="13.5" customHeight="1">
      <c r="A713" s="113"/>
      <c r="B713" s="113"/>
      <c r="C713" s="248"/>
      <c r="D713" s="17" t="s">
        <v>260</v>
      </c>
      <c r="E713" s="18">
        <v>2</v>
      </c>
      <c r="F713" s="113">
        <v>191401</v>
      </c>
      <c r="G713" s="18">
        <f>0+'táj.2'!G713</f>
        <v>0</v>
      </c>
      <c r="H713" s="18">
        <f>0+'táj.2'!H713</f>
        <v>0</v>
      </c>
      <c r="I713" s="18">
        <f>0+'táj.2'!I713</f>
        <v>0</v>
      </c>
      <c r="J713" s="18">
        <f>0+'táj.2'!J713</f>
        <v>0</v>
      </c>
      <c r="K713" s="18">
        <f>2000+'táj.2'!K713</f>
        <v>2000</v>
      </c>
      <c r="L713" s="18">
        <f>0+'táj.2'!L713</f>
        <v>0</v>
      </c>
      <c r="M713" s="18">
        <f>0+'táj.2'!M713</f>
        <v>0</v>
      </c>
      <c r="N713" s="18">
        <f>0+'táj.2'!N713</f>
        <v>0</v>
      </c>
      <c r="O713" s="18">
        <f>0+'táj.2'!O713</f>
        <v>0</v>
      </c>
      <c r="P713" s="18">
        <f>0+'táj.2'!P713</f>
        <v>0</v>
      </c>
      <c r="Q713" s="18">
        <f>SUM(G713:P713)</f>
        <v>2000</v>
      </c>
    </row>
    <row r="714" spans="1:17" ht="15" customHeight="1">
      <c r="A714" s="113"/>
      <c r="B714" s="113"/>
      <c r="C714" s="248"/>
      <c r="D714" s="235" t="s">
        <v>57</v>
      </c>
      <c r="E714" s="303"/>
      <c r="F714" s="534"/>
      <c r="G714" s="18"/>
      <c r="H714" s="15"/>
      <c r="I714" s="15"/>
      <c r="J714" s="15"/>
      <c r="K714" s="15"/>
      <c r="L714" s="18"/>
      <c r="M714" s="18"/>
      <c r="N714" s="18"/>
      <c r="O714" s="18"/>
      <c r="P714" s="18"/>
      <c r="Q714" s="18"/>
    </row>
    <row r="715" spans="1:17" ht="17.25" customHeight="1">
      <c r="A715" s="113"/>
      <c r="B715" s="113"/>
      <c r="C715" s="248"/>
      <c r="D715" s="193" t="s">
        <v>1398</v>
      </c>
      <c r="E715" s="302">
        <v>1</v>
      </c>
      <c r="F715" s="113">
        <v>191905</v>
      </c>
      <c r="G715" s="18">
        <f>0+'táj.2'!G715</f>
        <v>0</v>
      </c>
      <c r="H715" s="18">
        <f>0+'táj.2'!H715</f>
        <v>0</v>
      </c>
      <c r="I715" s="18">
        <f>0+'táj.2'!I715</f>
        <v>0</v>
      </c>
      <c r="J715" s="18">
        <f>0+'táj.2'!J715</f>
        <v>0</v>
      </c>
      <c r="K715" s="18">
        <f>345888+'táj.2'!K715</f>
        <v>348337</v>
      </c>
      <c r="L715" s="18">
        <f>0+'táj.2'!L715</f>
        <v>0</v>
      </c>
      <c r="M715" s="18">
        <f>0+'táj.2'!M715</f>
        <v>0</v>
      </c>
      <c r="N715" s="18">
        <f>0+'táj.2'!N715</f>
        <v>0</v>
      </c>
      <c r="O715" s="18">
        <f>0+'táj.2'!O715</f>
        <v>0</v>
      </c>
      <c r="P715" s="18">
        <f>0+'táj.2'!P715</f>
        <v>0</v>
      </c>
      <c r="Q715" s="18">
        <f>SUM(G715:P715)</f>
        <v>348337</v>
      </c>
    </row>
    <row r="716" spans="1:17" ht="16.5" customHeight="1">
      <c r="A716" s="113"/>
      <c r="B716" s="113"/>
      <c r="C716" s="248"/>
      <c r="D716" s="309" t="s">
        <v>1046</v>
      </c>
      <c r="E716" s="302"/>
      <c r="F716" s="522"/>
      <c r="G716" s="18"/>
      <c r="H716" s="15"/>
      <c r="I716" s="15"/>
      <c r="J716" s="15"/>
      <c r="K716" s="15"/>
      <c r="L716" s="18"/>
      <c r="M716" s="18"/>
      <c r="N716" s="18"/>
      <c r="O716" s="18"/>
      <c r="P716" s="18"/>
      <c r="Q716" s="18"/>
    </row>
    <row r="717" spans="1:17" ht="24.75" customHeight="1">
      <c r="A717" s="113"/>
      <c r="B717" s="113"/>
      <c r="C717" s="248"/>
      <c r="D717" s="309" t="s">
        <v>410</v>
      </c>
      <c r="E717" s="302">
        <v>1</v>
      </c>
      <c r="F717" s="522">
        <v>191906</v>
      </c>
      <c r="G717" s="18">
        <f>0+'táj.2'!G717</f>
        <v>0</v>
      </c>
      <c r="H717" s="18">
        <f>0+'táj.2'!H717</f>
        <v>0</v>
      </c>
      <c r="I717" s="18">
        <f>0+'táj.2'!I717</f>
        <v>0</v>
      </c>
      <c r="J717" s="18">
        <f>0+'táj.2'!J717</f>
        <v>0</v>
      </c>
      <c r="K717" s="18">
        <f>55500+'táj.2'!K717</f>
        <v>55500</v>
      </c>
      <c r="L717" s="18">
        <f>0+'táj.2'!L717</f>
        <v>0</v>
      </c>
      <c r="M717" s="18">
        <f>0+'táj.2'!M717</f>
        <v>0</v>
      </c>
      <c r="N717" s="18">
        <f>0+'táj.2'!N717</f>
        <v>0</v>
      </c>
      <c r="O717" s="18">
        <f>0+'táj.2'!O717</f>
        <v>0</v>
      </c>
      <c r="P717" s="18">
        <f>0+'táj.2'!P717</f>
        <v>0</v>
      </c>
      <c r="Q717" s="18">
        <f>SUM(G717:P717)</f>
        <v>55500</v>
      </c>
    </row>
    <row r="718" spans="1:17" ht="13.5" customHeight="1">
      <c r="A718" s="113"/>
      <c r="B718" s="113"/>
      <c r="C718" s="248"/>
      <c r="D718" s="17" t="s">
        <v>93</v>
      </c>
      <c r="E718" s="302"/>
      <c r="F718" s="522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</row>
    <row r="719" spans="1:17" ht="13.5" customHeight="1">
      <c r="A719" s="113"/>
      <c r="B719" s="113"/>
      <c r="C719" s="248"/>
      <c r="D719" s="17" t="s">
        <v>261</v>
      </c>
      <c r="E719" s="18">
        <v>2</v>
      </c>
      <c r="F719" s="113">
        <v>191151</v>
      </c>
      <c r="G719" s="18">
        <f>0+'táj.2'!G719</f>
        <v>0</v>
      </c>
      <c r="H719" s="18">
        <f>0+'táj.2'!H719</f>
        <v>0</v>
      </c>
      <c r="I719" s="18">
        <f>0+'táj.2'!I719</f>
        <v>0</v>
      </c>
      <c r="J719" s="18">
        <f>0+'táj.2'!J719</f>
        <v>0</v>
      </c>
      <c r="K719" s="18">
        <f>73000+'táj.2'!K719</f>
        <v>73000</v>
      </c>
      <c r="L719" s="18">
        <f>0+'táj.2'!L719</f>
        <v>0</v>
      </c>
      <c r="M719" s="18">
        <f>0+'táj.2'!M719</f>
        <v>0</v>
      </c>
      <c r="N719" s="18">
        <f>0+'táj.2'!N719</f>
        <v>0</v>
      </c>
      <c r="O719" s="18">
        <f>0+'táj.2'!O719</f>
        <v>0</v>
      </c>
      <c r="P719" s="18">
        <f>0+'táj.2'!P719</f>
        <v>0</v>
      </c>
      <c r="Q719" s="18">
        <f>SUM(G719:P719)</f>
        <v>73000</v>
      </c>
    </row>
    <row r="720" spans="1:17" ht="15" customHeight="1">
      <c r="A720" s="113"/>
      <c r="B720" s="113"/>
      <c r="C720" s="248"/>
      <c r="D720" s="235" t="s">
        <v>57</v>
      </c>
      <c r="E720" s="303"/>
      <c r="F720" s="534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</row>
    <row r="721" spans="1:17" ht="13.5" customHeight="1">
      <c r="A721" s="113"/>
      <c r="B721" s="113"/>
      <c r="C721" s="248"/>
      <c r="D721" s="17" t="s">
        <v>482</v>
      </c>
      <c r="E721" s="18">
        <v>1</v>
      </c>
      <c r="F721" s="113">
        <v>191121</v>
      </c>
      <c r="G721" s="18">
        <f>0+'táj.2'!G721</f>
        <v>0</v>
      </c>
      <c r="H721" s="18">
        <f>0+'táj.2'!H721</f>
        <v>0</v>
      </c>
      <c r="I721" s="18">
        <f>13000+'táj.2'!I721</f>
        <v>13000</v>
      </c>
      <c r="J721" s="18">
        <f>0+'táj.2'!J721</f>
        <v>0</v>
      </c>
      <c r="K721" s="18">
        <f>0+'táj.2'!K721</f>
        <v>0</v>
      </c>
      <c r="L721" s="18">
        <f>0+'táj.2'!L721</f>
        <v>0</v>
      </c>
      <c r="M721" s="18">
        <f>0+'táj.2'!M721</f>
        <v>0</v>
      </c>
      <c r="N721" s="18">
        <f>0+'táj.2'!N721</f>
        <v>0</v>
      </c>
      <c r="O721" s="18">
        <f>0+'táj.2'!O721</f>
        <v>0</v>
      </c>
      <c r="P721" s="18">
        <f>0+'táj.2'!P721</f>
        <v>0</v>
      </c>
      <c r="Q721" s="18">
        <f>SUM(G721:P721)</f>
        <v>13000</v>
      </c>
    </row>
    <row r="722" spans="1:17" ht="13.5" customHeight="1">
      <c r="A722" s="113"/>
      <c r="B722" s="113"/>
      <c r="C722" s="248"/>
      <c r="D722" s="17" t="s">
        <v>97</v>
      </c>
      <c r="E722" s="302"/>
      <c r="F722" s="522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</row>
    <row r="723" spans="1:17" ht="13.5" customHeight="1">
      <c r="A723" s="113"/>
      <c r="B723" s="113"/>
      <c r="C723" s="248"/>
      <c r="D723" s="233" t="s">
        <v>411</v>
      </c>
      <c r="E723" s="306">
        <v>1</v>
      </c>
      <c r="F723" s="326">
        <v>191129</v>
      </c>
      <c r="G723" s="18">
        <f>0+'táj.2'!G723</f>
        <v>0</v>
      </c>
      <c r="H723" s="18">
        <f>0+'táj.2'!H723</f>
        <v>0</v>
      </c>
      <c r="I723" s="18">
        <f>0+'táj.2'!I723</f>
        <v>0</v>
      </c>
      <c r="J723" s="18">
        <f>0+'táj.2'!J723</f>
        <v>0</v>
      </c>
      <c r="K723" s="18">
        <f>176540+'táj.2'!K723</f>
        <v>176540</v>
      </c>
      <c r="L723" s="18">
        <f>0+'táj.2'!L723</f>
        <v>0</v>
      </c>
      <c r="M723" s="18">
        <f>0+'táj.2'!M723</f>
        <v>0</v>
      </c>
      <c r="N723" s="18">
        <f>0+'táj.2'!N723</f>
        <v>0</v>
      </c>
      <c r="O723" s="18">
        <f>0+'táj.2'!O723</f>
        <v>0</v>
      </c>
      <c r="P723" s="18">
        <f>0+'táj.2'!P723</f>
        <v>0</v>
      </c>
      <c r="Q723" s="18">
        <f>SUM(G723:P723)</f>
        <v>176540</v>
      </c>
    </row>
    <row r="724" spans="1:17" ht="24.75" customHeight="1">
      <c r="A724" s="113"/>
      <c r="B724" s="113"/>
      <c r="C724" s="248"/>
      <c r="D724" s="233" t="s">
        <v>98</v>
      </c>
      <c r="E724" s="303"/>
      <c r="F724" s="534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</row>
    <row r="725" spans="1:17" ht="24.75" customHeight="1">
      <c r="A725" s="113"/>
      <c r="B725" s="113"/>
      <c r="C725" s="248"/>
      <c r="D725" s="233" t="s">
        <v>263</v>
      </c>
      <c r="E725" s="303">
        <v>1</v>
      </c>
      <c r="F725" s="540">
        <v>191152</v>
      </c>
      <c r="G725" s="18">
        <f>0+'táj.2'!G725</f>
        <v>0</v>
      </c>
      <c r="H725" s="18">
        <f>0+'táj.2'!H725</f>
        <v>0</v>
      </c>
      <c r="I725" s="18">
        <f>5896+'táj.2'!I725</f>
        <v>5896</v>
      </c>
      <c r="J725" s="18">
        <f>0+'táj.2'!J725</f>
        <v>0</v>
      </c>
      <c r="K725" s="18">
        <f>0+'táj.2'!K725</f>
        <v>0</v>
      </c>
      <c r="L725" s="18">
        <f>0+'táj.2'!L725</f>
        <v>0</v>
      </c>
      <c r="M725" s="18">
        <f>0+'táj.2'!M725</f>
        <v>0</v>
      </c>
      <c r="N725" s="18">
        <f>0+'táj.2'!N725</f>
        <v>0</v>
      </c>
      <c r="O725" s="18">
        <f>1333+'táj.2'!O725</f>
        <v>1333</v>
      </c>
      <c r="P725" s="18">
        <f>0+'táj.2'!P725</f>
        <v>0</v>
      </c>
      <c r="Q725" s="18">
        <f>SUM(G725:P725)</f>
        <v>7229</v>
      </c>
    </row>
    <row r="726" spans="1:17" ht="17.25" customHeight="1">
      <c r="A726" s="113"/>
      <c r="B726" s="113"/>
      <c r="C726" s="248"/>
      <c r="D726" s="16" t="s">
        <v>87</v>
      </c>
      <c r="E726" s="15"/>
      <c r="F726" s="339"/>
      <c r="G726" s="18"/>
      <c r="H726" s="18"/>
      <c r="I726" s="15"/>
      <c r="J726" s="15"/>
      <c r="K726" s="15"/>
      <c r="L726" s="15"/>
      <c r="M726" s="15"/>
      <c r="N726" s="15"/>
      <c r="O726" s="15"/>
      <c r="P726" s="18"/>
      <c r="Q726" s="18"/>
    </row>
    <row r="727" spans="1:17" ht="12" customHeight="1">
      <c r="A727" s="113"/>
      <c r="B727" s="113"/>
      <c r="C727" s="248"/>
      <c r="D727" s="16" t="s">
        <v>940</v>
      </c>
      <c r="E727" s="15">
        <v>2</v>
      </c>
      <c r="F727" s="510" t="s">
        <v>1096</v>
      </c>
      <c r="G727" s="18">
        <f>0+'táj.2'!G727</f>
        <v>0</v>
      </c>
      <c r="H727" s="18">
        <f>0+'táj.2'!H727</f>
        <v>0</v>
      </c>
      <c r="I727" s="18">
        <f>0+'táj.2'!I727</f>
        <v>0</v>
      </c>
      <c r="J727" s="18">
        <f>0+'táj.2'!J727</f>
        <v>0</v>
      </c>
      <c r="K727" s="18">
        <f>4797+'táj.2'!K727</f>
        <v>4797</v>
      </c>
      <c r="L727" s="18">
        <f>0+'táj.2'!L727</f>
        <v>0</v>
      </c>
      <c r="M727" s="18">
        <f>0+'táj.2'!M727</f>
        <v>0</v>
      </c>
      <c r="N727" s="18">
        <f>105+'táj.2'!N727</f>
        <v>105</v>
      </c>
      <c r="O727" s="18">
        <f>0+'táj.2'!O727</f>
        <v>0</v>
      </c>
      <c r="P727" s="18">
        <f>0+'táj.2'!P727</f>
        <v>0</v>
      </c>
      <c r="Q727" s="18">
        <f>SUM(G727:P727)</f>
        <v>4902</v>
      </c>
    </row>
    <row r="728" spans="1:17" ht="13.5" customHeight="1">
      <c r="A728" s="113"/>
      <c r="B728" s="113"/>
      <c r="C728" s="248"/>
      <c r="D728" s="115" t="s">
        <v>81</v>
      </c>
      <c r="E728" s="302"/>
      <c r="F728" s="522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</row>
    <row r="729" spans="1:17" ht="13.5" customHeight="1">
      <c r="A729" s="113"/>
      <c r="B729" s="113"/>
      <c r="C729" s="248"/>
      <c r="D729" s="17" t="s">
        <v>584</v>
      </c>
      <c r="E729" s="18">
        <v>2</v>
      </c>
      <c r="F729" s="113">
        <v>191801</v>
      </c>
      <c r="G729" s="18">
        <f>0+'táj.2'!G729</f>
        <v>0</v>
      </c>
      <c r="H729" s="18">
        <f>0+'táj.2'!H729</f>
        <v>0</v>
      </c>
      <c r="I729" s="18">
        <f>0+'táj.2'!I729</f>
        <v>0</v>
      </c>
      <c r="J729" s="18">
        <f>0+'táj.2'!J729</f>
        <v>0</v>
      </c>
      <c r="K729" s="18">
        <f>45000+'táj.2'!K729</f>
        <v>45000</v>
      </c>
      <c r="L729" s="18">
        <f>0+'táj.2'!L729</f>
        <v>0</v>
      </c>
      <c r="M729" s="18">
        <f>0+'táj.2'!M729</f>
        <v>0</v>
      </c>
      <c r="N729" s="18">
        <f>0+'táj.2'!N729</f>
        <v>0</v>
      </c>
      <c r="O729" s="18">
        <f>0+'táj.2'!O729</f>
        <v>0</v>
      </c>
      <c r="P729" s="18">
        <f>0+'táj.2'!P729</f>
        <v>0</v>
      </c>
      <c r="Q729" s="18">
        <f>SUM(G729:P729)</f>
        <v>45000</v>
      </c>
    </row>
    <row r="730" spans="1:17" ht="23.25" customHeight="1">
      <c r="A730" s="113"/>
      <c r="B730" s="113"/>
      <c r="C730" s="248"/>
      <c r="D730" s="224" t="s">
        <v>218</v>
      </c>
      <c r="E730" s="15"/>
      <c r="F730" s="100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</row>
    <row r="731" spans="1:17" ht="13.5" customHeight="1">
      <c r="A731" s="113"/>
      <c r="B731" s="113"/>
      <c r="C731" s="248"/>
      <c r="D731" s="16" t="s">
        <v>219</v>
      </c>
      <c r="E731" s="15">
        <v>2</v>
      </c>
      <c r="F731" s="100">
        <v>191607</v>
      </c>
      <c r="G731" s="18">
        <f>0+'táj.2'!G731</f>
        <v>0</v>
      </c>
      <c r="H731" s="18">
        <f>0+'táj.2'!H731</f>
        <v>0</v>
      </c>
      <c r="I731" s="18">
        <f>0+'táj.2'!I731</f>
        <v>0</v>
      </c>
      <c r="J731" s="18">
        <f>0+'táj.2'!J731</f>
        <v>0</v>
      </c>
      <c r="K731" s="18">
        <f>19000+'táj.2'!K731</f>
        <v>19000</v>
      </c>
      <c r="L731" s="18">
        <f>0+'táj.2'!L731</f>
        <v>0</v>
      </c>
      <c r="M731" s="18">
        <f>0+'táj.2'!M731</f>
        <v>0</v>
      </c>
      <c r="N731" s="18">
        <f>0+'táj.2'!N731</f>
        <v>0</v>
      </c>
      <c r="O731" s="18">
        <f>0+'táj.2'!O731</f>
        <v>0</v>
      </c>
      <c r="P731" s="18">
        <f>0+'táj.2'!P731</f>
        <v>0</v>
      </c>
      <c r="Q731" s="18">
        <f>SUM(G731:P731)</f>
        <v>19000</v>
      </c>
    </row>
    <row r="732" spans="1:17" ht="13.5" customHeight="1">
      <c r="A732" s="104"/>
      <c r="B732" s="104"/>
      <c r="C732" s="245"/>
      <c r="D732" s="106" t="s">
        <v>276</v>
      </c>
      <c r="E732" s="107"/>
      <c r="F732" s="532"/>
      <c r="G732" s="111">
        <f>SUM(G699:G731)</f>
        <v>0</v>
      </c>
      <c r="H732" s="111">
        <f aca="true" t="shared" si="38" ref="H732:Q732">SUM(H699:H731)</f>
        <v>0</v>
      </c>
      <c r="I732" s="111">
        <f t="shared" si="38"/>
        <v>349297</v>
      </c>
      <c r="J732" s="111">
        <f t="shared" si="38"/>
        <v>0</v>
      </c>
      <c r="K732" s="111">
        <f t="shared" si="38"/>
        <v>729928</v>
      </c>
      <c r="L732" s="111">
        <f t="shared" si="38"/>
        <v>0</v>
      </c>
      <c r="M732" s="111">
        <f t="shared" si="38"/>
        <v>0</v>
      </c>
      <c r="N732" s="111">
        <f t="shared" si="38"/>
        <v>8359</v>
      </c>
      <c r="O732" s="111">
        <f t="shared" si="38"/>
        <v>1333</v>
      </c>
      <c r="P732" s="111">
        <f t="shared" si="38"/>
        <v>72571</v>
      </c>
      <c r="Q732" s="111">
        <f t="shared" si="38"/>
        <v>1161488</v>
      </c>
    </row>
    <row r="733" spans="1:17" ht="13.5" customHeight="1">
      <c r="A733" s="119"/>
      <c r="B733" s="119"/>
      <c r="C733" s="249"/>
      <c r="D733" s="17" t="s">
        <v>493</v>
      </c>
      <c r="E733" s="114"/>
      <c r="F733" s="331"/>
      <c r="G733" s="19"/>
      <c r="H733" s="19"/>
      <c r="I733" s="19"/>
      <c r="J733" s="18"/>
      <c r="K733" s="18"/>
      <c r="L733" s="19"/>
      <c r="M733" s="19"/>
      <c r="N733" s="18"/>
      <c r="O733" s="18"/>
      <c r="P733" s="19"/>
      <c r="Q733" s="18"/>
    </row>
    <row r="734" spans="1:17" ht="24.75" customHeight="1">
      <c r="A734" s="119"/>
      <c r="B734" s="119"/>
      <c r="C734" s="113" t="s">
        <v>1288</v>
      </c>
      <c r="D734" s="664" t="s">
        <v>220</v>
      </c>
      <c r="E734" s="114"/>
      <c r="F734" s="113">
        <v>192909</v>
      </c>
      <c r="G734" s="18">
        <f>0+'táj.2'!G734</f>
        <v>0</v>
      </c>
      <c r="H734" s="18">
        <f>0+'táj.2'!H734</f>
        <v>0</v>
      </c>
      <c r="I734" s="18">
        <f>0+'táj.2'!I734</f>
        <v>0</v>
      </c>
      <c r="J734" s="18">
        <f>0+'táj.2'!J734</f>
        <v>0</v>
      </c>
      <c r="K734" s="18">
        <f>0+'táj.2'!K734</f>
        <v>0</v>
      </c>
      <c r="L734" s="18">
        <f>0+'táj.2'!L734</f>
        <v>0</v>
      </c>
      <c r="M734" s="18">
        <f>0+'táj.2'!M734</f>
        <v>0</v>
      </c>
      <c r="N734" s="18">
        <f>800+'táj.2'!N734</f>
        <v>800</v>
      </c>
      <c r="O734" s="18">
        <f>0+'táj.2'!O734</f>
        <v>0</v>
      </c>
      <c r="P734" s="18">
        <f>0+'táj.2'!P734</f>
        <v>0</v>
      </c>
      <c r="Q734" s="18">
        <f>SUM(G734:P734)</f>
        <v>800</v>
      </c>
    </row>
    <row r="735" spans="1:17" ht="13.5" customHeight="1">
      <c r="A735" s="104"/>
      <c r="B735" s="104"/>
      <c r="C735" s="245"/>
      <c r="D735" s="106" t="s">
        <v>1284</v>
      </c>
      <c r="E735" s="107"/>
      <c r="F735" s="532"/>
      <c r="G735" s="111">
        <f>SUM(G732:G734)</f>
        <v>0</v>
      </c>
      <c r="H735" s="111">
        <f aca="true" t="shared" si="39" ref="H735:Q735">SUM(H732:H734)</f>
        <v>0</v>
      </c>
      <c r="I735" s="111">
        <f t="shared" si="39"/>
        <v>349297</v>
      </c>
      <c r="J735" s="111">
        <f t="shared" si="39"/>
        <v>0</v>
      </c>
      <c r="K735" s="111">
        <f t="shared" si="39"/>
        <v>729928</v>
      </c>
      <c r="L735" s="111">
        <f t="shared" si="39"/>
        <v>0</v>
      </c>
      <c r="M735" s="111">
        <f t="shared" si="39"/>
        <v>0</v>
      </c>
      <c r="N735" s="111">
        <f t="shared" si="39"/>
        <v>9159</v>
      </c>
      <c r="O735" s="111">
        <f t="shared" si="39"/>
        <v>1333</v>
      </c>
      <c r="P735" s="111">
        <f t="shared" si="39"/>
        <v>72571</v>
      </c>
      <c r="Q735" s="111">
        <f t="shared" si="39"/>
        <v>1162288</v>
      </c>
    </row>
    <row r="736" spans="1:17" s="23" customFormat="1" ht="13.5" customHeight="1">
      <c r="A736" s="112">
        <v>1</v>
      </c>
      <c r="B736" s="112">
        <v>20</v>
      </c>
      <c r="C736" s="247"/>
      <c r="D736" s="228" t="s">
        <v>813</v>
      </c>
      <c r="E736" s="109"/>
      <c r="F736" s="539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</row>
    <row r="737" spans="1:17" ht="18.75" customHeight="1">
      <c r="A737" s="112"/>
      <c r="B737" s="112"/>
      <c r="C737" s="247"/>
      <c r="D737" s="237" t="s">
        <v>57</v>
      </c>
      <c r="E737" s="158"/>
      <c r="F737" s="531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</row>
    <row r="738" spans="1:17" ht="13.5" customHeight="1">
      <c r="A738" s="104"/>
      <c r="B738" s="104"/>
      <c r="C738" s="245"/>
      <c r="D738" s="106" t="s">
        <v>36</v>
      </c>
      <c r="E738" s="107"/>
      <c r="F738" s="532"/>
      <c r="G738" s="111"/>
      <c r="H738" s="111"/>
      <c r="I738" s="111"/>
      <c r="J738" s="111"/>
      <c r="K738" s="111"/>
      <c r="L738" s="111"/>
      <c r="M738" s="111"/>
      <c r="N738" s="111"/>
      <c r="O738" s="111"/>
      <c r="P738" s="111"/>
      <c r="Q738" s="111">
        <f>SUM(G738:P738)</f>
        <v>0</v>
      </c>
    </row>
    <row r="739" spans="1:17" ht="13.5" customHeight="1">
      <c r="A739" s="121">
        <v>1</v>
      </c>
      <c r="B739" s="121" t="s">
        <v>277</v>
      </c>
      <c r="C739" s="250"/>
      <c r="D739" s="128" t="s">
        <v>901</v>
      </c>
      <c r="E739" s="125"/>
      <c r="F739" s="251"/>
      <c r="G739" s="122"/>
      <c r="H739" s="122"/>
      <c r="I739" s="18"/>
      <c r="J739" s="122"/>
      <c r="K739" s="122"/>
      <c r="L739" s="122"/>
      <c r="M739" s="122"/>
      <c r="N739" s="122"/>
      <c r="O739" s="122"/>
      <c r="P739" s="122"/>
      <c r="Q739" s="122"/>
    </row>
    <row r="740" spans="1:17" ht="13.5" customHeight="1">
      <c r="A740" s="121"/>
      <c r="B740" s="121"/>
      <c r="C740" s="250"/>
      <c r="D740" s="235" t="s">
        <v>57</v>
      </c>
      <c r="E740" s="158"/>
      <c r="F740" s="531"/>
      <c r="G740" s="122"/>
      <c r="H740" s="122"/>
      <c r="I740" s="18"/>
      <c r="J740" s="122"/>
      <c r="K740" s="122"/>
      <c r="L740" s="122"/>
      <c r="M740" s="122"/>
      <c r="N740" s="122"/>
      <c r="O740" s="122"/>
      <c r="P740" s="122"/>
      <c r="Q740" s="122"/>
    </row>
    <row r="741" spans="1:17" ht="13.5" customHeight="1">
      <c r="A741" s="121"/>
      <c r="B741" s="121"/>
      <c r="C741" s="250"/>
      <c r="D741" s="124" t="s">
        <v>1006</v>
      </c>
      <c r="E741" s="123">
        <v>2</v>
      </c>
      <c r="F741" s="126">
        <v>221901</v>
      </c>
      <c r="G741" s="170">
        <f>14442+'táj.2'!G741</f>
        <v>14442</v>
      </c>
      <c r="H741" s="170">
        <f>9345+'táj.2'!H741</f>
        <v>9345</v>
      </c>
      <c r="I741" s="170">
        <f>19036+'táj.2'!I741</f>
        <v>19036</v>
      </c>
      <c r="J741" s="170">
        <f>0+'táj.2'!J741</f>
        <v>0</v>
      </c>
      <c r="K741" s="170">
        <f>1590+'táj.2'!K741</f>
        <v>1590</v>
      </c>
      <c r="L741" s="170">
        <f>700+'táj.2'!L741</f>
        <v>700</v>
      </c>
      <c r="M741" s="170">
        <f>0+'táj.2'!M741</f>
        <v>0</v>
      </c>
      <c r="N741" s="170">
        <f>0+'táj.2'!N741</f>
        <v>0</v>
      </c>
      <c r="O741" s="170">
        <f>0+'táj.2'!O741</f>
        <v>0</v>
      </c>
      <c r="P741" s="170">
        <f>0+'táj.2'!P741</f>
        <v>0</v>
      </c>
      <c r="Q741" s="123">
        <f aca="true" t="shared" si="40" ref="Q741:Q753">SUM(G741:P741)</f>
        <v>45113</v>
      </c>
    </row>
    <row r="742" spans="1:17" ht="13.5" customHeight="1">
      <c r="A742" s="121"/>
      <c r="B742" s="121"/>
      <c r="C742" s="250"/>
      <c r="D742" s="101" t="s">
        <v>73</v>
      </c>
      <c r="E742" s="166">
        <v>1</v>
      </c>
      <c r="F742" s="100">
        <v>221912</v>
      </c>
      <c r="G742" s="170">
        <f>155+'táj.2'!G742</f>
        <v>160</v>
      </c>
      <c r="H742" s="170">
        <f>92+'táj.2'!H742</f>
        <v>92</v>
      </c>
      <c r="I742" s="170">
        <f>5947+'táj.2'!I742</f>
        <v>5942</v>
      </c>
      <c r="J742" s="170">
        <f>0+'táj.2'!J742</f>
        <v>0</v>
      </c>
      <c r="K742" s="170">
        <f>3450+'táj.2'!K742</f>
        <v>3450</v>
      </c>
      <c r="L742" s="170">
        <f>0+'táj.2'!L742</f>
        <v>0</v>
      </c>
      <c r="M742" s="170">
        <f>0+'táj.2'!M742</f>
        <v>0</v>
      </c>
      <c r="N742" s="170">
        <f>0+'táj.2'!N742</f>
        <v>0</v>
      </c>
      <c r="O742" s="170">
        <f>0+'táj.2'!O742</f>
        <v>0</v>
      </c>
      <c r="P742" s="170">
        <f>0+'táj.2'!P742</f>
        <v>0</v>
      </c>
      <c r="Q742" s="123">
        <f t="shared" si="40"/>
        <v>9644</v>
      </c>
    </row>
    <row r="743" spans="1:17" ht="13.5" customHeight="1">
      <c r="A743" s="121"/>
      <c r="B743" s="121"/>
      <c r="C743" s="250"/>
      <c r="D743" s="101" t="s">
        <v>550</v>
      </c>
      <c r="E743" s="166">
        <v>2</v>
      </c>
      <c r="F743" s="100">
        <v>221916</v>
      </c>
      <c r="G743" s="170">
        <f>1385+'táj.2'!G743</f>
        <v>1385</v>
      </c>
      <c r="H743" s="170">
        <f>800+'táj.2'!H743</f>
        <v>800</v>
      </c>
      <c r="I743" s="170">
        <f>13174+'táj.2'!I743</f>
        <v>13174</v>
      </c>
      <c r="J743" s="170">
        <f>0+'táj.2'!J743</f>
        <v>0</v>
      </c>
      <c r="K743" s="170">
        <f>40000+'táj.2'!K743</f>
        <v>40000</v>
      </c>
      <c r="L743" s="170">
        <f>0+'táj.2'!L743</f>
        <v>0</v>
      </c>
      <c r="M743" s="170">
        <f>0+'táj.2'!M743</f>
        <v>0</v>
      </c>
      <c r="N743" s="170">
        <f>0+'táj.2'!N743</f>
        <v>0</v>
      </c>
      <c r="O743" s="170">
        <f>0+'táj.2'!O743</f>
        <v>0</v>
      </c>
      <c r="P743" s="170">
        <f>0+'táj.2'!P743</f>
        <v>0</v>
      </c>
      <c r="Q743" s="123">
        <f t="shared" si="40"/>
        <v>55359</v>
      </c>
    </row>
    <row r="744" spans="1:17" ht="13.5" customHeight="1">
      <c r="A744" s="121"/>
      <c r="B744" s="121"/>
      <c r="C744" s="250"/>
      <c r="D744" s="16" t="s">
        <v>786</v>
      </c>
      <c r="E744" s="166">
        <v>1</v>
      </c>
      <c r="F744" s="100">
        <v>221950</v>
      </c>
      <c r="G744" s="170">
        <f>101013+'táj.2'!G744</f>
        <v>101013</v>
      </c>
      <c r="H744" s="170">
        <f>27752+'táj.2'!H744</f>
        <v>27752</v>
      </c>
      <c r="I744" s="170">
        <f>1330+'táj.2'!I744</f>
        <v>1330</v>
      </c>
      <c r="J744" s="170">
        <f>0+'táj.2'!J744</f>
        <v>0</v>
      </c>
      <c r="K744" s="170">
        <f>0+'táj.2'!K744</f>
        <v>0</v>
      </c>
      <c r="L744" s="170">
        <f>0+'táj.2'!L744</f>
        <v>0</v>
      </c>
      <c r="M744" s="170">
        <f>0+'táj.2'!M744</f>
        <v>0</v>
      </c>
      <c r="N744" s="170">
        <f>0+'táj.2'!N744</f>
        <v>0</v>
      </c>
      <c r="O744" s="170">
        <f>0+'táj.2'!O744</f>
        <v>0</v>
      </c>
      <c r="P744" s="170">
        <f>0+'táj.2'!P744</f>
        <v>0</v>
      </c>
      <c r="Q744" s="123">
        <f t="shared" si="40"/>
        <v>130095</v>
      </c>
    </row>
    <row r="745" spans="1:17" ht="13.5" customHeight="1">
      <c r="A745" s="121"/>
      <c r="B745" s="121"/>
      <c r="C745" s="250"/>
      <c r="D745" s="16" t="s">
        <v>412</v>
      </c>
      <c r="E745" s="166">
        <v>2</v>
      </c>
      <c r="F745" s="100">
        <v>221904</v>
      </c>
      <c r="G745" s="170">
        <f>0+'táj.2'!G745</f>
        <v>0</v>
      </c>
      <c r="H745" s="170">
        <f>0+'táj.2'!H745</f>
        <v>0</v>
      </c>
      <c r="I745" s="170">
        <f>2000+'táj.2'!I745</f>
        <v>2000</v>
      </c>
      <c r="J745" s="170">
        <f>0+'táj.2'!J745</f>
        <v>0</v>
      </c>
      <c r="K745" s="170">
        <f>0+'táj.2'!K745</f>
        <v>0</v>
      </c>
      <c r="L745" s="170">
        <f>0+'táj.2'!L745</f>
        <v>0</v>
      </c>
      <c r="M745" s="170">
        <f>0+'táj.2'!M745</f>
        <v>0</v>
      </c>
      <c r="N745" s="170">
        <f>0+'táj.2'!N745</f>
        <v>0</v>
      </c>
      <c r="O745" s="170">
        <f>0+'táj.2'!O745</f>
        <v>0</v>
      </c>
      <c r="P745" s="170">
        <f>0+'táj.2'!P745</f>
        <v>0</v>
      </c>
      <c r="Q745" s="123">
        <f t="shared" si="40"/>
        <v>2000</v>
      </c>
    </row>
    <row r="746" spans="1:17" ht="13.5" customHeight="1">
      <c r="A746" s="121"/>
      <c r="B746" s="121"/>
      <c r="C746" s="250"/>
      <c r="D746" s="17" t="s">
        <v>1007</v>
      </c>
      <c r="E746" s="18">
        <v>2</v>
      </c>
      <c r="F746" s="113">
        <v>221922</v>
      </c>
      <c r="G746" s="170">
        <f>0+'táj.2'!G746</f>
        <v>0</v>
      </c>
      <c r="H746" s="170">
        <f>0+'táj.2'!H746</f>
        <v>0</v>
      </c>
      <c r="I746" s="170">
        <f>6000+'táj.2'!I746</f>
        <v>6000</v>
      </c>
      <c r="J746" s="170">
        <f>0+'táj.2'!J746</f>
        <v>0</v>
      </c>
      <c r="K746" s="170">
        <f>0+'táj.2'!K746</f>
        <v>0</v>
      </c>
      <c r="L746" s="170">
        <f>0+'táj.2'!L746</f>
        <v>0</v>
      </c>
      <c r="M746" s="170">
        <f>0+'táj.2'!M746</f>
        <v>0</v>
      </c>
      <c r="N746" s="170">
        <f>0+'táj.2'!N746</f>
        <v>0</v>
      </c>
      <c r="O746" s="170">
        <f>0+'táj.2'!O746</f>
        <v>0</v>
      </c>
      <c r="P746" s="170">
        <f>0+'táj.2'!P746</f>
        <v>0</v>
      </c>
      <c r="Q746" s="123">
        <f t="shared" si="40"/>
        <v>6000</v>
      </c>
    </row>
    <row r="747" spans="1:17" ht="13.5" customHeight="1">
      <c r="A747" s="121"/>
      <c r="B747" s="121"/>
      <c r="C747" s="250"/>
      <c r="D747" s="17" t="s">
        <v>1008</v>
      </c>
      <c r="E747" s="302">
        <v>2</v>
      </c>
      <c r="F747" s="113">
        <v>191139</v>
      </c>
      <c r="G747" s="170">
        <f>0+'táj.2'!G747</f>
        <v>0</v>
      </c>
      <c r="H747" s="170">
        <f>0+'táj.2'!H747</f>
        <v>0</v>
      </c>
      <c r="I747" s="170">
        <f>1465+'táj.2'!I747</f>
        <v>1465</v>
      </c>
      <c r="J747" s="170">
        <f>0+'táj.2'!J747</f>
        <v>0</v>
      </c>
      <c r="K747" s="170">
        <f>0+'táj.2'!K747</f>
        <v>0</v>
      </c>
      <c r="L747" s="170">
        <f>0+'táj.2'!L747</f>
        <v>0</v>
      </c>
      <c r="M747" s="170">
        <f>0+'táj.2'!M747</f>
        <v>0</v>
      </c>
      <c r="N747" s="170">
        <f>0+'táj.2'!N747</f>
        <v>0</v>
      </c>
      <c r="O747" s="170">
        <f>0+'táj.2'!O747</f>
        <v>0</v>
      </c>
      <c r="P747" s="170">
        <f>0+'táj.2'!P747</f>
        <v>0</v>
      </c>
      <c r="Q747" s="123">
        <f t="shared" si="40"/>
        <v>1465</v>
      </c>
    </row>
    <row r="748" spans="1:17" ht="13.5" customHeight="1">
      <c r="A748" s="121"/>
      <c r="B748" s="121"/>
      <c r="C748" s="250"/>
      <c r="D748" s="17" t="s">
        <v>413</v>
      </c>
      <c r="E748" s="302">
        <v>2</v>
      </c>
      <c r="F748" s="522">
        <v>221934</v>
      </c>
      <c r="G748" s="170">
        <f>2537+'táj.2'!G748</f>
        <v>2782</v>
      </c>
      <c r="H748" s="170">
        <f>3590+'táj.2'!H748</f>
        <v>4190</v>
      </c>
      <c r="I748" s="170">
        <f>5232+'táj.2'!I748</f>
        <v>4732</v>
      </c>
      <c r="J748" s="170">
        <f>0+'táj.2'!J748</f>
        <v>0</v>
      </c>
      <c r="K748" s="170">
        <f>1300+'táj.2'!K748</f>
        <v>1600</v>
      </c>
      <c r="L748" s="170">
        <f>2644+'táj.2'!L748</f>
        <v>1999</v>
      </c>
      <c r="M748" s="170">
        <f>0+'táj.2'!M748</f>
        <v>0</v>
      </c>
      <c r="N748" s="170">
        <f>0+'táj.2'!N748</f>
        <v>0</v>
      </c>
      <c r="O748" s="170">
        <f>0+'táj.2'!O748</f>
        <v>0</v>
      </c>
      <c r="P748" s="170">
        <f>0+'táj.2'!P748</f>
        <v>0</v>
      </c>
      <c r="Q748" s="123">
        <f t="shared" si="40"/>
        <v>15303</v>
      </c>
    </row>
    <row r="749" spans="1:17" ht="13.5" customHeight="1">
      <c r="A749" s="121"/>
      <c r="B749" s="121"/>
      <c r="C749" s="250"/>
      <c r="D749" s="17" t="s">
        <v>481</v>
      </c>
      <c r="E749" s="302">
        <v>2</v>
      </c>
      <c r="F749" s="113">
        <v>221927</v>
      </c>
      <c r="G749" s="170">
        <f>0+'táj.2'!G749</f>
        <v>0</v>
      </c>
      <c r="H749" s="170">
        <f>0+'táj.2'!H749</f>
        <v>0</v>
      </c>
      <c r="I749" s="170">
        <f>0+'táj.2'!I749</f>
        <v>0</v>
      </c>
      <c r="J749" s="170">
        <f>0+'táj.2'!J749</f>
        <v>0</v>
      </c>
      <c r="K749" s="170">
        <f>2000+'táj.2'!K749</f>
        <v>2000</v>
      </c>
      <c r="L749" s="170">
        <f>0+'táj.2'!L749</f>
        <v>0</v>
      </c>
      <c r="M749" s="170">
        <f>0+'táj.2'!M749</f>
        <v>0</v>
      </c>
      <c r="N749" s="170">
        <f>0+'táj.2'!N749</f>
        <v>0</v>
      </c>
      <c r="O749" s="170">
        <f>0+'táj.2'!O749</f>
        <v>0</v>
      </c>
      <c r="P749" s="170">
        <f>0+'táj.2'!P749</f>
        <v>0</v>
      </c>
      <c r="Q749" s="123">
        <f t="shared" si="40"/>
        <v>2000</v>
      </c>
    </row>
    <row r="750" spans="1:17" ht="13.5" customHeight="1">
      <c r="A750" s="121"/>
      <c r="B750" s="121"/>
      <c r="C750" s="250"/>
      <c r="D750" s="322" t="s">
        <v>414</v>
      </c>
      <c r="E750" s="302">
        <v>2</v>
      </c>
      <c r="F750" s="522">
        <v>221935</v>
      </c>
      <c r="G750" s="170">
        <f>0+'táj.2'!G750</f>
        <v>0</v>
      </c>
      <c r="H750" s="170">
        <f>0+'táj.2'!H750</f>
        <v>0</v>
      </c>
      <c r="I750" s="170">
        <f>0+'táj.2'!I750</f>
        <v>0</v>
      </c>
      <c r="J750" s="170">
        <f>0+'táj.2'!J750</f>
        <v>0</v>
      </c>
      <c r="K750" s="170">
        <f>23000+'táj.2'!K750</f>
        <v>23000</v>
      </c>
      <c r="L750" s="170">
        <f>0+'táj.2'!L750</f>
        <v>0</v>
      </c>
      <c r="M750" s="170">
        <f>0+'táj.2'!M750</f>
        <v>0</v>
      </c>
      <c r="N750" s="170">
        <f>0+'táj.2'!N750</f>
        <v>0</v>
      </c>
      <c r="O750" s="170">
        <f>0+'táj.2'!O750</f>
        <v>0</v>
      </c>
      <c r="P750" s="170">
        <f>0+'táj.2'!P750</f>
        <v>0</v>
      </c>
      <c r="Q750" s="123">
        <f t="shared" si="40"/>
        <v>23000</v>
      </c>
    </row>
    <row r="751" spans="1:17" ht="13.5" customHeight="1">
      <c r="A751" s="121"/>
      <c r="B751" s="121"/>
      <c r="C751" s="250"/>
      <c r="D751" s="17" t="s">
        <v>259</v>
      </c>
      <c r="E751" s="18">
        <v>2</v>
      </c>
      <c r="F751" s="113">
        <v>191110</v>
      </c>
      <c r="G751" s="170">
        <f>8169+'táj.2'!G751</f>
        <v>8169</v>
      </c>
      <c r="H751" s="170">
        <f>3844+'táj.2'!H751</f>
        <v>3844</v>
      </c>
      <c r="I751" s="170">
        <f>4475+'táj.2'!I751</f>
        <v>4475</v>
      </c>
      <c r="J751" s="170">
        <f>0+'táj.2'!J751</f>
        <v>0</v>
      </c>
      <c r="K751" s="170">
        <f>360+'táj.2'!K751</f>
        <v>360</v>
      </c>
      <c r="L751" s="170">
        <f>0+'táj.2'!L751</f>
        <v>0</v>
      </c>
      <c r="M751" s="170">
        <f>0+'táj.2'!M751</f>
        <v>0</v>
      </c>
      <c r="N751" s="170">
        <f>0+'táj.2'!N751</f>
        <v>0</v>
      </c>
      <c r="O751" s="170">
        <f>0+'táj.2'!O751</f>
        <v>0</v>
      </c>
      <c r="P751" s="170">
        <f>0+'táj.2'!P751</f>
        <v>0</v>
      </c>
      <c r="Q751" s="18">
        <f>SUM(G751:P751)</f>
        <v>16848</v>
      </c>
    </row>
    <row r="752" spans="1:17" ht="22.5" customHeight="1">
      <c r="A752" s="121"/>
      <c r="B752" s="121"/>
      <c r="C752" s="250"/>
      <c r="D752" s="224" t="s">
        <v>941</v>
      </c>
      <c r="E752" s="302">
        <v>2</v>
      </c>
      <c r="F752" s="100">
        <v>221932</v>
      </c>
      <c r="G752" s="170">
        <f>0+'táj.2'!G752</f>
        <v>0</v>
      </c>
      <c r="H752" s="170">
        <f>0+'táj.2'!H752</f>
        <v>0</v>
      </c>
      <c r="I752" s="170">
        <f>0+'táj.2'!I752</f>
        <v>0</v>
      </c>
      <c r="J752" s="170">
        <f>0+'táj.2'!J752</f>
        <v>0</v>
      </c>
      <c r="K752" s="170">
        <f>5000+'táj.2'!K752</f>
        <v>5000</v>
      </c>
      <c r="L752" s="170">
        <f>0+'táj.2'!L752</f>
        <v>0</v>
      </c>
      <c r="M752" s="170">
        <f>0+'táj.2'!M752</f>
        <v>0</v>
      </c>
      <c r="N752" s="170">
        <f>0+'táj.2'!N752</f>
        <v>0</v>
      </c>
      <c r="O752" s="170">
        <f>0+'táj.2'!O752</f>
        <v>0</v>
      </c>
      <c r="P752" s="170">
        <f>0+'táj.2'!P752</f>
        <v>0</v>
      </c>
      <c r="Q752" s="123">
        <f t="shared" si="40"/>
        <v>5000</v>
      </c>
    </row>
    <row r="753" spans="1:17" ht="15" customHeight="1">
      <c r="A753" s="121"/>
      <c r="B753" s="121"/>
      <c r="C753" s="250"/>
      <c r="D753" s="224" t="s">
        <v>942</v>
      </c>
      <c r="E753" s="302">
        <v>2</v>
      </c>
      <c r="F753" s="100">
        <v>221933</v>
      </c>
      <c r="G753" s="170">
        <f>0+'táj.2'!G753</f>
        <v>0</v>
      </c>
      <c r="H753" s="170">
        <f>0+'táj.2'!H753</f>
        <v>0</v>
      </c>
      <c r="I753" s="170">
        <f>1500+'táj.2'!I753</f>
        <v>1500</v>
      </c>
      <c r="J753" s="170">
        <f>0+'táj.2'!J753</f>
        <v>0</v>
      </c>
      <c r="K753" s="170">
        <f>0+'táj.2'!K753</f>
        <v>0</v>
      </c>
      <c r="L753" s="170">
        <f>0+'táj.2'!L753</f>
        <v>0</v>
      </c>
      <c r="M753" s="170">
        <f>0+'táj.2'!M753</f>
        <v>0</v>
      </c>
      <c r="N753" s="170">
        <f>0+'táj.2'!N753</f>
        <v>0</v>
      </c>
      <c r="O753" s="170">
        <f>0+'táj.2'!O753</f>
        <v>0</v>
      </c>
      <c r="P753" s="170">
        <f>0+'táj.2'!P753</f>
        <v>0</v>
      </c>
      <c r="Q753" s="123">
        <f t="shared" si="40"/>
        <v>1500</v>
      </c>
    </row>
    <row r="754" spans="1:17" ht="13.5" customHeight="1">
      <c r="A754" s="121"/>
      <c r="B754" s="121"/>
      <c r="C754" s="250"/>
      <c r="D754" s="17" t="s">
        <v>90</v>
      </c>
      <c r="E754" s="302"/>
      <c r="F754" s="522"/>
      <c r="G754" s="170"/>
      <c r="H754" s="18"/>
      <c r="I754" s="15"/>
      <c r="J754" s="15"/>
      <c r="K754" s="15"/>
      <c r="L754" s="18"/>
      <c r="M754" s="18"/>
      <c r="N754" s="18"/>
      <c r="O754" s="18"/>
      <c r="P754" s="18"/>
      <c r="Q754" s="18"/>
    </row>
    <row r="755" spans="1:17" ht="13.5" customHeight="1">
      <c r="A755" s="121"/>
      <c r="B755" s="121"/>
      <c r="C755" s="250"/>
      <c r="D755" s="17" t="s">
        <v>1301</v>
      </c>
      <c r="E755" s="18">
        <v>2</v>
      </c>
      <c r="F755" s="113">
        <v>191301</v>
      </c>
      <c r="G755" s="170">
        <f>0+'táj.2'!G755</f>
        <v>0</v>
      </c>
      <c r="H755" s="170">
        <f>0+'táj.2'!H755</f>
        <v>0</v>
      </c>
      <c r="I755" s="170">
        <f>0+'táj.2'!I755</f>
        <v>0</v>
      </c>
      <c r="J755" s="170">
        <f>0+'táj.2'!J755</f>
        <v>0</v>
      </c>
      <c r="K755" s="170">
        <f>35400+'táj.2'!K755</f>
        <v>35400</v>
      </c>
      <c r="L755" s="170">
        <f>0+'táj.2'!L755</f>
        <v>0</v>
      </c>
      <c r="M755" s="170">
        <f>0+'táj.2'!M755</f>
        <v>0</v>
      </c>
      <c r="N755" s="170">
        <f>0+'táj.2'!N755</f>
        <v>0</v>
      </c>
      <c r="O755" s="170">
        <f>0+'táj.2'!O755</f>
        <v>0</v>
      </c>
      <c r="P755" s="170">
        <f>0+'táj.2'!P755</f>
        <v>0</v>
      </c>
      <c r="Q755" s="18">
        <f>SUM(G755:P755)</f>
        <v>35400</v>
      </c>
    </row>
    <row r="756" spans="1:17" ht="13.5" customHeight="1">
      <c r="A756" s="121"/>
      <c r="B756" s="121"/>
      <c r="C756" s="250"/>
      <c r="D756" s="17" t="s">
        <v>258</v>
      </c>
      <c r="E756" s="18">
        <v>2</v>
      </c>
      <c r="F756" s="113">
        <v>191302</v>
      </c>
      <c r="G756" s="170">
        <f>0+'táj.2'!G756</f>
        <v>0</v>
      </c>
      <c r="H756" s="170">
        <f>0+'táj.2'!H756</f>
        <v>0</v>
      </c>
      <c r="I756" s="170">
        <f>9600+'táj.2'!I756</f>
        <v>9600</v>
      </c>
      <c r="J756" s="170">
        <f>0+'táj.2'!J756</f>
        <v>0</v>
      </c>
      <c r="K756" s="170">
        <f>0+'táj.2'!K756</f>
        <v>0</v>
      </c>
      <c r="L756" s="170">
        <f>0+'táj.2'!L756</f>
        <v>0</v>
      </c>
      <c r="M756" s="170">
        <f>0+'táj.2'!M756</f>
        <v>0</v>
      </c>
      <c r="N756" s="170">
        <f>0+'táj.2'!N756</f>
        <v>0</v>
      </c>
      <c r="O756" s="170">
        <f>0+'táj.2'!O756</f>
        <v>0</v>
      </c>
      <c r="P756" s="170">
        <f>0+'táj.2'!P756</f>
        <v>0</v>
      </c>
      <c r="Q756" s="18">
        <f>SUM(G756:P756)</f>
        <v>9600</v>
      </c>
    </row>
    <row r="757" spans="1:17" ht="13.5" customHeight="1">
      <c r="A757" s="121"/>
      <c r="B757" s="121"/>
      <c r="C757" s="250"/>
      <c r="D757" s="321" t="s">
        <v>415</v>
      </c>
      <c r="E757" s="18">
        <v>2</v>
      </c>
      <c r="F757" s="113">
        <v>191303</v>
      </c>
      <c r="G757" s="170">
        <f>0+'táj.2'!G757</f>
        <v>0</v>
      </c>
      <c r="H757" s="170">
        <f>0+'táj.2'!H757</f>
        <v>0</v>
      </c>
      <c r="I757" s="170">
        <f>0+'táj.2'!I757</f>
        <v>0</v>
      </c>
      <c r="J757" s="170">
        <f>0+'táj.2'!J757</f>
        <v>0</v>
      </c>
      <c r="K757" s="170">
        <f>500+'táj.2'!K757</f>
        <v>500</v>
      </c>
      <c r="L757" s="170">
        <f>0+'táj.2'!L757</f>
        <v>0</v>
      </c>
      <c r="M757" s="170">
        <f>0+'táj.2'!M757</f>
        <v>0</v>
      </c>
      <c r="N757" s="170">
        <f>0+'táj.2'!N757</f>
        <v>0</v>
      </c>
      <c r="O757" s="170">
        <f>0+'táj.2'!O757</f>
        <v>0</v>
      </c>
      <c r="P757" s="170">
        <f>0+'táj.2'!P757</f>
        <v>0</v>
      </c>
      <c r="Q757" s="18">
        <f>SUM(G757:P757)</f>
        <v>500</v>
      </c>
    </row>
    <row r="758" spans="1:17" ht="13.5" customHeight="1">
      <c r="A758" s="121"/>
      <c r="B758" s="121"/>
      <c r="C758" s="250"/>
      <c r="D758" s="101" t="s">
        <v>79</v>
      </c>
      <c r="E758" s="166"/>
      <c r="F758" s="100"/>
      <c r="G758" s="170"/>
      <c r="H758" s="123"/>
      <c r="I758" s="15"/>
      <c r="J758" s="123"/>
      <c r="K758" s="123"/>
      <c r="L758" s="156"/>
      <c r="M758" s="156"/>
      <c r="N758" s="156"/>
      <c r="O758" s="156"/>
      <c r="P758" s="156"/>
      <c r="Q758" s="123"/>
    </row>
    <row r="759" spans="1:17" ht="13.5" customHeight="1">
      <c r="A759" s="121"/>
      <c r="B759" s="121"/>
      <c r="C759" s="250"/>
      <c r="D759" s="233" t="s">
        <v>171</v>
      </c>
      <c r="E759" s="312">
        <v>2</v>
      </c>
      <c r="F759" s="540">
        <v>221951</v>
      </c>
      <c r="G759" s="170">
        <f>0+'táj.2'!G759</f>
        <v>0</v>
      </c>
      <c r="H759" s="170">
        <f>0+'táj.2'!H759</f>
        <v>0</v>
      </c>
      <c r="I759" s="170">
        <f>193+'táj.2'!I759</f>
        <v>193</v>
      </c>
      <c r="J759" s="170">
        <f>0+'táj.2'!J759</f>
        <v>0</v>
      </c>
      <c r="K759" s="170">
        <f>14632+'táj.2'!K759</f>
        <v>14632</v>
      </c>
      <c r="L759" s="170">
        <f>0+'táj.2'!L759</f>
        <v>0</v>
      </c>
      <c r="M759" s="170">
        <f>0+'táj.2'!M759</f>
        <v>0</v>
      </c>
      <c r="N759" s="170">
        <f>200+'táj.2'!N759</f>
        <v>200</v>
      </c>
      <c r="O759" s="170">
        <f>0+'táj.2'!O759</f>
        <v>0</v>
      </c>
      <c r="P759" s="170">
        <f>0+'táj.2'!P759</f>
        <v>0</v>
      </c>
      <c r="Q759" s="18">
        <f>SUM(G759:P759)</f>
        <v>15025</v>
      </c>
    </row>
    <row r="760" spans="1:17" ht="13.5" customHeight="1">
      <c r="A760" s="121"/>
      <c r="B760" s="121"/>
      <c r="C760" s="251"/>
      <c r="D760" s="291" t="s">
        <v>1311</v>
      </c>
      <c r="E760" s="166">
        <v>2</v>
      </c>
      <c r="F760" s="100" t="s">
        <v>1097</v>
      </c>
      <c r="G760" s="170">
        <f>934+'táj.2'!G760</f>
        <v>934</v>
      </c>
      <c r="H760" s="170">
        <f>623+'táj.2'!H760</f>
        <v>623</v>
      </c>
      <c r="I760" s="170">
        <f>21327+'táj.2'!I760</f>
        <v>20977</v>
      </c>
      <c r="J760" s="170">
        <f>0+'táj.2'!J760</f>
        <v>0</v>
      </c>
      <c r="K760" s="170">
        <f>11516+'táj.2'!K760</f>
        <v>11866</v>
      </c>
      <c r="L760" s="170">
        <f>473+'táj.2'!L760</f>
        <v>473</v>
      </c>
      <c r="M760" s="170">
        <f>0+'táj.2'!M760</f>
        <v>0</v>
      </c>
      <c r="N760" s="170">
        <f>217+'táj.2'!N760</f>
        <v>217</v>
      </c>
      <c r="O760" s="170">
        <f>0+'táj.2'!O760</f>
        <v>0</v>
      </c>
      <c r="P760" s="170">
        <f>0+'táj.2'!P760</f>
        <v>0</v>
      </c>
      <c r="Q760" s="123">
        <f>SUM(G760:P760)</f>
        <v>35090</v>
      </c>
    </row>
    <row r="761" spans="1:17" ht="13.5" customHeight="1">
      <c r="A761" s="121"/>
      <c r="B761" s="121"/>
      <c r="C761" s="250"/>
      <c r="D761" s="101" t="s">
        <v>108</v>
      </c>
      <c r="E761" s="166"/>
      <c r="F761" s="100"/>
      <c r="G761" s="170"/>
      <c r="H761" s="123"/>
      <c r="I761" s="123"/>
      <c r="J761" s="123"/>
      <c r="K761" s="123"/>
      <c r="L761" s="156"/>
      <c r="M761" s="156"/>
      <c r="N761" s="156"/>
      <c r="O761" s="156"/>
      <c r="P761" s="156"/>
      <c r="Q761" s="123"/>
    </row>
    <row r="762" spans="1:17" ht="13.5" customHeight="1">
      <c r="A762" s="121"/>
      <c r="B762" s="121"/>
      <c r="C762" s="250"/>
      <c r="D762" s="101" t="s">
        <v>1071</v>
      </c>
      <c r="E762" s="166">
        <v>2</v>
      </c>
      <c r="F762" s="100">
        <v>221929</v>
      </c>
      <c r="G762" s="170">
        <f>0+'táj.2'!G762</f>
        <v>0</v>
      </c>
      <c r="H762" s="170">
        <f>0+'táj.2'!H762</f>
        <v>0</v>
      </c>
      <c r="I762" s="170">
        <f>0+'táj.2'!I762</f>
        <v>0</v>
      </c>
      <c r="J762" s="170">
        <f>0+'táj.2'!J762</f>
        <v>0</v>
      </c>
      <c r="K762" s="170">
        <f>22750+'táj.2'!K762</f>
        <v>22750</v>
      </c>
      <c r="L762" s="170">
        <f>0+'táj.2'!L762</f>
        <v>0</v>
      </c>
      <c r="M762" s="170">
        <f>0+'táj.2'!M762</f>
        <v>0</v>
      </c>
      <c r="N762" s="170">
        <f>0+'táj.2'!N762</f>
        <v>0</v>
      </c>
      <c r="O762" s="170">
        <f>0+'táj.2'!O762</f>
        <v>0</v>
      </c>
      <c r="P762" s="170">
        <f>0+'táj.2'!P762</f>
        <v>0</v>
      </c>
      <c r="Q762" s="123">
        <f>SUM(G762:P762)</f>
        <v>22750</v>
      </c>
    </row>
    <row r="763" spans="1:17" ht="13.5" customHeight="1">
      <c r="A763" s="121"/>
      <c r="B763" s="121"/>
      <c r="C763" s="252"/>
      <c r="D763" s="101" t="s">
        <v>785</v>
      </c>
      <c r="E763" s="166"/>
      <c r="F763" s="100"/>
      <c r="G763" s="170"/>
      <c r="H763" s="123"/>
      <c r="I763" s="123"/>
      <c r="J763" s="123"/>
      <c r="K763" s="123"/>
      <c r="L763" s="156"/>
      <c r="M763" s="156"/>
      <c r="N763" s="156"/>
      <c r="O763" s="156"/>
      <c r="P763" s="156"/>
      <c r="Q763" s="123"/>
    </row>
    <row r="764" spans="1:17" ht="13.5" customHeight="1">
      <c r="A764" s="121"/>
      <c r="B764" s="121"/>
      <c r="C764" s="252"/>
      <c r="D764" s="101" t="s">
        <v>248</v>
      </c>
      <c r="E764" s="166">
        <v>1</v>
      </c>
      <c r="F764" s="100">
        <v>221909</v>
      </c>
      <c r="G764" s="170">
        <f>0+'táj.2'!G764</f>
        <v>0</v>
      </c>
      <c r="H764" s="170">
        <f>0+'táj.2'!H764</f>
        <v>0</v>
      </c>
      <c r="I764" s="170">
        <f>0+'táj.2'!I764</f>
        <v>0</v>
      </c>
      <c r="J764" s="170">
        <f>0+'táj.2'!J764</f>
        <v>0</v>
      </c>
      <c r="K764" s="170">
        <f>16223+'táj.2'!K764</f>
        <v>16223</v>
      </c>
      <c r="L764" s="170">
        <f>0+'táj.2'!L764</f>
        <v>0</v>
      </c>
      <c r="M764" s="170">
        <f>0+'táj.2'!M764</f>
        <v>0</v>
      </c>
      <c r="N764" s="170">
        <f>0+'táj.2'!N764</f>
        <v>0</v>
      </c>
      <c r="O764" s="170">
        <f>0+'táj.2'!O764</f>
        <v>0</v>
      </c>
      <c r="P764" s="170">
        <f>0+'táj.2'!P764</f>
        <v>0</v>
      </c>
      <c r="Q764" s="123">
        <f>SUM(G764:P764)</f>
        <v>16223</v>
      </c>
    </row>
    <row r="765" spans="1:17" ht="13.5" customHeight="1">
      <c r="A765" s="121"/>
      <c r="B765" s="121"/>
      <c r="C765" s="250"/>
      <c r="D765" s="101" t="s">
        <v>249</v>
      </c>
      <c r="E765" s="166">
        <v>1</v>
      </c>
      <c r="F765" s="100">
        <v>221913</v>
      </c>
      <c r="G765" s="170">
        <f>290+'táj.2'!G765</f>
        <v>290</v>
      </c>
      <c r="H765" s="170">
        <f>130+'táj.2'!H765</f>
        <v>130</v>
      </c>
      <c r="I765" s="170">
        <f>49022+'táj.2'!I765</f>
        <v>49022</v>
      </c>
      <c r="J765" s="170">
        <f>0+'táj.2'!J765</f>
        <v>0</v>
      </c>
      <c r="K765" s="170">
        <f>400+'táj.2'!K765</f>
        <v>400</v>
      </c>
      <c r="L765" s="170">
        <f>0+'táj.2'!L765</f>
        <v>0</v>
      </c>
      <c r="M765" s="170">
        <f>0+'táj.2'!M765</f>
        <v>0</v>
      </c>
      <c r="N765" s="170">
        <f>0+'táj.2'!N765</f>
        <v>0</v>
      </c>
      <c r="O765" s="170">
        <f>0+'táj.2'!O765</f>
        <v>0</v>
      </c>
      <c r="P765" s="170">
        <f>0+'táj.2'!P765</f>
        <v>0</v>
      </c>
      <c r="Q765" s="123">
        <f>SUM(G765:P765)</f>
        <v>49842</v>
      </c>
    </row>
    <row r="766" spans="1:17" ht="24.75" customHeight="1">
      <c r="A766" s="121"/>
      <c r="B766" s="121"/>
      <c r="C766" s="250"/>
      <c r="D766" s="665" t="s">
        <v>551</v>
      </c>
      <c r="E766" s="166">
        <v>2</v>
      </c>
      <c r="F766" s="100">
        <v>221914</v>
      </c>
      <c r="G766" s="170">
        <f>0+'táj.2'!G766</f>
        <v>0</v>
      </c>
      <c r="H766" s="170">
        <f>0+'táj.2'!H766</f>
        <v>0</v>
      </c>
      <c r="I766" s="170">
        <f>0+'táj.2'!I766</f>
        <v>0</v>
      </c>
      <c r="J766" s="170">
        <f>0+'táj.2'!J766</f>
        <v>0</v>
      </c>
      <c r="K766" s="170">
        <f>5000+'táj.2'!K766</f>
        <v>5000</v>
      </c>
      <c r="L766" s="170">
        <f>0+'táj.2'!L766</f>
        <v>0</v>
      </c>
      <c r="M766" s="170">
        <f>0+'táj.2'!M766</f>
        <v>0</v>
      </c>
      <c r="N766" s="170">
        <f>0+'táj.2'!N766</f>
        <v>0</v>
      </c>
      <c r="O766" s="170">
        <f>0+'táj.2'!O766</f>
        <v>0</v>
      </c>
      <c r="P766" s="170">
        <f>0+'táj.2'!P766</f>
        <v>0</v>
      </c>
      <c r="Q766" s="123">
        <f>SUM(G766:P766)</f>
        <v>5000</v>
      </c>
    </row>
    <row r="767" spans="1:17" ht="15.75" customHeight="1">
      <c r="A767" s="121"/>
      <c r="B767" s="121"/>
      <c r="C767" s="250"/>
      <c r="D767" s="16" t="s">
        <v>112</v>
      </c>
      <c r="E767" s="371"/>
      <c r="F767" s="328"/>
      <c r="G767" s="170"/>
      <c r="H767" s="123"/>
      <c r="I767" s="123"/>
      <c r="J767" s="123"/>
      <c r="K767" s="123"/>
      <c r="L767" s="156"/>
      <c r="M767" s="156"/>
      <c r="N767" s="156"/>
      <c r="O767" s="156"/>
      <c r="P767" s="156"/>
      <c r="Q767" s="123"/>
    </row>
    <row r="768" spans="1:17" ht="13.5" customHeight="1">
      <c r="A768" s="121"/>
      <c r="B768" s="121"/>
      <c r="C768" s="250"/>
      <c r="D768" s="665" t="s">
        <v>641</v>
      </c>
      <c r="E768" s="371">
        <v>2</v>
      </c>
      <c r="F768" s="328">
        <v>221937</v>
      </c>
      <c r="G768" s="170">
        <f>0+'táj.2'!G768</f>
        <v>0</v>
      </c>
      <c r="H768" s="170">
        <f>0+'táj.2'!H768</f>
        <v>0</v>
      </c>
      <c r="I768" s="170">
        <f>0+'táj.2'!I768</f>
        <v>0</v>
      </c>
      <c r="J768" s="170">
        <f>0+'táj.2'!J768</f>
        <v>0</v>
      </c>
      <c r="K768" s="170">
        <f>500+'táj.2'!K768</f>
        <v>500</v>
      </c>
      <c r="L768" s="170">
        <f>0+'táj.2'!L768</f>
        <v>0</v>
      </c>
      <c r="M768" s="170">
        <f>0+'táj.2'!M768</f>
        <v>0</v>
      </c>
      <c r="N768" s="170">
        <f>0+'táj.2'!N768</f>
        <v>0</v>
      </c>
      <c r="O768" s="170">
        <f>0+'táj.2'!O768</f>
        <v>0</v>
      </c>
      <c r="P768" s="170">
        <f>0+'táj.2'!P768</f>
        <v>0</v>
      </c>
      <c r="Q768" s="123">
        <f>SUM(G768:P768)</f>
        <v>500</v>
      </c>
    </row>
    <row r="769" spans="1:17" ht="13.5" customHeight="1">
      <c r="A769" s="121"/>
      <c r="B769" s="121"/>
      <c r="C769" s="250"/>
      <c r="D769" s="665" t="s">
        <v>677</v>
      </c>
      <c r="E769" s="371">
        <v>2</v>
      </c>
      <c r="F769" s="328">
        <v>221936</v>
      </c>
      <c r="G769" s="170">
        <f>0+'táj.2'!G769</f>
        <v>0</v>
      </c>
      <c r="H769" s="170">
        <f>0+'táj.2'!H769</f>
        <v>0</v>
      </c>
      <c r="I769" s="170">
        <f>0+'táj.2'!I769</f>
        <v>0</v>
      </c>
      <c r="J769" s="170">
        <f>0+'táj.2'!J769</f>
        <v>0</v>
      </c>
      <c r="K769" s="170">
        <f>0+'táj.2'!K769</f>
        <v>0</v>
      </c>
      <c r="L769" s="170">
        <f>0+'táj.2'!L769</f>
        <v>0</v>
      </c>
      <c r="M769" s="170">
        <f>0+'táj.2'!M769</f>
        <v>0</v>
      </c>
      <c r="N769" s="170">
        <f>0+'táj.2'!N769</f>
        <v>0</v>
      </c>
      <c r="O769" s="170">
        <f>0+'táj.2'!O769</f>
        <v>0</v>
      </c>
      <c r="P769" s="170">
        <f>0+'táj.2'!P769</f>
        <v>0</v>
      </c>
      <c r="Q769" s="123">
        <f>SUM(G769:P769)</f>
        <v>0</v>
      </c>
    </row>
    <row r="770" spans="1:17" ht="13.5" customHeight="1">
      <c r="A770" s="121"/>
      <c r="B770" s="121"/>
      <c r="C770" s="250"/>
      <c r="D770" s="665" t="s">
        <v>720</v>
      </c>
      <c r="E770" s="371">
        <v>2</v>
      </c>
      <c r="F770" s="328">
        <v>221938</v>
      </c>
      <c r="G770" s="170">
        <f>0+'táj.2'!G770</f>
        <v>0</v>
      </c>
      <c r="H770" s="170">
        <f>0+'táj.2'!H770</f>
        <v>0</v>
      </c>
      <c r="I770" s="170">
        <f>1500+'táj.2'!I770</f>
        <v>1500</v>
      </c>
      <c r="J770" s="170">
        <f>0+'táj.2'!J770</f>
        <v>0</v>
      </c>
      <c r="K770" s="170">
        <f>0+'táj.2'!K770</f>
        <v>0</v>
      </c>
      <c r="L770" s="170">
        <f>0+'táj.2'!L770</f>
        <v>0</v>
      </c>
      <c r="M770" s="170">
        <f>0+'táj.2'!M770</f>
        <v>0</v>
      </c>
      <c r="N770" s="170">
        <f>0+'táj.2'!N770</f>
        <v>0</v>
      </c>
      <c r="O770" s="170">
        <f>0+'táj.2'!O770</f>
        <v>0</v>
      </c>
      <c r="P770" s="170">
        <f>0+'táj.2'!P770</f>
        <v>0</v>
      </c>
      <c r="Q770" s="123">
        <f>SUM(G770:P770)</f>
        <v>1500</v>
      </c>
    </row>
    <row r="771" spans="1:17" ht="13.5" customHeight="1">
      <c r="A771" s="121"/>
      <c r="B771" s="121"/>
      <c r="C771" s="250"/>
      <c r="D771" s="668" t="s">
        <v>1011</v>
      </c>
      <c r="E771" s="166">
        <v>2</v>
      </c>
      <c r="F771" s="100">
        <v>131336</v>
      </c>
      <c r="G771" s="170">
        <f>0+'táj.2'!G771</f>
        <v>0</v>
      </c>
      <c r="H771" s="170">
        <f>0+'táj.2'!H771</f>
        <v>0</v>
      </c>
      <c r="I771" s="170">
        <f>0+'táj.2'!I771</f>
        <v>0</v>
      </c>
      <c r="J771" s="170">
        <f>0+'táj.2'!J771</f>
        <v>0</v>
      </c>
      <c r="K771" s="170">
        <f>1000+'táj.2'!K771</f>
        <v>1000</v>
      </c>
      <c r="L771" s="170">
        <f>0+'táj.2'!L771</f>
        <v>0</v>
      </c>
      <c r="M771" s="170">
        <f>0+'táj.2'!M771</f>
        <v>0</v>
      </c>
      <c r="N771" s="170">
        <f>0+'táj.2'!N771</f>
        <v>0</v>
      </c>
      <c r="O771" s="170">
        <f>0+'táj.2'!O771</f>
        <v>0</v>
      </c>
      <c r="P771" s="170">
        <f>0+'táj.2'!P771</f>
        <v>0</v>
      </c>
      <c r="Q771" s="123">
        <f>SUM(G771:P771)</f>
        <v>1000</v>
      </c>
    </row>
    <row r="772" spans="1:17" ht="13.5" customHeight="1">
      <c r="A772" s="104"/>
      <c r="B772" s="104"/>
      <c r="C772" s="245"/>
      <c r="D772" s="120" t="s">
        <v>558</v>
      </c>
      <c r="E772" s="131"/>
      <c r="F772" s="532"/>
      <c r="G772" s="132">
        <f aca="true" t="shared" si="41" ref="G772:Q772">SUM(G741:G771)</f>
        <v>129175</v>
      </c>
      <c r="H772" s="132">
        <f t="shared" si="41"/>
        <v>46776</v>
      </c>
      <c r="I772" s="132">
        <f t="shared" si="41"/>
        <v>140946</v>
      </c>
      <c r="J772" s="132">
        <f t="shared" si="41"/>
        <v>0</v>
      </c>
      <c r="K772" s="132">
        <f t="shared" si="41"/>
        <v>185271</v>
      </c>
      <c r="L772" s="132">
        <f t="shared" si="41"/>
        <v>3172</v>
      </c>
      <c r="M772" s="132">
        <f t="shared" si="41"/>
        <v>0</v>
      </c>
      <c r="N772" s="132">
        <f t="shared" si="41"/>
        <v>417</v>
      </c>
      <c r="O772" s="132">
        <f t="shared" si="41"/>
        <v>0</v>
      </c>
      <c r="P772" s="132">
        <f t="shared" si="41"/>
        <v>0</v>
      </c>
      <c r="Q772" s="132">
        <f t="shared" si="41"/>
        <v>505757</v>
      </c>
    </row>
    <row r="773" spans="1:17" ht="13.5" customHeight="1">
      <c r="A773" s="112"/>
      <c r="B773" s="112"/>
      <c r="C773" s="348"/>
      <c r="D773" s="297" t="s">
        <v>493</v>
      </c>
      <c r="E773" s="295"/>
      <c r="F773" s="539"/>
      <c r="G773" s="296"/>
      <c r="H773" s="296"/>
      <c r="I773" s="296"/>
      <c r="J773" s="296"/>
      <c r="K773" s="296"/>
      <c r="L773" s="296"/>
      <c r="M773" s="296"/>
      <c r="N773" s="296"/>
      <c r="O773" s="296"/>
      <c r="P773" s="296"/>
      <c r="Q773" s="296"/>
    </row>
    <row r="774" spans="1:17" ht="13.5" customHeight="1">
      <c r="A774" s="121"/>
      <c r="B774" s="121"/>
      <c r="C774" s="126" t="s">
        <v>1328</v>
      </c>
      <c r="D774" s="370" t="s">
        <v>917</v>
      </c>
      <c r="E774" s="114"/>
      <c r="F774" s="331">
        <v>222904</v>
      </c>
      <c r="G774" s="18">
        <f>0+'táj.2'!G774</f>
        <v>0</v>
      </c>
      <c r="H774" s="18">
        <f>0+'táj.2'!H774</f>
        <v>0</v>
      </c>
      <c r="I774" s="18">
        <f>0+'táj.2'!I774</f>
        <v>0</v>
      </c>
      <c r="J774" s="18">
        <f>0+'táj.2'!J774</f>
        <v>0</v>
      </c>
      <c r="K774" s="18">
        <f>0+'táj.2'!K774</f>
        <v>0</v>
      </c>
      <c r="L774" s="18">
        <f>0+'táj.2'!L774</f>
        <v>0</v>
      </c>
      <c r="M774" s="18">
        <f>0+'táj.2'!M774</f>
        <v>0</v>
      </c>
      <c r="N774" s="18">
        <f>2500+'táj.2'!N774</f>
        <v>2500</v>
      </c>
      <c r="O774" s="18">
        <f>0+'táj.2'!O774</f>
        <v>0</v>
      </c>
      <c r="P774" s="18">
        <f>0+'táj.2'!P774</f>
        <v>0</v>
      </c>
      <c r="Q774" s="18">
        <f>SUM(G774:P774)</f>
        <v>2500</v>
      </c>
    </row>
    <row r="775" spans="1:17" ht="13.5" customHeight="1">
      <c r="A775" s="121"/>
      <c r="B775" s="121"/>
      <c r="C775" s="126" t="s">
        <v>1331</v>
      </c>
      <c r="D775" s="110" t="s">
        <v>628</v>
      </c>
      <c r="E775" s="338"/>
      <c r="F775" s="337">
        <v>172918</v>
      </c>
      <c r="G775" s="18">
        <f>0+'táj.2'!G775</f>
        <v>0</v>
      </c>
      <c r="H775" s="18">
        <f>0+'táj.2'!H775</f>
        <v>0</v>
      </c>
      <c r="I775" s="18">
        <f>0+'táj.2'!I775</f>
        <v>0</v>
      </c>
      <c r="J775" s="18">
        <f>0+'táj.2'!J775</f>
        <v>0</v>
      </c>
      <c r="K775" s="18">
        <f>0+'táj.2'!K775</f>
        <v>0</v>
      </c>
      <c r="L775" s="18">
        <f>163000+'táj.2'!L775</f>
        <v>163000</v>
      </c>
      <c r="M775" s="18">
        <f>0+'táj.2'!M775</f>
        <v>0</v>
      </c>
      <c r="N775" s="18">
        <f>0+'táj.2'!N775</f>
        <v>0</v>
      </c>
      <c r="O775" s="18">
        <f>0+'táj.2'!O775</f>
        <v>0</v>
      </c>
      <c r="P775" s="18">
        <f>0+'táj.2'!P775</f>
        <v>0</v>
      </c>
      <c r="Q775" s="123">
        <v>163000</v>
      </c>
    </row>
    <row r="776" spans="1:17" ht="13.5" customHeight="1">
      <c r="A776" s="121"/>
      <c r="B776" s="121"/>
      <c r="C776" s="126" t="s">
        <v>1332</v>
      </c>
      <c r="D776" s="308" t="s">
        <v>634</v>
      </c>
      <c r="E776" s="114"/>
      <c r="F776" s="331">
        <v>222906</v>
      </c>
      <c r="G776" s="18">
        <f>0+'táj.2'!G776</f>
        <v>0</v>
      </c>
      <c r="H776" s="18">
        <f>0+'táj.2'!H776</f>
        <v>0</v>
      </c>
      <c r="I776" s="18">
        <f>32+'táj.2'!I776</f>
        <v>32</v>
      </c>
      <c r="J776" s="18">
        <f>0+'táj.2'!J776</f>
        <v>0</v>
      </c>
      <c r="K776" s="18">
        <f>0+'táj.2'!K776</f>
        <v>0</v>
      </c>
      <c r="L776" s="18">
        <f>968+'táj.2'!L776</f>
        <v>968</v>
      </c>
      <c r="M776" s="18">
        <f>0+'táj.2'!M776</f>
        <v>0</v>
      </c>
      <c r="N776" s="18">
        <f>0+'táj.2'!N776</f>
        <v>0</v>
      </c>
      <c r="O776" s="18">
        <f>0+'táj.2'!O776</f>
        <v>0</v>
      </c>
      <c r="P776" s="18">
        <f>0+'táj.2'!P776</f>
        <v>0</v>
      </c>
      <c r="Q776" s="123">
        <f aca="true" t="shared" si="42" ref="Q776:Q781">SUM(G776:P776)</f>
        <v>1000</v>
      </c>
    </row>
    <row r="777" spans="1:17" ht="13.5" customHeight="1">
      <c r="A777" s="121"/>
      <c r="B777" s="121"/>
      <c r="C777" s="126" t="s">
        <v>1333</v>
      </c>
      <c r="D777" s="294" t="s">
        <v>630</v>
      </c>
      <c r="E777" s="114"/>
      <c r="F777" s="331">
        <v>222907</v>
      </c>
      <c r="G777" s="18">
        <f>0+'táj.2'!G777</f>
        <v>0</v>
      </c>
      <c r="H777" s="18">
        <f>0+'táj.2'!H777</f>
        <v>0</v>
      </c>
      <c r="I777" s="18">
        <f>0+'táj.2'!I777</f>
        <v>0</v>
      </c>
      <c r="J777" s="18">
        <f>0+'táj.2'!J777</f>
        <v>0</v>
      </c>
      <c r="K777" s="18">
        <f>0+'táj.2'!K777</f>
        <v>0</v>
      </c>
      <c r="L777" s="18">
        <f>489+'táj.2'!L777</f>
        <v>489</v>
      </c>
      <c r="M777" s="18">
        <f>0+'táj.2'!M777</f>
        <v>0</v>
      </c>
      <c r="N777" s="18">
        <f>1011+'táj.2'!N777</f>
        <v>1011</v>
      </c>
      <c r="O777" s="18">
        <f>0+'táj.2'!O777</f>
        <v>0</v>
      </c>
      <c r="P777" s="18">
        <f>0+'táj.2'!P777</f>
        <v>0</v>
      </c>
      <c r="Q777" s="123">
        <f t="shared" si="42"/>
        <v>1500</v>
      </c>
    </row>
    <row r="778" spans="1:17" ht="13.5" customHeight="1">
      <c r="A778" s="121"/>
      <c r="B778" s="121"/>
      <c r="C778" s="126" t="s">
        <v>1334</v>
      </c>
      <c r="D778" s="294" t="s">
        <v>858</v>
      </c>
      <c r="E778" s="114"/>
      <c r="F778" s="331">
        <v>222908</v>
      </c>
      <c r="G778" s="18">
        <f>0+'táj.2'!G778</f>
        <v>0</v>
      </c>
      <c r="H778" s="18">
        <f>0+'táj.2'!H778</f>
        <v>0</v>
      </c>
      <c r="I778" s="18">
        <f>0+'táj.2'!I778</f>
        <v>0</v>
      </c>
      <c r="J778" s="18">
        <f>0+'táj.2'!J778</f>
        <v>0</v>
      </c>
      <c r="K778" s="18">
        <f>0+'táj.2'!K778</f>
        <v>0</v>
      </c>
      <c r="L778" s="18">
        <f>2500+'táj.2'!L778</f>
        <v>2500</v>
      </c>
      <c r="M778" s="18">
        <f>0+'táj.2'!M778</f>
        <v>0</v>
      </c>
      <c r="N778" s="18">
        <f>0+'táj.2'!N778</f>
        <v>0</v>
      </c>
      <c r="O778" s="18">
        <f>0+'táj.2'!O778</f>
        <v>0</v>
      </c>
      <c r="P778" s="18">
        <f>0+'táj.2'!P778</f>
        <v>0</v>
      </c>
      <c r="Q778" s="123">
        <f t="shared" si="42"/>
        <v>2500</v>
      </c>
    </row>
    <row r="779" spans="1:17" ht="13.5" customHeight="1">
      <c r="A779" s="121"/>
      <c r="B779" s="121"/>
      <c r="C779" s="100" t="s">
        <v>663</v>
      </c>
      <c r="D779" s="197" t="s">
        <v>664</v>
      </c>
      <c r="E779" s="114"/>
      <c r="F779" s="328">
        <v>222909</v>
      </c>
      <c r="G779" s="18">
        <f>0+'táj.2'!G779</f>
        <v>0</v>
      </c>
      <c r="H779" s="18">
        <f>0+'táj.2'!H779</f>
        <v>0</v>
      </c>
      <c r="I779" s="18">
        <f>0+'táj.2'!I779</f>
        <v>0</v>
      </c>
      <c r="J779" s="18">
        <f>0+'táj.2'!J779</f>
        <v>0</v>
      </c>
      <c r="K779" s="18">
        <f>0+'táj.2'!K779</f>
        <v>0</v>
      </c>
      <c r="L779" s="18">
        <f>1990+'táj.2'!L779</f>
        <v>1990</v>
      </c>
      <c r="M779" s="18">
        <f>0+'táj.2'!M779</f>
        <v>0</v>
      </c>
      <c r="N779" s="18">
        <f>0+'táj.2'!N779</f>
        <v>0</v>
      </c>
      <c r="O779" s="18">
        <f>0+'táj.2'!O779</f>
        <v>0</v>
      </c>
      <c r="P779" s="18">
        <f>0+'táj.2'!P779</f>
        <v>0</v>
      </c>
      <c r="Q779" s="123">
        <f t="shared" si="42"/>
        <v>1990</v>
      </c>
    </row>
    <row r="780" spans="1:17" ht="21.75" customHeight="1">
      <c r="A780" s="121"/>
      <c r="B780" s="121"/>
      <c r="C780" s="100" t="s">
        <v>1209</v>
      </c>
      <c r="D780" s="197" t="s">
        <v>1210</v>
      </c>
      <c r="E780" s="15"/>
      <c r="F780" s="100">
        <v>222910</v>
      </c>
      <c r="G780" s="18">
        <f>0+'táj.2'!G780</f>
        <v>0</v>
      </c>
      <c r="H780" s="18">
        <f>0+'táj.2'!H780</f>
        <v>0</v>
      </c>
      <c r="I780" s="18">
        <f>0+'táj.2'!I780</f>
        <v>0</v>
      </c>
      <c r="J780" s="18">
        <f>0+'táj.2'!J780</f>
        <v>0</v>
      </c>
      <c r="K780" s="18">
        <f>0+'táj.2'!K780</f>
        <v>0</v>
      </c>
      <c r="L780" s="18">
        <f>0+'táj.2'!L780</f>
        <v>0</v>
      </c>
      <c r="M780" s="18">
        <f>12192+'táj.2'!M780</f>
        <v>12192</v>
      </c>
      <c r="N780" s="18">
        <f>0+'táj.2'!N780</f>
        <v>0</v>
      </c>
      <c r="O780" s="18">
        <f>0+'táj.2'!O780</f>
        <v>0</v>
      </c>
      <c r="P780" s="18">
        <f>0+'táj.2'!P780</f>
        <v>0</v>
      </c>
      <c r="Q780" s="123">
        <f t="shared" si="42"/>
        <v>12192</v>
      </c>
    </row>
    <row r="781" spans="1:17" ht="21.75" customHeight="1">
      <c r="A781" s="121"/>
      <c r="B781" s="121"/>
      <c r="C781" s="112" t="s">
        <v>221</v>
      </c>
      <c r="D781" s="197" t="s">
        <v>222</v>
      </c>
      <c r="E781" s="15"/>
      <c r="F781" s="100">
        <v>222911</v>
      </c>
      <c r="G781" s="18">
        <f>0+'táj.2'!G781</f>
        <v>0</v>
      </c>
      <c r="H781" s="18">
        <f>0+'táj.2'!H781</f>
        <v>0</v>
      </c>
      <c r="I781" s="18">
        <f>0+'táj.2'!I781</f>
        <v>0</v>
      </c>
      <c r="J781" s="18">
        <f>0+'táj.2'!J781</f>
        <v>0</v>
      </c>
      <c r="K781" s="18">
        <f>0+'táj.2'!K781</f>
        <v>0</v>
      </c>
      <c r="L781" s="18">
        <f>2870+'táj.2'!L781</f>
        <v>2870</v>
      </c>
      <c r="M781" s="18">
        <f>0+'táj.2'!M781</f>
        <v>0</v>
      </c>
      <c r="N781" s="18">
        <f>0+'táj.2'!N781</f>
        <v>0</v>
      </c>
      <c r="O781" s="18">
        <f>0+'táj.2'!O781</f>
        <v>0</v>
      </c>
      <c r="P781" s="18">
        <f>0+'táj.2'!P781</f>
        <v>0</v>
      </c>
      <c r="Q781" s="123">
        <f t="shared" si="42"/>
        <v>2870</v>
      </c>
    </row>
    <row r="782" spans="1:144" s="134" customFormat="1" ht="13.5" customHeight="1">
      <c r="A782" s="104"/>
      <c r="B782" s="104"/>
      <c r="C782" s="245"/>
      <c r="D782" s="106" t="s">
        <v>903</v>
      </c>
      <c r="E782" s="107"/>
      <c r="F782" s="532"/>
      <c r="G782" s="111">
        <f>SUM(G772:G781)</f>
        <v>129175</v>
      </c>
      <c r="H782" s="111">
        <f aca="true" t="shared" si="43" ref="H782:Q782">SUM(H772:H781)</f>
        <v>46776</v>
      </c>
      <c r="I782" s="111">
        <f t="shared" si="43"/>
        <v>140978</v>
      </c>
      <c r="J782" s="111">
        <f t="shared" si="43"/>
        <v>0</v>
      </c>
      <c r="K782" s="111">
        <f t="shared" si="43"/>
        <v>185271</v>
      </c>
      <c r="L782" s="111">
        <f t="shared" si="43"/>
        <v>174989</v>
      </c>
      <c r="M782" s="111">
        <f t="shared" si="43"/>
        <v>12192</v>
      </c>
      <c r="N782" s="111">
        <f t="shared" si="43"/>
        <v>3928</v>
      </c>
      <c r="O782" s="111">
        <f t="shared" si="43"/>
        <v>0</v>
      </c>
      <c r="P782" s="111">
        <f t="shared" si="43"/>
        <v>0</v>
      </c>
      <c r="Q782" s="111">
        <f t="shared" si="43"/>
        <v>693309</v>
      </c>
      <c r="R782" s="133"/>
      <c r="S782" s="133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  <c r="AF782" s="133"/>
      <c r="AG782" s="133"/>
      <c r="AH782" s="133"/>
      <c r="AI782" s="133"/>
      <c r="AJ782" s="133"/>
      <c r="AK782" s="133"/>
      <c r="AL782" s="133"/>
      <c r="AM782" s="133"/>
      <c r="AN782" s="133"/>
      <c r="AO782" s="133"/>
      <c r="AP782" s="133"/>
      <c r="AQ782" s="133"/>
      <c r="AR782" s="133"/>
      <c r="AS782" s="133"/>
      <c r="AT782" s="133"/>
      <c r="AU782" s="133"/>
      <c r="AV782" s="133"/>
      <c r="AW782" s="133"/>
      <c r="AX782" s="133"/>
      <c r="AY782" s="133"/>
      <c r="AZ782" s="133"/>
      <c r="BA782" s="133"/>
      <c r="BB782" s="133"/>
      <c r="BC782" s="133"/>
      <c r="BD782" s="133"/>
      <c r="BE782" s="133"/>
      <c r="BF782" s="133"/>
      <c r="BG782" s="133"/>
      <c r="BH782" s="133"/>
      <c r="BI782" s="133"/>
      <c r="BJ782" s="133"/>
      <c r="BK782" s="133"/>
      <c r="BL782" s="133"/>
      <c r="BM782" s="133"/>
      <c r="BN782" s="133"/>
      <c r="BO782" s="133"/>
      <c r="BP782" s="133"/>
      <c r="BQ782" s="133"/>
      <c r="BR782" s="133"/>
      <c r="BS782" s="133"/>
      <c r="BT782" s="133"/>
      <c r="BU782" s="133"/>
      <c r="BV782" s="133"/>
      <c r="BW782" s="133"/>
      <c r="BX782" s="133"/>
      <c r="BY782" s="133"/>
      <c r="BZ782" s="133"/>
      <c r="CA782" s="133"/>
      <c r="CB782" s="133"/>
      <c r="CC782" s="133"/>
      <c r="CD782" s="133"/>
      <c r="CE782" s="133"/>
      <c r="CF782" s="133"/>
      <c r="CG782" s="133"/>
      <c r="CH782" s="133"/>
      <c r="CI782" s="133"/>
      <c r="CJ782" s="133"/>
      <c r="CK782" s="133"/>
      <c r="CL782" s="133"/>
      <c r="CM782" s="133"/>
      <c r="CN782" s="133"/>
      <c r="CO782" s="133"/>
      <c r="CP782" s="133"/>
      <c r="CQ782" s="133"/>
      <c r="CR782" s="133"/>
      <c r="CS782" s="133"/>
      <c r="CT782" s="133"/>
      <c r="CU782" s="133"/>
      <c r="CV782" s="133"/>
      <c r="CW782" s="133"/>
      <c r="CX782" s="133"/>
      <c r="CY782" s="133"/>
      <c r="CZ782" s="133"/>
      <c r="DA782" s="133"/>
      <c r="DB782" s="133"/>
      <c r="DC782" s="133"/>
      <c r="DD782" s="133"/>
      <c r="DE782" s="133"/>
      <c r="DF782" s="133"/>
      <c r="DG782" s="133"/>
      <c r="DH782" s="133"/>
      <c r="DI782" s="133"/>
      <c r="DJ782" s="133"/>
      <c r="DK782" s="133"/>
      <c r="DL782" s="133"/>
      <c r="DM782" s="133"/>
      <c r="DN782" s="133"/>
      <c r="DO782" s="133"/>
      <c r="DP782" s="133"/>
      <c r="DQ782" s="133"/>
      <c r="DR782" s="133"/>
      <c r="DS782" s="133"/>
      <c r="DT782" s="133"/>
      <c r="DU782" s="133"/>
      <c r="DV782" s="133"/>
      <c r="DW782" s="133"/>
      <c r="DX782" s="133"/>
      <c r="DY782" s="133"/>
      <c r="DZ782" s="133"/>
      <c r="EA782" s="133"/>
      <c r="EB782" s="133"/>
      <c r="EC782" s="133"/>
      <c r="ED782" s="133"/>
      <c r="EE782" s="133"/>
      <c r="EF782" s="133"/>
      <c r="EG782" s="133"/>
      <c r="EH782" s="133"/>
      <c r="EI782" s="133"/>
      <c r="EJ782" s="133"/>
      <c r="EK782" s="133"/>
      <c r="EL782" s="133"/>
      <c r="EM782" s="133"/>
      <c r="EN782" s="133"/>
    </row>
    <row r="783" spans="1:17" ht="13.5" customHeight="1">
      <c r="A783" s="119">
        <v>1</v>
      </c>
      <c r="B783" s="119">
        <v>30</v>
      </c>
      <c r="C783" s="249"/>
      <c r="D783" s="21" t="s">
        <v>99</v>
      </c>
      <c r="E783" s="114"/>
      <c r="F783" s="331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</row>
    <row r="784" spans="1:17" ht="13.5" customHeight="1">
      <c r="A784" s="119"/>
      <c r="B784" s="119">
        <v>31</v>
      </c>
      <c r="C784" s="249"/>
      <c r="D784" s="21" t="s">
        <v>1068</v>
      </c>
      <c r="E784" s="20"/>
      <c r="F784" s="331">
        <v>311901</v>
      </c>
      <c r="G784" s="18"/>
      <c r="H784" s="18"/>
      <c r="I784" s="18"/>
      <c r="J784" s="18"/>
      <c r="K784" s="18">
        <f>2435+'táj.2'!K784</f>
        <v>2435</v>
      </c>
      <c r="L784" s="18"/>
      <c r="M784" s="18"/>
      <c r="N784" s="18"/>
      <c r="O784" s="18"/>
      <c r="P784" s="18"/>
      <c r="Q784" s="18">
        <f>SUM(G784:P784)</f>
        <v>2435</v>
      </c>
    </row>
    <row r="785" spans="1:17" ht="13.5" customHeight="1">
      <c r="A785" s="113"/>
      <c r="B785" s="113">
        <v>32</v>
      </c>
      <c r="C785" s="248"/>
      <c r="D785" s="21" t="s">
        <v>814</v>
      </c>
      <c r="E785" s="114"/>
      <c r="F785" s="331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</row>
    <row r="786" spans="1:17" ht="13.5" customHeight="1">
      <c r="A786" s="113"/>
      <c r="B786" s="113"/>
      <c r="C786" s="248"/>
      <c r="D786" s="17" t="s">
        <v>1069</v>
      </c>
      <c r="E786" s="18">
        <v>1</v>
      </c>
      <c r="F786" s="113">
        <v>321907</v>
      </c>
      <c r="G786" s="18"/>
      <c r="H786" s="18"/>
      <c r="I786" s="18"/>
      <c r="J786" s="18"/>
      <c r="K786" s="18">
        <f>0+'táj.2'!K786</f>
        <v>0</v>
      </c>
      <c r="L786" s="18"/>
      <c r="M786" s="18"/>
      <c r="N786" s="18"/>
      <c r="O786" s="18"/>
      <c r="P786" s="18"/>
      <c r="Q786" s="18">
        <f aca="true" t="shared" si="44" ref="Q786:Q792">SUM(G786:P786)</f>
        <v>0</v>
      </c>
    </row>
    <row r="787" spans="1:17" ht="12.75" customHeight="1">
      <c r="A787" s="116"/>
      <c r="B787" s="116"/>
      <c r="C787" s="116"/>
      <c r="D787" s="292" t="s">
        <v>32</v>
      </c>
      <c r="E787" s="118">
        <v>1</v>
      </c>
      <c r="F787" s="548">
        <v>321903</v>
      </c>
      <c r="G787" s="18"/>
      <c r="H787" s="116"/>
      <c r="I787" s="118"/>
      <c r="J787" s="117"/>
      <c r="K787" s="18">
        <f>30566+'táj.2'!K787</f>
        <v>24445</v>
      </c>
      <c r="L787" s="116"/>
      <c r="M787" s="116"/>
      <c r="N787" s="116"/>
      <c r="O787" s="116"/>
      <c r="P787" s="189"/>
      <c r="Q787" s="18">
        <f t="shared" si="44"/>
        <v>24445</v>
      </c>
    </row>
    <row r="788" spans="1:17" ht="13.5" customHeight="1">
      <c r="A788" s="113"/>
      <c r="B788" s="113"/>
      <c r="C788" s="248"/>
      <c r="D788" s="17" t="s">
        <v>33</v>
      </c>
      <c r="E788" s="302">
        <v>1</v>
      </c>
      <c r="F788" s="113">
        <v>321908</v>
      </c>
      <c r="G788" s="18"/>
      <c r="H788" s="18"/>
      <c r="I788" s="18"/>
      <c r="J788" s="18"/>
      <c r="K788" s="18">
        <f>3348+'táj.2'!K788</f>
        <v>3256</v>
      </c>
      <c r="L788" s="18"/>
      <c r="M788" s="18"/>
      <c r="N788" s="18"/>
      <c r="O788" s="18"/>
      <c r="P788" s="18"/>
      <c r="Q788" s="18">
        <f t="shared" si="44"/>
        <v>3256</v>
      </c>
    </row>
    <row r="789" spans="1:17" ht="13.5" customHeight="1">
      <c r="A789" s="113"/>
      <c r="B789" s="113"/>
      <c r="C789" s="248"/>
      <c r="D789" s="322" t="s">
        <v>417</v>
      </c>
      <c r="E789" s="302">
        <v>1</v>
      </c>
      <c r="F789" s="113">
        <v>321932</v>
      </c>
      <c r="G789" s="18"/>
      <c r="H789" s="18"/>
      <c r="I789" s="18"/>
      <c r="J789" s="18"/>
      <c r="K789" s="18">
        <f>1400+'táj.2'!K789</f>
        <v>1400</v>
      </c>
      <c r="L789" s="18"/>
      <c r="M789" s="18"/>
      <c r="N789" s="18"/>
      <c r="O789" s="18"/>
      <c r="P789" s="18"/>
      <c r="Q789" s="18">
        <f t="shared" si="44"/>
        <v>1400</v>
      </c>
    </row>
    <row r="790" spans="1:17" ht="15" customHeight="1">
      <c r="A790" s="113"/>
      <c r="B790" s="113"/>
      <c r="C790" s="248"/>
      <c r="D790" s="318" t="s">
        <v>416</v>
      </c>
      <c r="E790" s="303">
        <v>1</v>
      </c>
      <c r="F790" s="540">
        <v>321933</v>
      </c>
      <c r="G790" s="18"/>
      <c r="H790" s="18"/>
      <c r="I790" s="18"/>
      <c r="J790" s="18"/>
      <c r="K790" s="18">
        <f>30+'táj.2'!K790</f>
        <v>5659</v>
      </c>
      <c r="L790" s="18"/>
      <c r="M790" s="18"/>
      <c r="N790" s="18"/>
      <c r="O790" s="18"/>
      <c r="P790" s="18"/>
      <c r="Q790" s="18">
        <f t="shared" si="44"/>
        <v>5659</v>
      </c>
    </row>
    <row r="791" spans="1:17" ht="15" customHeight="1">
      <c r="A791" s="113"/>
      <c r="B791" s="113"/>
      <c r="C791" s="248"/>
      <c r="D791" s="372" t="s">
        <v>758</v>
      </c>
      <c r="E791" s="303">
        <v>1</v>
      </c>
      <c r="F791" s="540">
        <v>321934</v>
      </c>
      <c r="G791" s="18"/>
      <c r="H791" s="18"/>
      <c r="I791" s="18"/>
      <c r="J791" s="18"/>
      <c r="K791" s="18">
        <f>597+'táj.2'!K791</f>
        <v>597</v>
      </c>
      <c r="L791" s="18"/>
      <c r="M791" s="18"/>
      <c r="N791" s="18"/>
      <c r="O791" s="18"/>
      <c r="P791" s="18"/>
      <c r="Q791" s="18">
        <f t="shared" si="44"/>
        <v>597</v>
      </c>
    </row>
    <row r="792" spans="1:17" ht="18" customHeight="1">
      <c r="A792" s="113"/>
      <c r="B792" s="113"/>
      <c r="C792" s="248"/>
      <c r="D792" s="207" t="s">
        <v>75</v>
      </c>
      <c r="E792" s="303">
        <v>1</v>
      </c>
      <c r="F792" s="540">
        <v>321911</v>
      </c>
      <c r="G792" s="18"/>
      <c r="H792" s="18"/>
      <c r="I792" s="18"/>
      <c r="J792" s="18"/>
      <c r="K792" s="18">
        <f>190000+'táj.2'!K792</f>
        <v>190000</v>
      </c>
      <c r="L792" s="18"/>
      <c r="M792" s="18"/>
      <c r="N792" s="18"/>
      <c r="O792" s="18"/>
      <c r="P792" s="18"/>
      <c r="Q792" s="18">
        <f t="shared" si="44"/>
        <v>190000</v>
      </c>
    </row>
    <row r="793" spans="1:17" ht="28.5" customHeight="1">
      <c r="A793" s="113"/>
      <c r="B793" s="113"/>
      <c r="C793" s="248"/>
      <c r="D793" s="234" t="s">
        <v>234</v>
      </c>
      <c r="E793" s="303"/>
      <c r="F793" s="534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</row>
    <row r="794" spans="1:17" ht="13.5" customHeight="1">
      <c r="A794" s="113"/>
      <c r="B794" s="113"/>
      <c r="C794" s="248"/>
      <c r="D794" s="16" t="s">
        <v>960</v>
      </c>
      <c r="E794" s="311">
        <v>2</v>
      </c>
      <c r="F794" s="100">
        <v>321953</v>
      </c>
      <c r="G794" s="18"/>
      <c r="H794" s="18"/>
      <c r="I794" s="18"/>
      <c r="J794" s="18"/>
      <c r="K794" s="18">
        <f>0+'táj.2'!K794</f>
        <v>0</v>
      </c>
      <c r="L794" s="18"/>
      <c r="M794" s="18"/>
      <c r="N794" s="18"/>
      <c r="O794" s="18"/>
      <c r="P794" s="18"/>
      <c r="Q794" s="18">
        <f>SUM(G794:P794)</f>
        <v>0</v>
      </c>
    </row>
    <row r="795" spans="1:17" ht="13.5" customHeight="1">
      <c r="A795" s="113"/>
      <c r="B795" s="113"/>
      <c r="C795" s="248"/>
      <c r="D795" s="17" t="s">
        <v>1118</v>
      </c>
      <c r="E795" s="302">
        <v>2</v>
      </c>
      <c r="F795" s="113">
        <v>321954</v>
      </c>
      <c r="G795" s="18"/>
      <c r="H795" s="18"/>
      <c r="I795" s="18"/>
      <c r="J795" s="18"/>
      <c r="K795" s="18">
        <f>0+'táj.2'!K795</f>
        <v>0</v>
      </c>
      <c r="L795" s="18"/>
      <c r="M795" s="18"/>
      <c r="N795" s="18"/>
      <c r="O795" s="18"/>
      <c r="P795" s="18"/>
      <c r="Q795" s="18">
        <f>SUM(G795:P795)</f>
        <v>0</v>
      </c>
    </row>
    <row r="796" spans="1:17" ht="13.5" customHeight="1">
      <c r="A796" s="113"/>
      <c r="B796" s="113"/>
      <c r="C796" s="248"/>
      <c r="D796" s="233" t="s">
        <v>959</v>
      </c>
      <c r="E796" s="303">
        <v>2</v>
      </c>
      <c r="F796" s="540">
        <v>321906</v>
      </c>
      <c r="G796" s="18"/>
      <c r="H796" s="18"/>
      <c r="I796" s="18"/>
      <c r="J796" s="18"/>
      <c r="K796" s="18">
        <f>627+'táj.2'!K796</f>
        <v>627</v>
      </c>
      <c r="L796" s="18"/>
      <c r="M796" s="18"/>
      <c r="N796" s="18"/>
      <c r="O796" s="18"/>
      <c r="P796" s="18"/>
      <c r="Q796" s="18">
        <f>SUM(G796:P796)</f>
        <v>627</v>
      </c>
    </row>
    <row r="797" spans="1:17" ht="24.75" customHeight="1">
      <c r="A797" s="113"/>
      <c r="B797" s="113"/>
      <c r="C797" s="248"/>
      <c r="D797" s="234" t="s">
        <v>233</v>
      </c>
      <c r="E797" s="303"/>
      <c r="F797" s="534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</row>
    <row r="798" spans="1:17" ht="13.5" customHeight="1">
      <c r="A798" s="113"/>
      <c r="B798" s="113"/>
      <c r="C798" s="248"/>
      <c r="D798" s="17" t="s">
        <v>418</v>
      </c>
      <c r="E798" s="302">
        <v>2</v>
      </c>
      <c r="F798" s="113">
        <v>321958</v>
      </c>
      <c r="G798" s="18"/>
      <c r="H798" s="18"/>
      <c r="I798" s="18"/>
      <c r="J798" s="18"/>
      <c r="K798" s="18">
        <f>0+'táj.2'!K798</f>
        <v>0</v>
      </c>
      <c r="L798" s="18"/>
      <c r="M798" s="18"/>
      <c r="N798" s="18"/>
      <c r="O798" s="18"/>
      <c r="P798" s="18"/>
      <c r="Q798" s="18">
        <f>SUM(G798:P798)</f>
        <v>0</v>
      </c>
    </row>
    <row r="799" spans="1:17" ht="13.5" customHeight="1">
      <c r="A799" s="113"/>
      <c r="B799" s="113"/>
      <c r="C799" s="248"/>
      <c r="D799" s="233" t="s">
        <v>1294</v>
      </c>
      <c r="E799" s="303">
        <v>2</v>
      </c>
      <c r="F799" s="540">
        <v>321956</v>
      </c>
      <c r="G799" s="18"/>
      <c r="H799" s="18"/>
      <c r="I799" s="18"/>
      <c r="J799" s="18"/>
      <c r="K799" s="18">
        <f>0+'táj.2'!K799</f>
        <v>0</v>
      </c>
      <c r="L799" s="18"/>
      <c r="M799" s="18"/>
      <c r="N799" s="18"/>
      <c r="O799" s="18"/>
      <c r="P799" s="18"/>
      <c r="Q799" s="18">
        <f>SUM(G799:P799)</f>
        <v>0</v>
      </c>
    </row>
    <row r="800" spans="1:17" ht="24.75" customHeight="1">
      <c r="A800" s="113"/>
      <c r="B800" s="113"/>
      <c r="C800" s="248"/>
      <c r="D800" s="234" t="s">
        <v>278</v>
      </c>
      <c r="E800" s="303"/>
      <c r="F800" s="534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>
        <f>SUM(G800:P800)</f>
        <v>0</v>
      </c>
    </row>
    <row r="801" spans="1:17" ht="13.5" customHeight="1">
      <c r="A801" s="113"/>
      <c r="B801" s="113"/>
      <c r="C801" s="248"/>
      <c r="D801" s="17" t="s">
        <v>279</v>
      </c>
      <c r="E801" s="302">
        <v>2</v>
      </c>
      <c r="F801" s="113">
        <v>321959</v>
      </c>
      <c r="G801" s="18"/>
      <c r="H801" s="18"/>
      <c r="I801" s="18"/>
      <c r="J801" s="18"/>
      <c r="K801" s="18">
        <f>0+'táj.2'!K801</f>
        <v>0</v>
      </c>
      <c r="L801" s="18"/>
      <c r="M801" s="18"/>
      <c r="N801" s="18"/>
      <c r="O801" s="18"/>
      <c r="P801" s="18"/>
      <c r="Q801" s="18">
        <f>SUM(G801:P801)</f>
        <v>0</v>
      </c>
    </row>
    <row r="802" spans="1:17" ht="25.5" customHeight="1">
      <c r="A802" s="113"/>
      <c r="B802" s="113"/>
      <c r="C802" s="248"/>
      <c r="D802" s="234" t="s">
        <v>232</v>
      </c>
      <c r="E802" s="303"/>
      <c r="F802" s="534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</row>
    <row r="803" spans="1:17" ht="15" customHeight="1">
      <c r="A803" s="113"/>
      <c r="B803" s="113"/>
      <c r="C803" s="248"/>
      <c r="D803" s="233" t="s">
        <v>280</v>
      </c>
      <c r="E803" s="303">
        <v>2</v>
      </c>
      <c r="F803" s="540">
        <v>321960</v>
      </c>
      <c r="G803" s="18"/>
      <c r="H803" s="18"/>
      <c r="I803" s="18"/>
      <c r="J803" s="18"/>
      <c r="K803" s="18">
        <f>0+'táj.2'!K803</f>
        <v>0</v>
      </c>
      <c r="L803" s="18"/>
      <c r="M803" s="18"/>
      <c r="N803" s="18"/>
      <c r="O803" s="18"/>
      <c r="P803" s="18"/>
      <c r="Q803" s="18">
        <f aca="true" t="shared" si="45" ref="Q803:Q808">SUM(G803:P803)</f>
        <v>0</v>
      </c>
    </row>
    <row r="804" spans="1:17" ht="24" customHeight="1">
      <c r="A804" s="113"/>
      <c r="B804" s="113"/>
      <c r="C804" s="248"/>
      <c r="D804" s="240" t="s">
        <v>1119</v>
      </c>
      <c r="E804" s="313"/>
      <c r="F804" s="549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>
        <f t="shared" si="45"/>
        <v>0</v>
      </c>
    </row>
    <row r="805" spans="1:17" ht="15" customHeight="1">
      <c r="A805" s="113"/>
      <c r="B805" s="113"/>
      <c r="C805" s="248"/>
      <c r="D805" s="224" t="s">
        <v>1120</v>
      </c>
      <c r="E805" s="303">
        <v>1</v>
      </c>
      <c r="F805" s="540">
        <v>321961</v>
      </c>
      <c r="G805" s="18"/>
      <c r="H805" s="18"/>
      <c r="I805" s="18"/>
      <c r="J805" s="18"/>
      <c r="K805" s="18">
        <f>0+'táj.2'!K805</f>
        <v>0</v>
      </c>
      <c r="L805" s="18"/>
      <c r="M805" s="18"/>
      <c r="N805" s="18"/>
      <c r="O805" s="18"/>
      <c r="P805" s="18"/>
      <c r="Q805" s="18">
        <f t="shared" si="45"/>
        <v>0</v>
      </c>
    </row>
    <row r="806" spans="1:17" ht="15" customHeight="1">
      <c r="A806" s="113"/>
      <c r="B806" s="113"/>
      <c r="C806" s="248"/>
      <c r="D806" s="224" t="s">
        <v>907</v>
      </c>
      <c r="E806" s="303">
        <v>1</v>
      </c>
      <c r="F806" s="540">
        <v>321909</v>
      </c>
      <c r="G806" s="18"/>
      <c r="H806" s="18"/>
      <c r="I806" s="18"/>
      <c r="J806" s="18"/>
      <c r="K806" s="18">
        <f>45000+'táj.2'!K806</f>
        <v>45000</v>
      </c>
      <c r="L806" s="18"/>
      <c r="M806" s="18"/>
      <c r="N806" s="18"/>
      <c r="O806" s="18"/>
      <c r="P806" s="18"/>
      <c r="Q806" s="18">
        <f t="shared" si="45"/>
        <v>45000</v>
      </c>
    </row>
    <row r="807" spans="1:17" ht="13.5" customHeight="1">
      <c r="A807" s="113"/>
      <c r="B807" s="113"/>
      <c r="C807" s="248"/>
      <c r="D807" s="157" t="s">
        <v>530</v>
      </c>
      <c r="E807" s="18"/>
      <c r="F807" s="113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>
        <f t="shared" si="45"/>
        <v>0</v>
      </c>
    </row>
    <row r="808" spans="1:17" ht="13.5" customHeight="1">
      <c r="A808" s="113"/>
      <c r="B808" s="113"/>
      <c r="C808" s="248" t="s">
        <v>1288</v>
      </c>
      <c r="D808" s="276" t="s">
        <v>1363</v>
      </c>
      <c r="E808" s="18"/>
      <c r="F808" s="113">
        <v>324902</v>
      </c>
      <c r="G808" s="18"/>
      <c r="H808" s="18"/>
      <c r="I808" s="18"/>
      <c r="J808" s="18"/>
      <c r="K808" s="18"/>
      <c r="L808" s="18">
        <f>0+'táj.2'!L808</f>
        <v>0</v>
      </c>
      <c r="M808" s="18">
        <f>1404+'táj.2'!M808</f>
        <v>1404</v>
      </c>
      <c r="N808" s="18">
        <f>0+'táj.2'!N808</f>
        <v>0</v>
      </c>
      <c r="O808" s="18">
        <f>0+'táj.2'!O808</f>
        <v>0</v>
      </c>
      <c r="P808" s="18">
        <f>0+'táj.2'!P808</f>
        <v>0</v>
      </c>
      <c r="Q808" s="18">
        <f t="shared" si="45"/>
        <v>1404</v>
      </c>
    </row>
    <row r="809" spans="1:17" ht="15.75" customHeight="1">
      <c r="A809" s="104"/>
      <c r="B809" s="104"/>
      <c r="C809" s="245"/>
      <c r="D809" s="106" t="s">
        <v>1012</v>
      </c>
      <c r="E809" s="107"/>
      <c r="F809" s="532"/>
      <c r="G809" s="111">
        <f aca="true" t="shared" si="46" ref="G809:Q809">SUM(G783:G808)</f>
        <v>0</v>
      </c>
      <c r="H809" s="111">
        <f t="shared" si="46"/>
        <v>0</v>
      </c>
      <c r="I809" s="111">
        <f t="shared" si="46"/>
        <v>0</v>
      </c>
      <c r="J809" s="111">
        <f t="shared" si="46"/>
        <v>0</v>
      </c>
      <c r="K809" s="111">
        <f t="shared" si="46"/>
        <v>273419</v>
      </c>
      <c r="L809" s="111">
        <f t="shared" si="46"/>
        <v>0</v>
      </c>
      <c r="M809" s="111">
        <f t="shared" si="46"/>
        <v>1404</v>
      </c>
      <c r="N809" s="111">
        <f t="shared" si="46"/>
        <v>0</v>
      </c>
      <c r="O809" s="111">
        <f t="shared" si="46"/>
        <v>0</v>
      </c>
      <c r="P809" s="111">
        <f t="shared" si="46"/>
        <v>0</v>
      </c>
      <c r="Q809" s="111">
        <f t="shared" si="46"/>
        <v>274823</v>
      </c>
    </row>
    <row r="810" spans="1:17" ht="15.75" customHeight="1">
      <c r="A810" s="104"/>
      <c r="B810" s="104"/>
      <c r="C810" s="245"/>
      <c r="D810" s="239" t="s">
        <v>284</v>
      </c>
      <c r="E810" s="479"/>
      <c r="F810" s="550"/>
      <c r="G810" s="159">
        <f aca="true" t="shared" si="47" ref="G810:Q810">SUM(G49+G234+G248+G517+G643+G674+G698+G735+G738+G782+G809)</f>
        <v>170177</v>
      </c>
      <c r="H810" s="159">
        <f t="shared" si="47"/>
        <v>63043</v>
      </c>
      <c r="I810" s="159">
        <f t="shared" si="47"/>
        <v>3231560</v>
      </c>
      <c r="J810" s="159">
        <f t="shared" si="47"/>
        <v>177346</v>
      </c>
      <c r="K810" s="159">
        <f t="shared" si="47"/>
        <v>1888107</v>
      </c>
      <c r="L810" s="755">
        <f t="shared" si="47"/>
        <v>10476019</v>
      </c>
      <c r="M810" s="159">
        <f t="shared" si="47"/>
        <v>2057318</v>
      </c>
      <c r="N810" s="159">
        <f t="shared" si="47"/>
        <v>479458</v>
      </c>
      <c r="O810" s="159">
        <f t="shared" si="47"/>
        <v>1333</v>
      </c>
      <c r="P810" s="159">
        <f t="shared" si="47"/>
        <v>72571</v>
      </c>
      <c r="Q810" s="159">
        <f t="shared" si="47"/>
        <v>18616932</v>
      </c>
    </row>
    <row r="811" spans="1:17" ht="15.75" customHeight="1">
      <c r="A811" s="100"/>
      <c r="B811" s="100"/>
      <c r="C811" s="100"/>
      <c r="D811" s="290" t="s">
        <v>454</v>
      </c>
      <c r="E811" s="102"/>
      <c r="F811" s="328"/>
      <c r="G811" s="617">
        <f>8!E22</f>
        <v>3374338</v>
      </c>
      <c r="H811" s="617">
        <f>8!F22</f>
        <v>957453</v>
      </c>
      <c r="I811" s="617">
        <f>8!G22</f>
        <v>2598352</v>
      </c>
      <c r="J811" s="617">
        <f>8!H22</f>
        <v>16600</v>
      </c>
      <c r="K811" s="617">
        <f>8!I22</f>
        <v>30770</v>
      </c>
      <c r="L811" s="617">
        <f>8!J22</f>
        <v>152581</v>
      </c>
      <c r="M811" s="617">
        <f>8!K22</f>
        <v>37025</v>
      </c>
      <c r="N811" s="617">
        <f>8!L22</f>
        <v>0</v>
      </c>
      <c r="O811" s="617"/>
      <c r="P811" s="617">
        <f>8!M22</f>
        <v>0</v>
      </c>
      <c r="Q811" s="15">
        <f>SUM(G811:P811)</f>
        <v>7167119</v>
      </c>
    </row>
    <row r="812" spans="1:17" ht="15.75" customHeight="1">
      <c r="A812" s="104"/>
      <c r="B812" s="104"/>
      <c r="C812" s="245"/>
      <c r="D812" s="106" t="s">
        <v>440</v>
      </c>
      <c r="E812" s="187"/>
      <c r="F812" s="551"/>
      <c r="G812" s="55">
        <f aca="true" t="shared" si="48" ref="G812:P812">SUM(G810:G811)</f>
        <v>3544515</v>
      </c>
      <c r="H812" s="55">
        <f t="shared" si="48"/>
        <v>1020496</v>
      </c>
      <c r="I812" s="55">
        <f t="shared" si="48"/>
        <v>5829912</v>
      </c>
      <c r="J812" s="55">
        <f t="shared" si="48"/>
        <v>193946</v>
      </c>
      <c r="K812" s="55">
        <f t="shared" si="48"/>
        <v>1918877</v>
      </c>
      <c r="L812" s="756">
        <f t="shared" si="48"/>
        <v>10628600</v>
      </c>
      <c r="M812" s="111">
        <f t="shared" si="48"/>
        <v>2094343</v>
      </c>
      <c r="N812" s="111">
        <f t="shared" si="48"/>
        <v>479458</v>
      </c>
      <c r="O812" s="111">
        <f t="shared" si="48"/>
        <v>1333</v>
      </c>
      <c r="P812" s="111">
        <f t="shared" si="48"/>
        <v>72571</v>
      </c>
      <c r="Q812" s="111">
        <f>SUM(Q810:Q811)</f>
        <v>25784051</v>
      </c>
    </row>
    <row r="816" ht="12">
      <c r="L816" s="723"/>
    </row>
  </sheetData>
  <sheetProtection selectLockedCells="1" selectUnlockedCells="1"/>
  <mergeCells count="8">
    <mergeCell ref="O1:P1"/>
    <mergeCell ref="A1:A2"/>
    <mergeCell ref="B1:B2"/>
    <mergeCell ref="D1:D2"/>
    <mergeCell ref="E1:E2"/>
    <mergeCell ref="C1:C2"/>
    <mergeCell ref="G1:N1"/>
    <mergeCell ref="F1:F2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85" r:id="rId1"/>
  <headerFooter alignWithMargins="0">
    <oddHeader>&amp;C&amp;"Times New Roman CE,Félkövér dőlt"ZALAEGERSZEG MEGYEI JOGÚ VÁROS ÖNKORMÁNYZATA
KIADÁSI ELŐIRÁNYZATAI
2016. ÉVBEN&amp;R&amp;"Times New Roman CE,Félkövér dőlt"6.a melléklet
Adatok ezer Ft-ban</oddHeader>
    <oddFooter>&amp;LFeladat jellege:
1=kötelező
2=önként vállalt
&amp;C&amp;P. oldal&amp;Ra *-gal jelzett célok  hitel felvételével valósíthatók meg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B1">
      <pane ySplit="2" topLeftCell="BM3" activePane="bottomLeft" state="frozen"/>
      <selection pane="topLeft" activeCell="A1" sqref="A1"/>
      <selection pane="bottomLeft" activeCell="N24" sqref="N24"/>
    </sheetView>
  </sheetViews>
  <sheetFormatPr defaultColWidth="9.00390625" defaultRowHeight="12.75"/>
  <cols>
    <col min="1" max="1" width="3.375" style="278" customWidth="1"/>
    <col min="2" max="2" width="35.625" style="278" customWidth="1"/>
    <col min="3" max="3" width="12.50390625" style="278" customWidth="1"/>
    <col min="4" max="4" width="11.00390625" style="278" customWidth="1"/>
    <col min="5" max="5" width="10.625" style="278" customWidth="1"/>
    <col min="6" max="6" width="11.375" style="278" customWidth="1"/>
    <col min="7" max="7" width="7.625" style="278" customWidth="1"/>
    <col min="8" max="8" width="10.375" style="278" customWidth="1"/>
    <col min="9" max="10" width="10.125" style="278" customWidth="1"/>
    <col min="11" max="11" width="8.875" style="278" customWidth="1"/>
    <col min="12" max="12" width="11.625" style="278" customWidth="1"/>
    <col min="13" max="13" width="12.875" style="278" customWidth="1"/>
    <col min="14" max="14" width="9.00390625" style="278" customWidth="1"/>
    <col min="15" max="15" width="12.625" style="278" customWidth="1"/>
    <col min="16" max="16384" width="9.375" style="278" customWidth="1"/>
  </cols>
  <sheetData>
    <row r="1" spans="1:15" ht="12.75" customHeight="1">
      <c r="A1" s="764" t="s">
        <v>1285</v>
      </c>
      <c r="B1" s="765" t="s">
        <v>151</v>
      </c>
      <c r="C1" s="783" t="s">
        <v>854</v>
      </c>
      <c r="D1" s="783" t="s">
        <v>710</v>
      </c>
      <c r="E1" s="782" t="s">
        <v>164</v>
      </c>
      <c r="F1" s="782"/>
      <c r="G1" s="782"/>
      <c r="H1" s="782"/>
      <c r="I1" s="782"/>
      <c r="J1" s="782"/>
      <c r="K1" s="782"/>
      <c r="L1" s="782" t="s">
        <v>536</v>
      </c>
      <c r="M1" s="782"/>
      <c r="N1" s="782"/>
      <c r="O1" s="780" t="s">
        <v>718</v>
      </c>
    </row>
    <row r="2" spans="1:15" s="279" customFormat="1" ht="78" customHeight="1">
      <c r="A2" s="764"/>
      <c r="B2" s="765"/>
      <c r="C2" s="784"/>
      <c r="D2" s="784"/>
      <c r="E2" s="411" t="s">
        <v>1017</v>
      </c>
      <c r="F2" s="411" t="s">
        <v>1018</v>
      </c>
      <c r="G2" s="191" t="s">
        <v>1019</v>
      </c>
      <c r="H2" s="411" t="s">
        <v>532</v>
      </c>
      <c r="I2" s="191" t="s">
        <v>533</v>
      </c>
      <c r="J2" s="191" t="s">
        <v>534</v>
      </c>
      <c r="K2" s="191" t="s">
        <v>535</v>
      </c>
      <c r="L2" s="191" t="s">
        <v>166</v>
      </c>
      <c r="M2" s="191" t="s">
        <v>1300</v>
      </c>
      <c r="N2" s="191" t="s">
        <v>168</v>
      </c>
      <c r="O2" s="781"/>
    </row>
    <row r="3" spans="1:15" ht="16.5" customHeight="1">
      <c r="A3" s="412" t="s">
        <v>1287</v>
      </c>
      <c r="B3" s="413" t="s">
        <v>154</v>
      </c>
      <c r="C3" s="621">
        <v>1200001</v>
      </c>
      <c r="D3" s="621">
        <f>50787+'táj.3'!M3</f>
        <v>52486</v>
      </c>
      <c r="E3" s="414">
        <f>17855+'táj.3'!C3</f>
        <v>19182</v>
      </c>
      <c r="F3" s="414">
        <f>0+'táj.3'!D3</f>
        <v>0</v>
      </c>
      <c r="G3" s="414">
        <f>0+'táj.3'!E3</f>
        <v>0</v>
      </c>
      <c r="H3" s="414">
        <f>17754+'táj.3'!F3</f>
        <v>17754</v>
      </c>
      <c r="I3" s="414">
        <f>2800+'táj.3'!G3</f>
        <v>2800</v>
      </c>
      <c r="J3" s="414">
        <f>0+'táj.3'!H3</f>
        <v>0</v>
      </c>
      <c r="K3" s="414">
        <f>0+'táj.3'!I3</f>
        <v>0</v>
      </c>
      <c r="L3" s="414">
        <f>56801+'táj.3'!J3</f>
        <v>56801</v>
      </c>
      <c r="M3" s="414">
        <f>1155578+'táj.3'!K3</f>
        <v>1155950</v>
      </c>
      <c r="N3" s="414">
        <f>0+'táj.3'!L3</f>
        <v>0</v>
      </c>
      <c r="O3" s="414">
        <f aca="true" t="shared" si="0" ref="O3:O21">SUM(E3:N3)</f>
        <v>1252487</v>
      </c>
    </row>
    <row r="4" spans="1:15" ht="16.5" customHeight="1">
      <c r="A4" s="412" t="s">
        <v>1289</v>
      </c>
      <c r="B4" s="413" t="s">
        <v>470</v>
      </c>
      <c r="C4" s="621">
        <v>624864</v>
      </c>
      <c r="D4" s="621">
        <f>-21022+'táj.3'!M4</f>
        <v>-26146</v>
      </c>
      <c r="E4" s="414">
        <f>3975+'táj.3'!C4</f>
        <v>3975</v>
      </c>
      <c r="F4" s="414">
        <f>3203+'táj.3'!D4</f>
        <v>3203</v>
      </c>
      <c r="G4" s="414">
        <f>0+'táj.3'!E4</f>
        <v>0</v>
      </c>
      <c r="H4" s="414">
        <f>80931+'táj.3'!F4</f>
        <v>80931</v>
      </c>
      <c r="I4" s="414">
        <f>5+'táj.3'!G4</f>
        <v>5</v>
      </c>
      <c r="J4" s="414">
        <f>0+'táj.3'!H4</f>
        <v>0</v>
      </c>
      <c r="K4" s="414">
        <f>0+'táj.3'!I4</f>
        <v>0</v>
      </c>
      <c r="L4" s="414">
        <f>0+'táj.3'!J4</f>
        <v>0</v>
      </c>
      <c r="M4" s="414">
        <f>515728+'táj.3'!K4</f>
        <v>510604</v>
      </c>
      <c r="N4" s="414">
        <f>0+'táj.3'!L4</f>
        <v>0</v>
      </c>
      <c r="O4" s="414">
        <f t="shared" si="0"/>
        <v>598718</v>
      </c>
    </row>
    <row r="5" spans="1:15" ht="16.5" customHeight="1">
      <c r="A5" s="412" t="s">
        <v>1290</v>
      </c>
      <c r="B5" s="413" t="s">
        <v>100</v>
      </c>
      <c r="C5" s="621">
        <v>768082</v>
      </c>
      <c r="D5" s="621">
        <f>64431+'táj.3'!M5</f>
        <v>82358</v>
      </c>
      <c r="E5" s="414">
        <f>370+'táj.3'!C5</f>
        <v>370</v>
      </c>
      <c r="F5" s="414">
        <f>0+'táj.3'!D5</f>
        <v>0</v>
      </c>
      <c r="G5" s="414">
        <f>0+'táj.3'!E5</f>
        <v>0</v>
      </c>
      <c r="H5" s="414">
        <f>400671+'táj.3'!F5</f>
        <v>418471</v>
      </c>
      <c r="I5" s="414">
        <f>0+'táj.3'!G5</f>
        <v>0</v>
      </c>
      <c r="J5" s="414">
        <f>0+'táj.3'!H5</f>
        <v>0</v>
      </c>
      <c r="K5" s="414">
        <f>0+'táj.3'!I5</f>
        <v>0</v>
      </c>
      <c r="L5" s="414">
        <f>2200+'táj.3'!J5</f>
        <v>2200</v>
      </c>
      <c r="M5" s="414">
        <f>429272+'táj.3'!K5</f>
        <v>429399</v>
      </c>
      <c r="N5" s="414">
        <f>0+'táj.3'!L5</f>
        <v>0</v>
      </c>
      <c r="O5" s="414">
        <f t="shared" si="0"/>
        <v>850440</v>
      </c>
    </row>
    <row r="6" spans="1:15" ht="16.5" customHeight="1">
      <c r="A6" s="412" t="s">
        <v>1252</v>
      </c>
      <c r="B6" s="413" t="s">
        <v>268</v>
      </c>
      <c r="C6" s="621">
        <v>387888</v>
      </c>
      <c r="D6" s="621">
        <f>96261+'táj.3'!M6</f>
        <v>100328</v>
      </c>
      <c r="E6" s="414">
        <f>3000+'táj.3'!C6</f>
        <v>3000</v>
      </c>
      <c r="F6" s="414">
        <f>12507+'táj.3'!D6</f>
        <v>12507</v>
      </c>
      <c r="G6" s="414">
        <f>0+'táj.3'!E6</f>
        <v>0</v>
      </c>
      <c r="H6" s="414">
        <f>96974+'táj.3'!F6</f>
        <v>98974</v>
      </c>
      <c r="I6" s="414">
        <f>0+'táj.3'!G6</f>
        <v>0</v>
      </c>
      <c r="J6" s="414">
        <f>0+'táj.3'!H6</f>
        <v>0</v>
      </c>
      <c r="K6" s="414">
        <f>0+'táj.3'!I6</f>
        <v>0</v>
      </c>
      <c r="L6" s="414">
        <f>9367+'táj.3'!J6</f>
        <v>9367</v>
      </c>
      <c r="M6" s="414">
        <f>362301+'táj.3'!K6</f>
        <v>364368</v>
      </c>
      <c r="N6" s="414">
        <f>0+'táj.3'!L6</f>
        <v>0</v>
      </c>
      <c r="O6" s="414">
        <f t="shared" si="0"/>
        <v>488216</v>
      </c>
    </row>
    <row r="7" spans="1:15" ht="24" customHeight="1">
      <c r="A7" s="412" t="s">
        <v>1250</v>
      </c>
      <c r="B7" s="415" t="s">
        <v>471</v>
      </c>
      <c r="C7" s="616">
        <v>331151</v>
      </c>
      <c r="D7" s="621">
        <f>94153+'táj.3'!M7</f>
        <v>94617</v>
      </c>
      <c r="E7" s="414">
        <f>274427+'táj.3'!C7</f>
        <v>274427</v>
      </c>
      <c r="F7" s="414">
        <f>0+'táj.3'!D7</f>
        <v>0</v>
      </c>
      <c r="G7" s="414">
        <f>0+'táj.3'!E7</f>
        <v>0</v>
      </c>
      <c r="H7" s="414">
        <f>2450+'táj.3'!F7</f>
        <v>2450</v>
      </c>
      <c r="I7" s="414">
        <f>0+'táj.3'!G7</f>
        <v>0</v>
      </c>
      <c r="J7" s="414">
        <f>0+'táj.3'!H7</f>
        <v>0</v>
      </c>
      <c r="K7" s="414">
        <f>0+'táj.3'!I7</f>
        <v>0</v>
      </c>
      <c r="L7" s="414">
        <f>82182+'táj.3'!J7</f>
        <v>82182</v>
      </c>
      <c r="M7" s="414">
        <f>66245+'táj.3'!K7</f>
        <v>66709</v>
      </c>
      <c r="N7" s="414">
        <f>0+'táj.3'!L7</f>
        <v>0</v>
      </c>
      <c r="O7" s="414">
        <f t="shared" si="0"/>
        <v>425768</v>
      </c>
    </row>
    <row r="8" spans="1:15" ht="24" customHeight="1">
      <c r="A8" s="412" t="s">
        <v>1253</v>
      </c>
      <c r="B8" s="415" t="s">
        <v>472</v>
      </c>
      <c r="C8" s="616">
        <v>125278</v>
      </c>
      <c r="D8" s="621">
        <f>33680+'táj.3'!M8</f>
        <v>35250</v>
      </c>
      <c r="E8" s="414">
        <f>15932+'táj.3'!C8</f>
        <v>15932</v>
      </c>
      <c r="F8" s="414">
        <f>0+'táj.3'!D8</f>
        <v>0</v>
      </c>
      <c r="G8" s="414">
        <f>0+'táj.3'!E8</f>
        <v>0</v>
      </c>
      <c r="H8" s="414">
        <f>50+'táj.3'!F8</f>
        <v>50</v>
      </c>
      <c r="I8" s="414">
        <f>0+'táj.3'!G8</f>
        <v>0</v>
      </c>
      <c r="J8" s="414">
        <f>0+'táj.3'!H8</f>
        <v>0</v>
      </c>
      <c r="K8" s="414">
        <f>0+'táj.3'!I8</f>
        <v>0</v>
      </c>
      <c r="L8" s="414">
        <f>199+'táj.3'!J8</f>
        <v>199</v>
      </c>
      <c r="M8" s="414">
        <f>142777+'táj.3'!K8</f>
        <v>144347</v>
      </c>
      <c r="N8" s="414">
        <f>0+'táj.3'!L8</f>
        <v>0</v>
      </c>
      <c r="O8" s="414">
        <f t="shared" si="0"/>
        <v>160528</v>
      </c>
    </row>
    <row r="9" spans="1:15" ht="16.5" customHeight="1">
      <c r="A9" s="412" t="s">
        <v>1255</v>
      </c>
      <c r="B9" s="416" t="s">
        <v>269</v>
      </c>
      <c r="C9" s="617">
        <v>353804</v>
      </c>
      <c r="D9" s="621">
        <f>9061+'táj.3'!M9</f>
        <v>11183</v>
      </c>
      <c r="E9" s="414">
        <f>388+'táj.3'!C9</f>
        <v>475</v>
      </c>
      <c r="F9" s="414">
        <f>0+'táj.3'!D9</f>
        <v>2000</v>
      </c>
      <c r="G9" s="414">
        <f>0+'táj.3'!E9</f>
        <v>0</v>
      </c>
      <c r="H9" s="414">
        <f>25175+'táj.3'!F9</f>
        <v>25175</v>
      </c>
      <c r="I9" s="414">
        <f>0+'táj.3'!G9</f>
        <v>0</v>
      </c>
      <c r="J9" s="414">
        <f>0+'táj.3'!H9</f>
        <v>0</v>
      </c>
      <c r="K9" s="414">
        <f>0+'táj.3'!I9</f>
        <v>0</v>
      </c>
      <c r="L9" s="414">
        <f>8676+'táj.3'!J9</f>
        <v>8676</v>
      </c>
      <c r="M9" s="414">
        <f>328626+'táj.3'!K9</f>
        <v>328661</v>
      </c>
      <c r="N9" s="414">
        <f>0+'táj.3'!L9</f>
        <v>0</v>
      </c>
      <c r="O9" s="414">
        <f t="shared" si="0"/>
        <v>364987</v>
      </c>
    </row>
    <row r="10" spans="1:15" ht="16.5" customHeight="1">
      <c r="A10" s="412" t="s">
        <v>1257</v>
      </c>
      <c r="B10" s="416" t="s">
        <v>270</v>
      </c>
      <c r="C10" s="617">
        <v>314008</v>
      </c>
      <c r="D10" s="621">
        <f>5408+'táj.3'!M10</f>
        <v>5539</v>
      </c>
      <c r="E10" s="414">
        <f>710+'táj.3'!C10</f>
        <v>750</v>
      </c>
      <c r="F10" s="414">
        <f>500+'táj.3'!D10</f>
        <v>500</v>
      </c>
      <c r="G10" s="414">
        <f>0+'táj.3'!E10</f>
        <v>0</v>
      </c>
      <c r="H10" s="414">
        <f>20012+'táj.3'!F10</f>
        <v>20012</v>
      </c>
      <c r="I10" s="414">
        <f>0+'táj.3'!G10</f>
        <v>0</v>
      </c>
      <c r="J10" s="414">
        <f>0+'táj.3'!H10</f>
        <v>0</v>
      </c>
      <c r="K10" s="414">
        <f>0+'táj.3'!I10</f>
        <v>0</v>
      </c>
      <c r="L10" s="414">
        <f>2302+'táj.3'!J10</f>
        <v>2302</v>
      </c>
      <c r="M10" s="414">
        <f>295892+'táj.3'!K10</f>
        <v>295983</v>
      </c>
      <c r="N10" s="414">
        <f>0+'táj.3'!L10</f>
        <v>0</v>
      </c>
      <c r="O10" s="414">
        <f t="shared" si="0"/>
        <v>319547</v>
      </c>
    </row>
    <row r="11" spans="1:15" ht="16.5" customHeight="1">
      <c r="A11" s="412" t="s">
        <v>1105</v>
      </c>
      <c r="B11" s="416" t="s">
        <v>271</v>
      </c>
      <c r="C11" s="617">
        <v>331723</v>
      </c>
      <c r="D11" s="621">
        <f>7908+'táj.3'!M11</f>
        <v>8063</v>
      </c>
      <c r="E11" s="414">
        <f>400+'táj.3'!C11</f>
        <v>400</v>
      </c>
      <c r="F11" s="414">
        <f>0+'táj.3'!D11</f>
        <v>0</v>
      </c>
      <c r="G11" s="414">
        <f>0+'táj.3'!E11</f>
        <v>0</v>
      </c>
      <c r="H11" s="414">
        <f>16248+'táj.3'!F11</f>
        <v>16248</v>
      </c>
      <c r="I11" s="414">
        <f>0+'táj.3'!G11</f>
        <v>0</v>
      </c>
      <c r="J11" s="414">
        <f>0+'táj.3'!H11</f>
        <v>0</v>
      </c>
      <c r="K11" s="414">
        <f>0+'táj.3'!I11</f>
        <v>0</v>
      </c>
      <c r="L11" s="414">
        <f>13741+'táj.3'!J11</f>
        <v>13741</v>
      </c>
      <c r="M11" s="414">
        <f>309242+'táj.3'!K11</f>
        <v>309397</v>
      </c>
      <c r="N11" s="414">
        <f>0+'táj.3'!L11</f>
        <v>0</v>
      </c>
      <c r="O11" s="414">
        <f t="shared" si="0"/>
        <v>339786</v>
      </c>
    </row>
    <row r="12" spans="1:15" ht="16.5" customHeight="1">
      <c r="A12" s="412" t="s">
        <v>1106</v>
      </c>
      <c r="B12" s="416" t="s">
        <v>272</v>
      </c>
      <c r="C12" s="617">
        <v>304363</v>
      </c>
      <c r="D12" s="621">
        <f>12318+'táj.3'!M12</f>
        <v>12581</v>
      </c>
      <c r="E12" s="414">
        <f>431+'táj.3'!C12</f>
        <v>730</v>
      </c>
      <c r="F12" s="414">
        <f>57+'táj.3'!D12</f>
        <v>0</v>
      </c>
      <c r="G12" s="414">
        <f>0+'táj.3'!E12</f>
        <v>0</v>
      </c>
      <c r="H12" s="414">
        <f>15851+'táj.3'!F12</f>
        <v>15851</v>
      </c>
      <c r="I12" s="414">
        <f>0+'táj.3'!G12</f>
        <v>0</v>
      </c>
      <c r="J12" s="414">
        <f>0+'táj.3'!H12</f>
        <v>0</v>
      </c>
      <c r="K12" s="414">
        <f>0+'táj.3'!I12</f>
        <v>0</v>
      </c>
      <c r="L12" s="414">
        <f>9769+'táj.3'!J12</f>
        <v>9769</v>
      </c>
      <c r="M12" s="414">
        <f>290573+'táj.3'!K12</f>
        <v>290594</v>
      </c>
      <c r="N12" s="414">
        <f>0+'táj.3'!L12</f>
        <v>0</v>
      </c>
      <c r="O12" s="414">
        <f t="shared" si="0"/>
        <v>316944</v>
      </c>
    </row>
    <row r="13" spans="1:15" ht="18" customHeight="1">
      <c r="A13" s="412" t="s">
        <v>1107</v>
      </c>
      <c r="B13" s="417" t="s">
        <v>473</v>
      </c>
      <c r="C13" s="618">
        <v>39269</v>
      </c>
      <c r="D13" s="621">
        <f>3551+'táj.3'!M13</f>
        <v>3668</v>
      </c>
      <c r="E13" s="414">
        <f>11552+'táj.3'!C13</f>
        <v>11552</v>
      </c>
      <c r="F13" s="414">
        <f>0+'táj.3'!D13</f>
        <v>0</v>
      </c>
      <c r="G13" s="414">
        <f>0+'táj.3'!E13</f>
        <v>0</v>
      </c>
      <c r="H13" s="414">
        <f>0+'táj.3'!F13</f>
        <v>0</v>
      </c>
      <c r="I13" s="414">
        <f>0+'táj.3'!G13</f>
        <v>0</v>
      </c>
      <c r="J13" s="414">
        <f>0+'táj.3'!H13</f>
        <v>0</v>
      </c>
      <c r="K13" s="414">
        <f>0+'táj.3'!I13</f>
        <v>0</v>
      </c>
      <c r="L13" s="414">
        <f>1012+'táj.3'!J13</f>
        <v>1012</v>
      </c>
      <c r="M13" s="414">
        <f>30256+'táj.3'!K13</f>
        <v>30373</v>
      </c>
      <c r="N13" s="414">
        <f>0+'táj.3'!L13</f>
        <v>0</v>
      </c>
      <c r="O13" s="414">
        <f t="shared" si="0"/>
        <v>42937</v>
      </c>
    </row>
    <row r="14" spans="1:15" ht="16.5" customHeight="1">
      <c r="A14" s="412" t="s">
        <v>1108</v>
      </c>
      <c r="B14" s="418" t="s">
        <v>265</v>
      </c>
      <c r="C14" s="619">
        <v>254342</v>
      </c>
      <c r="D14" s="621">
        <f>51528+'táj.3'!M14</f>
        <v>51797</v>
      </c>
      <c r="E14" s="414">
        <f>20674+'táj.3'!C14</f>
        <v>20674</v>
      </c>
      <c r="F14" s="414">
        <f>730+'táj.3'!D14</f>
        <v>730</v>
      </c>
      <c r="G14" s="414">
        <f>0+'táj.3'!E14</f>
        <v>0</v>
      </c>
      <c r="H14" s="414">
        <f>95680+'táj.3'!F14</f>
        <v>95680</v>
      </c>
      <c r="I14" s="414">
        <f>0+'táj.3'!G14</f>
        <v>0</v>
      </c>
      <c r="J14" s="414">
        <f>1400+'táj.3'!H14</f>
        <v>1400</v>
      </c>
      <c r="K14" s="414">
        <f>0+'táj.3'!I14</f>
        <v>0</v>
      </c>
      <c r="L14" s="414">
        <f>6221+'táj.3'!J14</f>
        <v>6221</v>
      </c>
      <c r="M14" s="414">
        <f>181165+'táj.3'!K14</f>
        <v>181434</v>
      </c>
      <c r="N14" s="414">
        <f>0+'táj.3'!L14</f>
        <v>0</v>
      </c>
      <c r="O14" s="414">
        <f t="shared" si="0"/>
        <v>306139</v>
      </c>
    </row>
    <row r="15" spans="1:15" ht="27" customHeight="1">
      <c r="A15" s="412" t="s">
        <v>1109</v>
      </c>
      <c r="B15" s="415" t="s">
        <v>273</v>
      </c>
      <c r="C15" s="616">
        <v>17771</v>
      </c>
      <c r="D15" s="621">
        <f>5071+'táj.3'!M15</f>
        <v>5090</v>
      </c>
      <c r="E15" s="414">
        <f>2800+'táj.3'!C15</f>
        <v>2800</v>
      </c>
      <c r="F15" s="414">
        <f>0+'táj.3'!D15</f>
        <v>0</v>
      </c>
      <c r="G15" s="414">
        <f>0+'táj.3'!E15</f>
        <v>0</v>
      </c>
      <c r="H15" s="414">
        <f>1400+'táj.3'!F15</f>
        <v>1400</v>
      </c>
      <c r="I15" s="414">
        <f>0+'táj.3'!G15</f>
        <v>0</v>
      </c>
      <c r="J15" s="414">
        <f>0+'táj.3'!H15</f>
        <v>0</v>
      </c>
      <c r="K15" s="414">
        <f>0+'táj.3'!I15</f>
        <v>0</v>
      </c>
      <c r="L15" s="414">
        <f>1467+'táj.3'!J15</f>
        <v>1467</v>
      </c>
      <c r="M15" s="414">
        <f>17175+'táj.3'!K15</f>
        <v>17194</v>
      </c>
      <c r="N15" s="414">
        <f>0+'táj.3'!L15</f>
        <v>0</v>
      </c>
      <c r="O15" s="414">
        <f t="shared" si="0"/>
        <v>22861</v>
      </c>
    </row>
    <row r="16" spans="1:15" ht="16.5" customHeight="1">
      <c r="A16" s="412" t="s">
        <v>1110</v>
      </c>
      <c r="B16" s="416" t="s">
        <v>266</v>
      </c>
      <c r="C16" s="617">
        <v>374475</v>
      </c>
      <c r="D16" s="621">
        <f>13683+'táj.3'!M16</f>
        <v>33134</v>
      </c>
      <c r="E16" s="414">
        <f>4391+'táj.3'!C16</f>
        <v>23391</v>
      </c>
      <c r="F16" s="414">
        <f>0+'táj.3'!D16</f>
        <v>0</v>
      </c>
      <c r="G16" s="414">
        <f>0+'táj.3'!E16</f>
        <v>0</v>
      </c>
      <c r="H16" s="414">
        <f>28000+'táj.3'!F16</f>
        <v>28000</v>
      </c>
      <c r="I16" s="414">
        <f>0+'táj.3'!G16</f>
        <v>0</v>
      </c>
      <c r="J16" s="414">
        <f>1700+'táj.3'!H16</f>
        <v>1730</v>
      </c>
      <c r="K16" s="414">
        <f>0+'táj.3'!I16</f>
        <v>0</v>
      </c>
      <c r="L16" s="414">
        <f>1239+'táj.3'!J16</f>
        <v>1239</v>
      </c>
      <c r="M16" s="414">
        <f>352828+'táj.3'!K16</f>
        <v>353249</v>
      </c>
      <c r="N16" s="414">
        <f>0+'táj.3'!L16</f>
        <v>0</v>
      </c>
      <c r="O16" s="414">
        <f t="shared" si="0"/>
        <v>407609</v>
      </c>
    </row>
    <row r="17" spans="1:15" ht="16.5" customHeight="1">
      <c r="A17" s="412" t="s">
        <v>1269</v>
      </c>
      <c r="B17" s="416" t="s">
        <v>267</v>
      </c>
      <c r="C17" s="617">
        <v>230166</v>
      </c>
      <c r="D17" s="621">
        <f>26519+'táj.3'!M17</f>
        <v>26645</v>
      </c>
      <c r="E17" s="414">
        <f>68214+'táj.3'!C17</f>
        <v>68214</v>
      </c>
      <c r="F17" s="414">
        <f>1079+'táj.3'!D17</f>
        <v>1079</v>
      </c>
      <c r="G17" s="414">
        <f>0+'táj.3'!E17</f>
        <v>0</v>
      </c>
      <c r="H17" s="414">
        <f>45248+'táj.3'!F17</f>
        <v>45248</v>
      </c>
      <c r="I17" s="414">
        <f>950+'táj.3'!G17</f>
        <v>950</v>
      </c>
      <c r="J17" s="414">
        <f>205+'táj.3'!H17</f>
        <v>205</v>
      </c>
      <c r="K17" s="414">
        <f>155+'táj.3'!I17</f>
        <v>155</v>
      </c>
      <c r="L17" s="414">
        <f>30507+'táj.3'!J17</f>
        <v>30507</v>
      </c>
      <c r="M17" s="414">
        <f>110327+'táj.3'!K17</f>
        <v>110453</v>
      </c>
      <c r="N17" s="414">
        <f>0+'táj.3'!L17</f>
        <v>0</v>
      </c>
      <c r="O17" s="414">
        <f t="shared" si="0"/>
        <v>256811</v>
      </c>
    </row>
    <row r="18" spans="1:15" ht="16.5" customHeight="1">
      <c r="A18" s="412" t="s">
        <v>1111</v>
      </c>
      <c r="B18" s="416" t="s">
        <v>274</v>
      </c>
      <c r="C18" s="617">
        <v>597821</v>
      </c>
      <c r="D18" s="621">
        <f>40476+'táj.3'!M18</f>
        <v>44021</v>
      </c>
      <c r="E18" s="414">
        <f>5700+'táj.3'!C18</f>
        <v>5700</v>
      </c>
      <c r="F18" s="414">
        <f>15988+'táj.3'!D18</f>
        <v>15988</v>
      </c>
      <c r="G18" s="414">
        <f>0+'táj.3'!E18</f>
        <v>0</v>
      </c>
      <c r="H18" s="414">
        <f>169350+'táj.3'!F18</f>
        <v>172350</v>
      </c>
      <c r="I18" s="414">
        <f>0+'táj.3'!G18</f>
        <v>0</v>
      </c>
      <c r="J18" s="414">
        <f>58737+'táj.3'!H18</f>
        <v>58737</v>
      </c>
      <c r="K18" s="414">
        <f>400+'táj.3'!I18</f>
        <v>400</v>
      </c>
      <c r="L18" s="414">
        <f>30669+'táj.3'!J18</f>
        <v>30669</v>
      </c>
      <c r="M18" s="414">
        <f>357453+'táj.3'!K18</f>
        <v>357998</v>
      </c>
      <c r="N18" s="414">
        <f>0+'táj.3'!L18</f>
        <v>0</v>
      </c>
      <c r="O18" s="414">
        <f t="shared" si="0"/>
        <v>641842</v>
      </c>
    </row>
    <row r="19" spans="1:15" ht="16.5" customHeight="1">
      <c r="A19" s="412" t="s">
        <v>1112</v>
      </c>
      <c r="B19" s="416" t="s">
        <v>275</v>
      </c>
      <c r="C19" s="617">
        <v>118700</v>
      </c>
      <c r="D19" s="621">
        <f>9417+'táj.3'!M19</f>
        <v>9543</v>
      </c>
      <c r="E19" s="414">
        <f>5800+'táj.3'!C19</f>
        <v>5800</v>
      </c>
      <c r="F19" s="414">
        <f>0+'táj.3'!D19</f>
        <v>0</v>
      </c>
      <c r="G19" s="414">
        <f>0+'táj.3'!E19</f>
        <v>0</v>
      </c>
      <c r="H19" s="414">
        <f>19490+'táj.3'!F19</f>
        <v>19490</v>
      </c>
      <c r="I19" s="414">
        <f>0+'táj.3'!G19</f>
        <v>0</v>
      </c>
      <c r="J19" s="414">
        <f>8022+'táj.3'!H19</f>
        <v>8022</v>
      </c>
      <c r="K19" s="414">
        <f>0+'táj.3'!I19</f>
        <v>0</v>
      </c>
      <c r="L19" s="414">
        <f>19972+'táj.3'!J19</f>
        <v>19972</v>
      </c>
      <c r="M19" s="414">
        <f>74833+'táj.3'!K19</f>
        <v>74959</v>
      </c>
      <c r="N19" s="414">
        <f>0+'táj.3'!L19</f>
        <v>0</v>
      </c>
      <c r="O19" s="414">
        <f t="shared" si="0"/>
        <v>128243</v>
      </c>
    </row>
    <row r="20" spans="1:15" ht="25.5" customHeight="1">
      <c r="A20" s="412" t="s">
        <v>474</v>
      </c>
      <c r="B20" s="415" t="s">
        <v>475</v>
      </c>
      <c r="C20" s="617">
        <v>108321</v>
      </c>
      <c r="D20" s="621">
        <f>12515+'táj.3'!M20</f>
        <v>12603</v>
      </c>
      <c r="E20" s="667">
        <f>32+'táj.3'!C20</f>
        <v>32</v>
      </c>
      <c r="F20" s="667">
        <f>968+'táj.3'!D20</f>
        <v>968</v>
      </c>
      <c r="G20" s="667">
        <f>0+'táj.3'!E20</f>
        <v>0</v>
      </c>
      <c r="H20" s="667">
        <f>12000+'táj.3'!F20</f>
        <v>12000</v>
      </c>
      <c r="I20" s="667">
        <f>0+'táj.3'!G20</f>
        <v>0</v>
      </c>
      <c r="J20" s="667">
        <f>0+'táj.3'!H20</f>
        <v>0</v>
      </c>
      <c r="K20" s="667">
        <f>0+'táj.3'!I20</f>
        <v>0</v>
      </c>
      <c r="L20" s="667">
        <f>23521+'táj.3'!J20</f>
        <v>23521</v>
      </c>
      <c r="M20" s="667">
        <f>84315+'táj.3'!K20</f>
        <v>84403</v>
      </c>
      <c r="N20" s="667">
        <f>0+'táj.3'!L20</f>
        <v>0</v>
      </c>
      <c r="O20" s="667">
        <f t="shared" si="0"/>
        <v>120924</v>
      </c>
    </row>
    <row r="21" spans="1:15" ht="16.5" customHeight="1">
      <c r="A21" s="412" t="s">
        <v>476</v>
      </c>
      <c r="B21" s="416" t="s">
        <v>528</v>
      </c>
      <c r="C21" s="617">
        <v>104000</v>
      </c>
      <c r="D21" s="621">
        <f>18310+'táj.3'!M21</f>
        <v>18332</v>
      </c>
      <c r="E21" s="414">
        <f>0+'táj.3'!C21</f>
        <v>0</v>
      </c>
      <c r="F21" s="414">
        <f>0+'táj.3'!D21</f>
        <v>0</v>
      </c>
      <c r="G21" s="414">
        <f>0+'táj.3'!E21</f>
        <v>0</v>
      </c>
      <c r="H21" s="414">
        <f>100000+'táj.3'!F21</f>
        <v>100000</v>
      </c>
      <c r="I21" s="414">
        <f>0+'táj.3'!G21</f>
        <v>0</v>
      </c>
      <c r="J21" s="414">
        <f>0+'táj.3'!H21</f>
        <v>0</v>
      </c>
      <c r="K21" s="414">
        <f>0+'táj.3'!I21</f>
        <v>0</v>
      </c>
      <c r="L21" s="414">
        <f>22022+'táj.3'!J21</f>
        <v>22022</v>
      </c>
      <c r="M21" s="414">
        <f>288+'táj.3'!K21</f>
        <v>310</v>
      </c>
      <c r="N21" s="414">
        <f>0+'táj.3'!L21</f>
        <v>0</v>
      </c>
      <c r="O21" s="414">
        <f t="shared" si="0"/>
        <v>122332</v>
      </c>
    </row>
    <row r="22" spans="1:15" ht="14.25" customHeight="1">
      <c r="A22" s="419"/>
      <c r="B22" s="420" t="s">
        <v>1016</v>
      </c>
      <c r="C22" s="622">
        <v>6586027</v>
      </c>
      <c r="D22" s="623">
        <f>SUM(D3:D21)</f>
        <v>581092</v>
      </c>
      <c r="E22" s="421">
        <f aca="true" t="shared" si="1" ref="E22:O22">SUM(E3:E21)</f>
        <v>457404</v>
      </c>
      <c r="F22" s="421">
        <f t="shared" si="1"/>
        <v>36975</v>
      </c>
      <c r="G22" s="421">
        <f t="shared" si="1"/>
        <v>0</v>
      </c>
      <c r="H22" s="421">
        <f t="shared" si="1"/>
        <v>1170084</v>
      </c>
      <c r="I22" s="421">
        <f t="shared" si="1"/>
        <v>3755</v>
      </c>
      <c r="J22" s="421">
        <f t="shared" si="1"/>
        <v>70094</v>
      </c>
      <c r="K22" s="421">
        <f t="shared" si="1"/>
        <v>555</v>
      </c>
      <c r="L22" s="421">
        <f t="shared" si="1"/>
        <v>321867</v>
      </c>
      <c r="M22" s="421">
        <f t="shared" si="1"/>
        <v>5106385</v>
      </c>
      <c r="N22" s="421">
        <f t="shared" si="1"/>
        <v>0</v>
      </c>
      <c r="O22" s="421">
        <f t="shared" si="1"/>
        <v>7167119</v>
      </c>
    </row>
    <row r="23" spans="5:13" ht="13.5" customHeight="1">
      <c r="E23" s="701"/>
      <c r="F23" s="701"/>
      <c r="G23" s="280"/>
      <c r="H23" s="701"/>
      <c r="I23" s="701"/>
      <c r="J23" s="701"/>
      <c r="K23" s="701"/>
      <c r="L23" s="701"/>
      <c r="M23" s="701"/>
    </row>
    <row r="24" spans="5:13" ht="13.5" customHeight="1">
      <c r="E24" s="280"/>
      <c r="F24" s="280"/>
      <c r="G24" s="280"/>
      <c r="H24" s="280"/>
      <c r="I24" s="280"/>
      <c r="J24" s="280"/>
      <c r="K24" s="280"/>
      <c r="L24" s="280"/>
      <c r="M24" s="280"/>
    </row>
    <row r="25" spans="5:13" ht="13.5" customHeight="1">
      <c r="E25" s="280"/>
      <c r="F25" s="280"/>
      <c r="G25" s="280"/>
      <c r="H25" s="280"/>
      <c r="I25" s="280"/>
      <c r="J25" s="280"/>
      <c r="K25" s="280"/>
      <c r="L25" s="280"/>
      <c r="M25" s="422"/>
    </row>
    <row r="26" spans="5:13" ht="13.5" customHeight="1">
      <c r="E26" s="280"/>
      <c r="F26" s="280"/>
      <c r="G26" s="280"/>
      <c r="H26" s="280"/>
      <c r="I26" s="280"/>
      <c r="J26" s="280"/>
      <c r="K26" s="280"/>
      <c r="L26" s="280"/>
      <c r="M26" s="422"/>
    </row>
    <row r="27" spans="5:13" ht="13.5" customHeight="1">
      <c r="E27" s="280"/>
      <c r="F27" s="280"/>
      <c r="G27" s="280"/>
      <c r="H27" s="280"/>
      <c r="I27" s="280"/>
      <c r="J27" s="280"/>
      <c r="K27" s="280"/>
      <c r="L27" s="280"/>
      <c r="M27" s="280"/>
    </row>
    <row r="28" ht="13.5" customHeight="1"/>
    <row r="29" ht="13.5" customHeight="1"/>
    <row r="30" ht="13.5" customHeight="1"/>
  </sheetData>
  <sheetProtection/>
  <mergeCells count="7">
    <mergeCell ref="O1:O2"/>
    <mergeCell ref="A1:A2"/>
    <mergeCell ref="B1:B2"/>
    <mergeCell ref="E1:K1"/>
    <mergeCell ref="L1:N1"/>
    <mergeCell ref="C1:C2"/>
    <mergeCell ref="D1:D2"/>
  </mergeCells>
  <printOptions horizontalCentered="1"/>
  <pageMargins left="0.1968503937007874" right="0.1968503937007874" top="1.4173228346456694" bottom="0.7874015748031497" header="0.8661417322834646" footer="0.5118110236220472"/>
  <pageSetup fitToHeight="1" fitToWidth="1" horizontalDpi="300" verticalDpi="300" orientation="landscape" paperSize="9" scale="90" r:id="rId1"/>
  <headerFooter alignWithMargins="0">
    <oddHeader>&amp;C&amp;"Times New Roman,Félkövér dőlt"ZALAEGERSZEG  MEGYEI JOGÚ VÁROS ÖNKORMÁNYZATA ÁLTAL IRÁNYÍTOTT KÖLTSÉGVETÉSI SZERVEK
  2016. ÉVI  BEVÉTELI ELŐIRÁNYZATAI&amp;R&amp;"Times New Roman,Félkövér dőlt"7. melléklet
Adatok: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galos</cp:lastModifiedBy>
  <cp:lastPrinted>2017-02-02T14:58:56Z</cp:lastPrinted>
  <dcterms:created xsi:type="dcterms:W3CDTF">2002-12-30T13:12:46Z</dcterms:created>
  <dcterms:modified xsi:type="dcterms:W3CDTF">2017-02-02T15:05:17Z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1960831015</vt:i4>
  </property>
  <property fmtid="{D5CDD505-2E9C-101B-9397-08002B2CF9AE}" pid="3" name="_EmailSubject">
    <vt:lpwstr>2017.</vt:lpwstr>
  </property>
  <property fmtid="{D5CDD505-2E9C-101B-9397-08002B2CF9AE}" pid="4" name="_AuthorEmail">
    <vt:lpwstr>szlavecz@zelkanet.hu</vt:lpwstr>
  </property>
  <property fmtid="{D5CDD505-2E9C-101B-9397-08002B2CF9AE}" pid="5" name="_AuthorEmailDisplayName">
    <vt:lpwstr>Szlávecz Ferenc</vt:lpwstr>
  </property>
  <property fmtid="{D5CDD505-2E9C-101B-9397-08002B2CF9AE}" pid="6" name="_ReviewingToolsShownOnce">
    <vt:lpwstr/>
  </property>
</Properties>
</file>