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ktg vet rend mod  intézm\2019\2019 aug 1\Számozott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19 évi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r:id="rId17"/>
    <sheet name="ellátottak hivatal" sheetId="18" state="hidden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3" sheetId="78" state="hidden" r:id="rId23"/>
    <sheet name="Munka6" sheetId="77" state="hidden" r:id="rId24"/>
    <sheet name="Munka2" sheetId="72" state="hidden" r:id="rId25"/>
    <sheet name="likvid" sheetId="24" state="hidden" r:id="rId26"/>
    <sheet name="Munka1" sheetId="73" state="hidden" r:id="rId27"/>
    <sheet name="létszám" sheetId="68" state="hidden" r:id="rId28"/>
    <sheet name="Kötváll Ph." sheetId="65" state="hidden" r:id="rId29"/>
    <sheet name="Kötváll Önk" sheetId="66" state="hidden" r:id="rId30"/>
    <sheet name="kötváll. " sheetId="56" state="hidden" r:id="rId31"/>
    <sheet name="közvetett t." sheetId="54" state="hidden" r:id="rId32"/>
    <sheet name="hitelállomány " sheetId="55" state="hidden" r:id="rId33"/>
  </sheets>
  <definedNames>
    <definedName name="Excel_BuiltIn_Print_Titles" localSheetId="16">'ellátottak önk.'!$B$8:$IM$9</definedName>
    <definedName name="Excel_BuiltIn_Print_Titles" localSheetId="27">#REF!</definedName>
    <definedName name="Excel_BuiltIn_Print_Titles">#REF!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30">'kötváll. '!$7:$8</definedName>
    <definedName name="_xlnm.Print_Titles" localSheetId="27">létszám!$5:$8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H18" i="47" l="1"/>
  <c r="I18" i="47"/>
  <c r="G18" i="47"/>
  <c r="H53" i="8"/>
  <c r="G53" i="8"/>
  <c r="E53" i="8"/>
  <c r="F51" i="8"/>
  <c r="F53" i="8"/>
  <c r="D53" i="8"/>
  <c r="C48" i="44" l="1"/>
  <c r="E48" i="44"/>
  <c r="D48" i="44"/>
  <c r="D33" i="44"/>
  <c r="E33" i="44"/>
  <c r="C33" i="44"/>
  <c r="D25" i="44"/>
  <c r="E25" i="44"/>
  <c r="C25" i="44"/>
  <c r="I19" i="45"/>
  <c r="J19" i="45"/>
  <c r="H19" i="45"/>
  <c r="E16" i="46"/>
  <c r="D16" i="46"/>
  <c r="D34" i="46"/>
  <c r="C15" i="46"/>
  <c r="D67" i="15" l="1"/>
  <c r="E67" i="15"/>
  <c r="F67" i="15"/>
  <c r="G67" i="15"/>
  <c r="I67" i="15"/>
  <c r="J67" i="15"/>
  <c r="K67" i="15"/>
  <c r="L67" i="15"/>
  <c r="M67" i="15"/>
  <c r="N67" i="15"/>
  <c r="O67" i="15"/>
  <c r="P67" i="15"/>
  <c r="Q67" i="15"/>
  <c r="H67" i="15"/>
  <c r="R66" i="15"/>
  <c r="R65" i="15"/>
  <c r="R37" i="15"/>
  <c r="Q24" i="15"/>
  <c r="R24" i="15" s="1"/>
  <c r="F24" i="63"/>
  <c r="G23" i="63"/>
  <c r="G24" i="63" s="1"/>
  <c r="E80" i="8"/>
  <c r="F80" i="8"/>
  <c r="G80" i="8"/>
  <c r="H80" i="8"/>
  <c r="D80" i="8"/>
  <c r="H78" i="8"/>
  <c r="F78" i="8"/>
  <c r="G77" i="8"/>
  <c r="F77" i="8"/>
  <c r="G72" i="8"/>
  <c r="F72" i="8"/>
  <c r="E62" i="8"/>
  <c r="D62" i="8"/>
  <c r="F50" i="8" l="1"/>
  <c r="G50" i="8" s="1"/>
  <c r="F49" i="8"/>
  <c r="H49" i="8" s="1"/>
  <c r="F42" i="8"/>
  <c r="G42" i="8" s="1"/>
  <c r="E26" i="8"/>
  <c r="D26" i="8"/>
  <c r="F22" i="8"/>
  <c r="G22" i="8" s="1"/>
  <c r="F23" i="8"/>
  <c r="F24" i="8"/>
  <c r="G24" i="8" s="1"/>
  <c r="F21" i="8"/>
  <c r="H21" i="8" s="1"/>
  <c r="H26" i="8" s="1"/>
  <c r="D18" i="8"/>
  <c r="E18" i="8"/>
  <c r="F16" i="8"/>
  <c r="G16" i="8" s="1"/>
  <c r="E77" i="7"/>
  <c r="F77" i="7"/>
  <c r="D77" i="7"/>
  <c r="E74" i="7"/>
  <c r="F74" i="7"/>
  <c r="D74" i="7"/>
  <c r="F72" i="7"/>
  <c r="F71" i="7"/>
  <c r="D72" i="7"/>
  <c r="F67" i="7"/>
  <c r="F59" i="7"/>
  <c r="F58" i="7"/>
  <c r="E22" i="7"/>
  <c r="F21" i="7"/>
  <c r="F14" i="7"/>
  <c r="F42" i="6"/>
  <c r="F26" i="8" l="1"/>
  <c r="G23" i="8"/>
  <c r="G26" i="8" s="1"/>
  <c r="C30" i="54"/>
  <c r="D29" i="49" l="1"/>
  <c r="R64" i="15" l="1"/>
  <c r="R61" i="15"/>
  <c r="F114" i="8"/>
  <c r="G114" i="8" s="1"/>
  <c r="F113" i="8"/>
  <c r="H113" i="8" s="1"/>
  <c r="E109" i="8"/>
  <c r="G109" i="8"/>
  <c r="D109" i="8"/>
  <c r="F107" i="8"/>
  <c r="H107" i="8" s="1"/>
  <c r="F48" i="8"/>
  <c r="G48" i="8" s="1"/>
  <c r="F47" i="8"/>
  <c r="F14" i="8"/>
  <c r="H14" i="8" s="1"/>
  <c r="H18" i="8" s="1"/>
  <c r="F15" i="8"/>
  <c r="H15" i="8" s="1"/>
  <c r="F57" i="7"/>
  <c r="F56" i="7"/>
  <c r="E34" i="5"/>
  <c r="E33" i="5"/>
  <c r="D33" i="5"/>
  <c r="C33" i="5"/>
  <c r="E24" i="5"/>
  <c r="E23" i="5" s="1"/>
  <c r="D23" i="5"/>
  <c r="C23" i="5"/>
  <c r="E22" i="5"/>
  <c r="E21" i="5"/>
  <c r="D21" i="5"/>
  <c r="C21" i="5"/>
  <c r="C28" i="54" l="1"/>
  <c r="AB106" i="68" l="1"/>
  <c r="AB104" i="68"/>
  <c r="Y106" i="68"/>
  <c r="Y104" i="68"/>
  <c r="T106" i="68"/>
  <c r="T104" i="68"/>
  <c r="N106" i="68"/>
  <c r="N104" i="68"/>
  <c r="Y40" i="68"/>
  <c r="AB40" i="68"/>
  <c r="O33" i="68" l="1"/>
  <c r="T40" i="68"/>
  <c r="Q40" i="68"/>
  <c r="R30" i="68"/>
  <c r="N40" i="68"/>
  <c r="AB36" i="68"/>
  <c r="T36" i="68"/>
  <c r="O36" i="68"/>
  <c r="AB38" i="68"/>
  <c r="W38" i="68"/>
  <c r="T38" i="68"/>
  <c r="AB37" i="68"/>
  <c r="W37" i="68"/>
  <c r="T37" i="68"/>
  <c r="AB35" i="68"/>
  <c r="O35" i="68"/>
  <c r="AB28" i="68"/>
  <c r="O28" i="68"/>
  <c r="AC106" i="68" l="1"/>
  <c r="V106" i="68"/>
  <c r="U106" i="68"/>
  <c r="L106" i="68"/>
  <c r="K106" i="68"/>
  <c r="I106" i="68"/>
  <c r="H106" i="68"/>
  <c r="E106" i="68"/>
  <c r="C106" i="68"/>
  <c r="AD104" i="68"/>
  <c r="V104" i="68"/>
  <c r="M104" i="68"/>
  <c r="M106" i="68" s="1"/>
  <c r="L104" i="68"/>
  <c r="K104" i="68"/>
  <c r="J104" i="68"/>
  <c r="G104" i="68"/>
  <c r="G106" i="68" s="1"/>
  <c r="D104" i="68"/>
  <c r="C104" i="68"/>
  <c r="Z101" i="68"/>
  <c r="X101" i="68"/>
  <c r="S101" i="68"/>
  <c r="AA101" i="68" s="1"/>
  <c r="R101" i="68"/>
  <c r="M101" i="68"/>
  <c r="O101" i="68" s="1"/>
  <c r="AE100" i="68"/>
  <c r="AA100" i="68"/>
  <c r="O100" i="68"/>
  <c r="AE99" i="68"/>
  <c r="AA99" i="68"/>
  <c r="W99" i="68"/>
  <c r="S99" i="68"/>
  <c r="O99" i="68"/>
  <c r="S98" i="68"/>
  <c r="AA98" i="68" s="1"/>
  <c r="O98" i="68"/>
  <c r="W98" i="68" s="1"/>
  <c r="Z93" i="68"/>
  <c r="X93" i="68"/>
  <c r="R93" i="68"/>
  <c r="P93" i="68"/>
  <c r="M93" i="68"/>
  <c r="O93" i="68" s="1"/>
  <c r="W93" i="68" s="1"/>
  <c r="AA92" i="68"/>
  <c r="S92" i="68"/>
  <c r="S93" i="68" s="1"/>
  <c r="AA93" i="68" s="1"/>
  <c r="O92" i="68"/>
  <c r="W92" i="68" s="1"/>
  <c r="AE92" i="68" s="1"/>
  <c r="AA91" i="68"/>
  <c r="O91" i="68"/>
  <c r="W91" i="68" s="1"/>
  <c r="AE91" i="68" s="1"/>
  <c r="AA90" i="68"/>
  <c r="O90" i="68"/>
  <c r="W90" i="68" s="1"/>
  <c r="AE90" i="68" s="1"/>
  <c r="AA89" i="68"/>
  <c r="O89" i="68"/>
  <c r="W89" i="68" s="1"/>
  <c r="AE89" i="68" s="1"/>
  <c r="AA87" i="68"/>
  <c r="O87" i="68"/>
  <c r="W87" i="68" s="1"/>
  <c r="AE87" i="68" s="1"/>
  <c r="AA86" i="68"/>
  <c r="O86" i="68"/>
  <c r="W86" i="68" s="1"/>
  <c r="AE86" i="68" s="1"/>
  <c r="AA85" i="68"/>
  <c r="O85" i="68"/>
  <c r="W85" i="68" s="1"/>
  <c r="AE85" i="68" s="1"/>
  <c r="AA84" i="68"/>
  <c r="O84" i="68"/>
  <c r="W84" i="68" s="1"/>
  <c r="AE84" i="68" s="1"/>
  <c r="AA83" i="68"/>
  <c r="O83" i="68"/>
  <c r="W83" i="68" s="1"/>
  <c r="AE83" i="68" s="1"/>
  <c r="AA82" i="68"/>
  <c r="O82" i="68"/>
  <c r="W82" i="68" s="1"/>
  <c r="AE82" i="68" s="1"/>
  <c r="AA81" i="68"/>
  <c r="O81" i="68"/>
  <c r="W81" i="68" s="1"/>
  <c r="AE81" i="68" s="1"/>
  <c r="AA80" i="68"/>
  <c r="O80" i="68"/>
  <c r="W80" i="68" s="1"/>
  <c r="AE80" i="68" s="1"/>
  <c r="AA78" i="68"/>
  <c r="O78" i="68"/>
  <c r="W78" i="68" s="1"/>
  <c r="AE78" i="68" s="1"/>
  <c r="AA77" i="68"/>
  <c r="O77" i="68"/>
  <c r="W77" i="68" s="1"/>
  <c r="AE77" i="68" s="1"/>
  <c r="AA76" i="68"/>
  <c r="O76" i="68"/>
  <c r="W76" i="68" s="1"/>
  <c r="AE76" i="68" s="1"/>
  <c r="AA75" i="68"/>
  <c r="O75" i="68"/>
  <c r="W75" i="68" s="1"/>
  <c r="AE75" i="68" s="1"/>
  <c r="AA74" i="68"/>
  <c r="O74" i="68"/>
  <c r="W74" i="68" s="1"/>
  <c r="AE74" i="68" s="1"/>
  <c r="AA73" i="68"/>
  <c r="O73" i="68"/>
  <c r="W73" i="68" s="1"/>
  <c r="AE73" i="68" s="1"/>
  <c r="AA72" i="68"/>
  <c r="O72" i="68"/>
  <c r="W72" i="68" s="1"/>
  <c r="AE72" i="68" s="1"/>
  <c r="AA71" i="68"/>
  <c r="O71" i="68"/>
  <c r="W71" i="68" s="1"/>
  <c r="AE71" i="68" s="1"/>
  <c r="AA70" i="68"/>
  <c r="O70" i="68"/>
  <c r="W70" i="68" s="1"/>
  <c r="AE70" i="68" s="1"/>
  <c r="AE93" i="68" s="1"/>
  <c r="P41" i="68"/>
  <c r="O41" i="68"/>
  <c r="R40" i="68"/>
  <c r="R104" i="68" s="1"/>
  <c r="R106" i="68" s="1"/>
  <c r="P40" i="68"/>
  <c r="X40" i="68" s="1"/>
  <c r="X104" i="68" s="1"/>
  <c r="X106" i="68" s="1"/>
  <c r="M40" i="68"/>
  <c r="AA40" i="68" s="1"/>
  <c r="AA39" i="68"/>
  <c r="S39" i="68"/>
  <c r="O39" i="68"/>
  <c r="W39" i="68" s="1"/>
  <c r="AA38" i="68"/>
  <c r="O38" i="68"/>
  <c r="AE38" i="68" s="1"/>
  <c r="AA37" i="68"/>
  <c r="O37" i="68"/>
  <c r="AE37" i="68" s="1"/>
  <c r="AA36" i="68"/>
  <c r="AE36" i="68"/>
  <c r="AA35" i="68"/>
  <c r="AE35" i="68"/>
  <c r="AA34" i="68"/>
  <c r="W34" i="68"/>
  <c r="S34" i="68"/>
  <c r="S40" i="68" s="1"/>
  <c r="S104" i="68" s="1"/>
  <c r="O34" i="68"/>
  <c r="AE34" i="68" s="1"/>
  <c r="AA33" i="68"/>
  <c r="AA32" i="68"/>
  <c r="S32" i="68"/>
  <c r="O32" i="68"/>
  <c r="AE32" i="68" s="1"/>
  <c r="AA31" i="68"/>
  <c r="S31" i="68"/>
  <c r="O31" i="68"/>
  <c r="W31" i="68" s="1"/>
  <c r="AA30" i="68"/>
  <c r="Z30" i="68"/>
  <c r="X30" i="68"/>
  <c r="O30" i="68"/>
  <c r="AE30" i="68" s="1"/>
  <c r="AA29" i="68"/>
  <c r="S29" i="68"/>
  <c r="O29" i="68"/>
  <c r="AE29" i="68" s="1"/>
  <c r="AA28" i="68"/>
  <c r="S28" i="68"/>
  <c r="W28" i="68"/>
  <c r="S24" i="68"/>
  <c r="AA24" i="68" s="1"/>
  <c r="M24" i="68"/>
  <c r="AA23" i="68"/>
  <c r="W23" i="68"/>
  <c r="AE23" i="68" s="1"/>
  <c r="S23" i="68"/>
  <c r="O23" i="68"/>
  <c r="W22" i="68"/>
  <c r="AE22" i="68" s="1"/>
  <c r="S22" i="68"/>
  <c r="O22" i="68"/>
  <c r="AA21" i="68"/>
  <c r="S21" i="68"/>
  <c r="O21" i="68"/>
  <c r="W21" i="68" s="1"/>
  <c r="AE21" i="68" s="1"/>
  <c r="S20" i="68"/>
  <c r="AA20" i="68" s="1"/>
  <c r="O20" i="68"/>
  <c r="W20" i="68" s="1"/>
  <c r="AE20" i="68" s="1"/>
  <c r="W19" i="68"/>
  <c r="AE19" i="68" s="1"/>
  <c r="S19" i="68"/>
  <c r="AA19" i="68" s="1"/>
  <c r="O19" i="68"/>
  <c r="AA18" i="68"/>
  <c r="W18" i="68"/>
  <c r="AE18" i="68" s="1"/>
  <c r="S18" i="68"/>
  <c r="O18" i="68"/>
  <c r="AA17" i="68"/>
  <c r="S17" i="68"/>
  <c r="O17" i="68"/>
  <c r="W17" i="68" s="1"/>
  <c r="AE17" i="68" s="1"/>
  <c r="S16" i="68"/>
  <c r="AA16" i="68" s="1"/>
  <c r="O16" i="68"/>
  <c r="W16" i="68" s="1"/>
  <c r="AD12" i="68"/>
  <c r="AA12" i="68"/>
  <c r="AE12" i="68" s="1"/>
  <c r="W12" i="68"/>
  <c r="S12" i="68"/>
  <c r="J12" i="68"/>
  <c r="J106" i="68" s="1"/>
  <c r="D12" i="68"/>
  <c r="D106" i="68" s="1"/>
  <c r="AA10" i="68"/>
  <c r="Z10" i="68"/>
  <c r="W10" i="68"/>
  <c r="S10" i="68"/>
  <c r="F10" i="68"/>
  <c r="F106" i="68" s="1"/>
  <c r="D10" i="68"/>
  <c r="AD106" i="68" l="1"/>
  <c r="W30" i="68"/>
  <c r="W29" i="68"/>
  <c r="W32" i="68"/>
  <c r="W24" i="68"/>
  <c r="AE16" i="68"/>
  <c r="AE24" i="68" s="1"/>
  <c r="AA104" i="68"/>
  <c r="AA106" i="68" s="1"/>
  <c r="W101" i="68"/>
  <c r="AE101" i="68" s="1"/>
  <c r="AE98" i="68"/>
  <c r="S106" i="68"/>
  <c r="AE10" i="68"/>
  <c r="O24" i="68"/>
  <c r="AE39" i="68"/>
  <c r="Z40" i="68"/>
  <c r="Z104" i="68" s="1"/>
  <c r="Z106" i="68" s="1"/>
  <c r="AE28" i="68"/>
  <c r="AE31" i="68"/>
  <c r="W35" i="68"/>
  <c r="W36" i="68"/>
  <c r="O40" i="68"/>
  <c r="P104" i="68"/>
  <c r="P106" i="68" s="1"/>
  <c r="E32" i="5"/>
  <c r="W33" i="68" l="1"/>
  <c r="AB33" i="68"/>
  <c r="AE33" i="68" s="1"/>
  <c r="AE40" i="68"/>
  <c r="AE104" i="68" s="1"/>
  <c r="AE106" i="68" s="1"/>
  <c r="W40" i="68"/>
  <c r="W104" i="68" s="1"/>
  <c r="W106" i="68" s="1"/>
  <c r="O104" i="68"/>
  <c r="O106" i="68" s="1"/>
  <c r="D25" i="5"/>
  <c r="D43" i="5" l="1"/>
  <c r="D37" i="5"/>
  <c r="E36" i="24"/>
  <c r="F36" i="24" s="1"/>
  <c r="G36" i="24" s="1"/>
  <c r="H36" i="24" s="1"/>
  <c r="I36" i="24" s="1"/>
  <c r="J36" i="24" s="1"/>
  <c r="K36" i="24" s="1"/>
  <c r="L36" i="24" s="1"/>
  <c r="M36" i="24" s="1"/>
  <c r="N36" i="24" s="1"/>
  <c r="D36" i="24"/>
  <c r="E29" i="24"/>
  <c r="F29" i="24"/>
  <c r="G29" i="24"/>
  <c r="H29" i="24"/>
  <c r="I29" i="24" s="1"/>
  <c r="J29" i="24" s="1"/>
  <c r="K29" i="24" s="1"/>
  <c r="L29" i="24" s="1"/>
  <c r="M29" i="24" s="1"/>
  <c r="N29" i="24" s="1"/>
  <c r="E30" i="24"/>
  <c r="F30" i="24"/>
  <c r="G30" i="24" s="1"/>
  <c r="H30" i="24" s="1"/>
  <c r="I30" i="24" s="1"/>
  <c r="J30" i="24" s="1"/>
  <c r="K30" i="24" s="1"/>
  <c r="L30" i="24" s="1"/>
  <c r="M30" i="24" s="1"/>
  <c r="N30" i="24" s="1"/>
  <c r="D29" i="24"/>
  <c r="D30" i="24"/>
  <c r="E17" i="24"/>
  <c r="F17" i="24"/>
  <c r="G17" i="24"/>
  <c r="H17" i="24"/>
  <c r="I17" i="24" s="1"/>
  <c r="J17" i="24" s="1"/>
  <c r="K17" i="24" s="1"/>
  <c r="L17" i="24" s="1"/>
  <c r="M17" i="24" s="1"/>
  <c r="N17" i="24" s="1"/>
  <c r="D17" i="24"/>
  <c r="F47" i="7" l="1"/>
  <c r="H15" i="55"/>
  <c r="D15" i="55"/>
  <c r="C15" i="55"/>
  <c r="F27" i="6" l="1"/>
  <c r="C35" i="5"/>
  <c r="F55" i="7" l="1"/>
  <c r="F86" i="8" l="1"/>
  <c r="H86" i="8" s="1"/>
  <c r="R12" i="15" l="1"/>
  <c r="I88" i="67" l="1"/>
  <c r="K90" i="67" s="1"/>
  <c r="I83" i="67"/>
  <c r="I82" i="67"/>
  <c r="I79" i="67"/>
  <c r="I77" i="67"/>
  <c r="E77" i="67"/>
  <c r="I74" i="67"/>
  <c r="I72" i="67"/>
  <c r="E72" i="67"/>
  <c r="I70" i="67"/>
  <c r="I69" i="67"/>
  <c r="I67" i="67"/>
  <c r="E67" i="67"/>
  <c r="I66" i="67"/>
  <c r="I65" i="67"/>
  <c r="E64" i="67"/>
  <c r="I63" i="67"/>
  <c r="E63" i="67"/>
  <c r="I62" i="67"/>
  <c r="E59" i="67"/>
  <c r="I51" i="67"/>
  <c r="I50" i="67"/>
  <c r="I49" i="67"/>
  <c r="I47" i="67"/>
  <c r="E47" i="67"/>
  <c r="I46" i="67"/>
  <c r="E46" i="67"/>
  <c r="Q44" i="67"/>
  <c r="R44" i="67" s="1"/>
  <c r="I44" i="67"/>
  <c r="I43" i="67"/>
  <c r="E43" i="67"/>
  <c r="I42" i="67"/>
  <c r="I41" i="67"/>
  <c r="E41" i="67"/>
  <c r="I40" i="67"/>
  <c r="E40" i="67"/>
  <c r="I39" i="67"/>
  <c r="E39" i="67"/>
  <c r="P32" i="67"/>
  <c r="I31" i="67"/>
  <c r="I29" i="67"/>
  <c r="E29" i="67"/>
  <c r="E31" i="67" s="1"/>
  <c r="I28" i="67"/>
  <c r="I23" i="67"/>
  <c r="I25" i="67" s="1"/>
  <c r="E23" i="67"/>
  <c r="E25" i="67" s="1"/>
  <c r="I22" i="67"/>
  <c r="I19" i="67"/>
  <c r="I16" i="67"/>
  <c r="I13" i="67"/>
  <c r="I9" i="67"/>
  <c r="E9" i="67"/>
  <c r="K84" i="67" l="1"/>
  <c r="K34" i="67"/>
  <c r="K51" i="67"/>
  <c r="K94" i="67" s="1"/>
  <c r="E94" i="67"/>
  <c r="F94" i="67"/>
  <c r="L44" i="67"/>
  <c r="E30" i="49"/>
  <c r="C31" i="48" l="1"/>
  <c r="F46" i="8" l="1"/>
  <c r="H46" i="8" s="1"/>
  <c r="F13" i="8"/>
  <c r="F18" i="8" s="1"/>
  <c r="G13" i="8" l="1"/>
  <c r="G18" i="8" s="1"/>
  <c r="E57" i="5"/>
  <c r="D14" i="64" l="1"/>
  <c r="F106" i="8" l="1"/>
  <c r="H106" i="8" l="1"/>
  <c r="H109" i="8" s="1"/>
  <c r="F109" i="8"/>
  <c r="A18" i="49"/>
  <c r="A19" i="49"/>
  <c r="A20" i="49"/>
  <c r="A31" i="47" l="1"/>
  <c r="A32" i="47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J31" i="47"/>
  <c r="K31" i="47"/>
  <c r="L31" i="47"/>
  <c r="C24" i="47"/>
  <c r="C16" i="49" s="1"/>
  <c r="A31" i="46"/>
  <c r="A32" i="46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C32" i="64"/>
  <c r="C24" i="46" l="1"/>
  <c r="R63" i="15"/>
  <c r="R62" i="15"/>
  <c r="R60" i="15"/>
  <c r="R36" i="15"/>
  <c r="D18" i="10"/>
  <c r="F124" i="8"/>
  <c r="G124" i="8" s="1"/>
  <c r="E93" i="8"/>
  <c r="G93" i="8"/>
  <c r="G31" i="46" s="1"/>
  <c r="D93" i="8"/>
  <c r="F91" i="8"/>
  <c r="H91" i="8" s="1"/>
  <c r="E88" i="8"/>
  <c r="F45" i="8"/>
  <c r="G31" i="47" l="1"/>
  <c r="G18" i="49" s="1"/>
  <c r="G45" i="8"/>
  <c r="F51" i="7"/>
  <c r="F52" i="7"/>
  <c r="F53" i="7"/>
  <c r="F54" i="7"/>
  <c r="D22" i="7"/>
  <c r="J49" i="15" s="1"/>
  <c r="G38" i="6"/>
  <c r="H38" i="6"/>
  <c r="I38" i="6"/>
  <c r="F19" i="6"/>
  <c r="D60" i="5"/>
  <c r="D29" i="64" s="1"/>
  <c r="D32" i="64" s="1"/>
  <c r="C60" i="5"/>
  <c r="C29" i="64" s="1"/>
  <c r="E59" i="5"/>
  <c r="E60" i="5" s="1"/>
  <c r="E29" i="64" s="1"/>
  <c r="D58" i="5"/>
  <c r="E58" i="5"/>
  <c r="C58" i="5"/>
  <c r="C61" i="5" s="1"/>
  <c r="C25" i="5"/>
  <c r="C37" i="5" s="1"/>
  <c r="D61" i="5" l="1"/>
  <c r="E61" i="5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D20" i="49"/>
  <c r="E20" i="49"/>
  <c r="J17" i="47" l="1"/>
  <c r="K17" i="47"/>
  <c r="L17" i="47"/>
  <c r="D46" i="47"/>
  <c r="D37" i="48" s="1"/>
  <c r="C46" i="47"/>
  <c r="C37" i="48" s="1"/>
  <c r="D25" i="47"/>
  <c r="D15" i="47"/>
  <c r="D12" i="49" s="1"/>
  <c r="E46" i="46"/>
  <c r="E46" i="47" s="1"/>
  <c r="E37" i="48" s="1"/>
  <c r="C18" i="10" l="1"/>
  <c r="E17" i="10"/>
  <c r="F44" i="8"/>
  <c r="G44" i="8" s="1"/>
  <c r="E68" i="7"/>
  <c r="D68" i="7"/>
  <c r="F68" i="7"/>
  <c r="E43" i="6"/>
  <c r="E44" i="6" s="1"/>
  <c r="D43" i="6"/>
  <c r="D44" i="6" s="1"/>
  <c r="F43" i="6"/>
  <c r="F44" i="6" s="1"/>
  <c r="E24" i="6"/>
  <c r="D24" i="6"/>
  <c r="F23" i="6"/>
  <c r="F24" i="6" s="1"/>
  <c r="E31" i="5"/>
  <c r="I18" i="45" l="1"/>
  <c r="H18" i="45"/>
  <c r="J18" i="45"/>
  <c r="E15" i="46"/>
  <c r="E15" i="47" l="1"/>
  <c r="E12" i="49" s="1"/>
  <c r="E34" i="46"/>
  <c r="C15" i="47"/>
  <c r="C12" i="49" s="1"/>
  <c r="R57" i="15"/>
  <c r="R58" i="15"/>
  <c r="R59" i="15"/>
  <c r="G20" i="63" l="1"/>
  <c r="D32" i="10"/>
  <c r="H21" i="46" s="1"/>
  <c r="E31" i="10"/>
  <c r="C32" i="10"/>
  <c r="G21" i="46" s="1"/>
  <c r="E16" i="10"/>
  <c r="E131" i="8"/>
  <c r="F131" i="8"/>
  <c r="G131" i="8"/>
  <c r="D131" i="8"/>
  <c r="F60" i="8"/>
  <c r="H60" i="8" s="1"/>
  <c r="F40" i="8"/>
  <c r="H40" i="8" s="1"/>
  <c r="E61" i="7" l="1"/>
  <c r="F36" i="7"/>
  <c r="F20" i="7"/>
  <c r="E28" i="6"/>
  <c r="D16" i="47" s="1"/>
  <c r="D13" i="49" s="1"/>
  <c r="D70" i="5"/>
  <c r="E69" i="5"/>
  <c r="E51" i="5"/>
  <c r="E46" i="5"/>
  <c r="E47" i="5" s="1"/>
  <c r="D47" i="5"/>
  <c r="D48" i="5" s="1"/>
  <c r="C47" i="5"/>
  <c r="C48" i="5" s="1"/>
  <c r="D14" i="45" s="1"/>
  <c r="D11" i="5"/>
  <c r="C11" i="5"/>
  <c r="C43" i="5" s="1"/>
  <c r="C41" i="5"/>
  <c r="D41" i="5"/>
  <c r="E30" i="5"/>
  <c r="M49" i="15" l="1"/>
  <c r="C29" i="47"/>
  <c r="C74" i="5"/>
  <c r="D29" i="47"/>
  <c r="D74" i="5"/>
  <c r="E48" i="5"/>
  <c r="E41" i="5"/>
  <c r="E63" i="7"/>
  <c r="E76" i="7"/>
  <c r="H75" i="66"/>
  <c r="G75" i="66"/>
  <c r="F75" i="66"/>
  <c r="E75" i="66"/>
  <c r="A57" i="66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45" i="66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E29" i="47" l="1"/>
  <c r="E74" i="5"/>
  <c r="C44" i="47" l="1"/>
  <c r="F50" i="7"/>
  <c r="R41" i="15"/>
  <c r="R40" i="15"/>
  <c r="F30" i="8"/>
  <c r="G30" i="8" s="1"/>
  <c r="F49" i="7" l="1"/>
  <c r="F48" i="7" l="1"/>
  <c r="E44" i="46" l="1"/>
  <c r="F19" i="7" l="1"/>
  <c r="D76" i="7" l="1"/>
  <c r="H62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I34" i="15" l="1"/>
  <c r="I13" i="44"/>
  <c r="G34" i="15" l="1"/>
  <c r="E34" i="15"/>
  <c r="I13" i="64" l="1"/>
  <c r="G27" i="42"/>
  <c r="F125" i="8"/>
  <c r="E127" i="8"/>
  <c r="D127" i="8"/>
  <c r="F127" i="8" l="1"/>
  <c r="G125" i="8"/>
  <c r="G127" i="8" s="1"/>
  <c r="D11" i="47"/>
  <c r="D24" i="10"/>
  <c r="D11" i="46"/>
  <c r="F60" i="7" l="1"/>
  <c r="I51" i="15"/>
  <c r="H47" i="15"/>
  <c r="H35" i="15"/>
  <c r="G103" i="8"/>
  <c r="E103" i="8"/>
  <c r="D103" i="8"/>
  <c r="F43" i="8"/>
  <c r="G43" i="8" s="1"/>
  <c r="F37" i="8"/>
  <c r="G37" i="8" s="1"/>
  <c r="F36" i="8"/>
  <c r="G36" i="8" s="1"/>
  <c r="E32" i="8"/>
  <c r="D32" i="8"/>
  <c r="E121" i="8"/>
  <c r="D121" i="8"/>
  <c r="F11" i="14"/>
  <c r="E31" i="48" l="1"/>
  <c r="C34" i="48"/>
  <c r="D44" i="47"/>
  <c r="D34" i="48" s="1"/>
  <c r="C45" i="47"/>
  <c r="C35" i="48" s="1"/>
  <c r="D45" i="47"/>
  <c r="D35" i="48" s="1"/>
  <c r="D41" i="47"/>
  <c r="D33" i="49" s="1"/>
  <c r="C41" i="47"/>
  <c r="C33" i="49" s="1"/>
  <c r="D33" i="42"/>
  <c r="E43" i="42"/>
  <c r="E25" i="42"/>
  <c r="E33" i="42" s="1"/>
  <c r="I20" i="64"/>
  <c r="E44" i="64"/>
  <c r="E45" i="47" s="1"/>
  <c r="E35" i="48" s="1"/>
  <c r="E43" i="64"/>
  <c r="D30" i="48" l="1"/>
  <c r="C30" i="48"/>
  <c r="E41" i="46"/>
  <c r="E41" i="47" s="1"/>
  <c r="R16" i="15"/>
  <c r="R17" i="15"/>
  <c r="R18" i="15"/>
  <c r="R19" i="15"/>
  <c r="R20" i="15"/>
  <c r="R51" i="15"/>
  <c r="R52" i="15"/>
  <c r="R53" i="15"/>
  <c r="R54" i="15"/>
  <c r="R55" i="15"/>
  <c r="R56" i="15"/>
  <c r="R30" i="15"/>
  <c r="D88" i="8"/>
  <c r="E30" i="48" l="1"/>
  <c r="E33" i="49"/>
  <c r="F59" i="8" l="1"/>
  <c r="F41" i="8"/>
  <c r="G41" i="8" s="1"/>
  <c r="F39" i="8"/>
  <c r="H39" i="8" s="1"/>
  <c r="F29" i="8"/>
  <c r="E24" i="63"/>
  <c r="H24" i="63"/>
  <c r="I24" i="63"/>
  <c r="J24" i="63"/>
  <c r="G16" i="63"/>
  <c r="G17" i="63"/>
  <c r="G18" i="63"/>
  <c r="G19" i="63"/>
  <c r="G15" i="63"/>
  <c r="G59" i="8" l="1"/>
  <c r="G62" i="8" s="1"/>
  <c r="G29" i="8"/>
  <c r="E23" i="10"/>
  <c r="E15" i="10"/>
  <c r="F27" i="7"/>
  <c r="F46" i="7"/>
  <c r="F30" i="7"/>
  <c r="F45" i="7"/>
  <c r="F44" i="7"/>
  <c r="F43" i="7"/>
  <c r="D35" i="5" l="1"/>
  <c r="E19" i="48" l="1"/>
  <c r="E29" i="46"/>
  <c r="D19" i="48"/>
  <c r="D29" i="46"/>
  <c r="C19" i="48"/>
  <c r="C29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F18" i="7" l="1"/>
  <c r="F38" i="8" l="1"/>
  <c r="E116" i="8"/>
  <c r="D116" i="8"/>
  <c r="G116" i="8"/>
  <c r="G27" i="64" s="1"/>
  <c r="G38" i="8" l="1"/>
  <c r="R50" i="15"/>
  <c r="G121" i="8" l="1"/>
  <c r="F42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23" i="15"/>
  <c r="Q21" i="15"/>
  <c r="F28" i="63"/>
  <c r="E28" i="63"/>
  <c r="G22" i="63"/>
  <c r="F29" i="63" l="1"/>
  <c r="P27" i="15"/>
  <c r="G13" i="63" l="1"/>
  <c r="E29" i="63"/>
  <c r="G14" i="46" s="1"/>
  <c r="C20" i="54" l="1"/>
  <c r="G10" i="46"/>
  <c r="G10" i="47" s="1"/>
  <c r="G11" i="46"/>
  <c r="H11" i="46"/>
  <c r="H12" i="46"/>
  <c r="G19" i="46"/>
  <c r="H19" i="46"/>
  <c r="G12" i="46"/>
  <c r="G12" i="47" s="1"/>
  <c r="R14" i="15"/>
  <c r="R10" i="15"/>
  <c r="R11" i="15"/>
  <c r="R13" i="15"/>
  <c r="R27" i="15"/>
  <c r="F35" i="8"/>
  <c r="G35" i="8" s="1"/>
  <c r="F31" i="8"/>
  <c r="F32" i="8"/>
  <c r="G32" i="8" s="1"/>
  <c r="F33" i="8"/>
  <c r="F34" i="8"/>
  <c r="H34" i="8" s="1"/>
  <c r="F85" i="8"/>
  <c r="H85" i="8" s="1"/>
  <c r="H88" i="8" s="1"/>
  <c r="H32" i="46" s="1"/>
  <c r="E28" i="10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4" i="64"/>
  <c r="I14" i="42"/>
  <c r="E34" i="48"/>
  <c r="F19" i="24"/>
  <c r="G19" i="24"/>
  <c r="H19" i="24"/>
  <c r="I19" i="24"/>
  <c r="J19" i="24"/>
  <c r="K19" i="24"/>
  <c r="L19" i="24"/>
  <c r="M19" i="24"/>
  <c r="H41" i="65"/>
  <c r="G41" i="65"/>
  <c r="F41" i="65"/>
  <c r="G27" i="44"/>
  <c r="G33" i="44" s="1"/>
  <c r="C49" i="44" s="1"/>
  <c r="G33" i="64"/>
  <c r="E20" i="42"/>
  <c r="H27" i="45"/>
  <c r="H33" i="45" s="1"/>
  <c r="D49" i="45" s="1"/>
  <c r="I53" i="64"/>
  <c r="H53" i="64"/>
  <c r="G53" i="64"/>
  <c r="D34" i="64"/>
  <c r="C34" i="64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2" i="47"/>
  <c r="H27" i="51"/>
  <c r="H33" i="51" s="1"/>
  <c r="D24" i="46"/>
  <c r="C25" i="46"/>
  <c r="D25" i="46"/>
  <c r="D17" i="49" s="1"/>
  <c r="C12" i="47"/>
  <c r="G16" i="49"/>
  <c r="C51" i="47"/>
  <c r="C42" i="48" s="1"/>
  <c r="F29" i="13"/>
  <c r="H16" i="49"/>
  <c r="D51" i="47"/>
  <c r="D42" i="48" s="1"/>
  <c r="J54" i="46"/>
  <c r="J11" i="47"/>
  <c r="K11" i="47"/>
  <c r="J10" i="47"/>
  <c r="J12" i="47"/>
  <c r="K54" i="46"/>
  <c r="J24" i="46"/>
  <c r="J35" i="46" s="1"/>
  <c r="J55" i="46" s="1"/>
  <c r="K24" i="46"/>
  <c r="K35" i="46"/>
  <c r="L24" i="46"/>
  <c r="L35" i="46" s="1"/>
  <c r="K12" i="47"/>
  <c r="J32" i="47"/>
  <c r="G47" i="47"/>
  <c r="G54" i="47" s="1"/>
  <c r="H47" i="47"/>
  <c r="H54" i="47" s="1"/>
  <c r="G19" i="48"/>
  <c r="G33" i="46"/>
  <c r="Q22" i="15"/>
  <c r="R22" i="15" s="1"/>
  <c r="R21" i="15"/>
  <c r="Q15" i="15"/>
  <c r="Q25" i="15"/>
  <c r="R25" i="15" s="1"/>
  <c r="E30" i="13"/>
  <c r="K30" i="13" s="1"/>
  <c r="E29" i="13"/>
  <c r="K29" i="13" s="1"/>
  <c r="E28" i="13"/>
  <c r="K28" i="13" s="1"/>
  <c r="E11" i="13"/>
  <c r="K11" i="13" s="1"/>
  <c r="F25" i="7"/>
  <c r="E14" i="18"/>
  <c r="E17" i="18" s="1"/>
  <c r="F13" i="18"/>
  <c r="F25" i="14"/>
  <c r="F17" i="7"/>
  <c r="R23" i="15"/>
  <c r="G21" i="63"/>
  <c r="G27" i="63"/>
  <c r="G28" i="63" s="1"/>
  <c r="G14" i="63"/>
  <c r="K79" i="13"/>
  <c r="K78" i="13"/>
  <c r="D80" i="13"/>
  <c r="E20" i="45" s="1"/>
  <c r="E32" i="45" s="1"/>
  <c r="E34" i="45" s="1"/>
  <c r="K76" i="13"/>
  <c r="K77" i="13"/>
  <c r="E36" i="5"/>
  <c r="E26" i="5"/>
  <c r="F70" i="8"/>
  <c r="E21" i="10"/>
  <c r="F29" i="7"/>
  <c r="F28" i="7"/>
  <c r="H21" i="47"/>
  <c r="H20" i="48" s="1"/>
  <c r="H10" i="46"/>
  <c r="H10" i="47" s="1"/>
  <c r="H10" i="48" s="1"/>
  <c r="E13" i="14"/>
  <c r="C18" i="47"/>
  <c r="F12" i="6"/>
  <c r="F12" i="7"/>
  <c r="F13" i="7"/>
  <c r="K24" i="13"/>
  <c r="H23" i="13"/>
  <c r="K23" i="13" s="1"/>
  <c r="G22" i="13"/>
  <c r="K22" i="13" s="1"/>
  <c r="G19" i="13"/>
  <c r="K19" i="13" s="1"/>
  <c r="D25" i="10"/>
  <c r="D33" i="10" s="1"/>
  <c r="F71" i="8"/>
  <c r="H71" i="8" s="1"/>
  <c r="G74" i="8"/>
  <c r="F119" i="8"/>
  <c r="F40" i="7"/>
  <c r="F39" i="7"/>
  <c r="E20" i="6"/>
  <c r="D26" i="46" s="1"/>
  <c r="D26" i="47" s="1"/>
  <c r="D19" i="49" s="1"/>
  <c r="D20" i="6"/>
  <c r="F20" i="6"/>
  <c r="E26" i="46" s="1"/>
  <c r="F13" i="6"/>
  <c r="E18" i="5"/>
  <c r="R48" i="15"/>
  <c r="R46" i="15"/>
  <c r="R42" i="15"/>
  <c r="R39" i="15"/>
  <c r="R67" i="15" s="1"/>
  <c r="R34" i="15"/>
  <c r="R33" i="15"/>
  <c r="R31" i="15"/>
  <c r="R28" i="15"/>
  <c r="R29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7" i="46"/>
  <c r="I47" i="47" s="1"/>
  <c r="O41" i="24" s="1"/>
  <c r="C41" i="24" s="1"/>
  <c r="J20" i="45"/>
  <c r="F43" i="45"/>
  <c r="E43" i="51"/>
  <c r="E43" i="44"/>
  <c r="F101" i="8"/>
  <c r="H103" i="8" s="1"/>
  <c r="D71" i="5"/>
  <c r="C70" i="5"/>
  <c r="E17" i="5"/>
  <c r="G21" i="47"/>
  <c r="G20" i="48" s="1"/>
  <c r="C24" i="10"/>
  <c r="G20" i="46" s="1"/>
  <c r="E30" i="10"/>
  <c r="G27" i="51"/>
  <c r="G33" i="51" s="1"/>
  <c r="R45" i="15"/>
  <c r="E22" i="10"/>
  <c r="E14" i="10"/>
  <c r="E18" i="10" s="1"/>
  <c r="D74" i="8"/>
  <c r="F38" i="7"/>
  <c r="F37" i="7"/>
  <c r="E32" i="6"/>
  <c r="F32" i="6"/>
  <c r="D53" i="5"/>
  <c r="C53" i="5"/>
  <c r="E13" i="5"/>
  <c r="E14" i="5"/>
  <c r="E15" i="5"/>
  <c r="E12" i="5"/>
  <c r="E29" i="5"/>
  <c r="E28" i="5"/>
  <c r="E27" i="5"/>
  <c r="D61" i="7"/>
  <c r="L49" i="15" s="1"/>
  <c r="I71" i="56"/>
  <c r="H71" i="56"/>
  <c r="G71" i="56"/>
  <c r="F71" i="56"/>
  <c r="E71" i="56"/>
  <c r="F35" i="7"/>
  <c r="G67" i="8"/>
  <c r="E67" i="8"/>
  <c r="F58" i="8"/>
  <c r="F34" i="7"/>
  <c r="F33" i="7"/>
  <c r="F32" i="7"/>
  <c r="E16" i="6"/>
  <c r="D16" i="6"/>
  <c r="C19" i="49"/>
  <c r="C20" i="49"/>
  <c r="O12" i="24"/>
  <c r="O13" i="24"/>
  <c r="O18" i="24"/>
  <c r="N19" i="24"/>
  <c r="O2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 s="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47" i="15"/>
  <c r="R38" i="15"/>
  <c r="R32" i="15"/>
  <c r="R35" i="15"/>
  <c r="R44" i="15"/>
  <c r="R43" i="15"/>
  <c r="F10" i="14"/>
  <c r="F12" i="14"/>
  <c r="D13" i="14"/>
  <c r="F19" i="14"/>
  <c r="D20" i="14"/>
  <c r="F20" i="14" s="1"/>
  <c r="F23" i="14"/>
  <c r="F24" i="14"/>
  <c r="F26" i="14"/>
  <c r="F27" i="14"/>
  <c r="D28" i="14"/>
  <c r="E28" i="14"/>
  <c r="F29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E10" i="46"/>
  <c r="I29" i="46"/>
  <c r="E42" i="46"/>
  <c r="E51" i="46"/>
  <c r="F67" i="8"/>
  <c r="D67" i="8"/>
  <c r="H67" i="8"/>
  <c r="F84" i="8"/>
  <c r="F93" i="8"/>
  <c r="H27" i="44"/>
  <c r="H33" i="44" s="1"/>
  <c r="D49" i="44" s="1"/>
  <c r="F15" i="7"/>
  <c r="F16" i="7"/>
  <c r="F26" i="7"/>
  <c r="F31" i="7"/>
  <c r="F14" i="6"/>
  <c r="F35" i="6"/>
  <c r="F36" i="6" s="1"/>
  <c r="D36" i="6"/>
  <c r="E36" i="6"/>
  <c r="E10" i="5"/>
  <c r="D13" i="46"/>
  <c r="E65" i="5"/>
  <c r="E66" i="5"/>
  <c r="E67" i="5"/>
  <c r="A10" i="49"/>
  <c r="A11" i="49" s="1"/>
  <c r="A12" i="49" s="1"/>
  <c r="A13" i="49" s="1"/>
  <c r="A14" i="49" s="1"/>
  <c r="A15" i="49" s="1"/>
  <c r="A16" i="49" s="1"/>
  <c r="A17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E34" i="49"/>
  <c r="G44" i="49"/>
  <c r="H44" i="49"/>
  <c r="I44" i="49"/>
  <c r="E10" i="48"/>
  <c r="E32" i="48"/>
  <c r="E10" i="47"/>
  <c r="C36" i="24"/>
  <c r="D42" i="47"/>
  <c r="E42" i="47" s="1"/>
  <c r="J12" i="45"/>
  <c r="G53" i="51"/>
  <c r="G33" i="42"/>
  <c r="C49" i="42" s="1"/>
  <c r="D54" i="46"/>
  <c r="C54" i="46"/>
  <c r="L54" i="46"/>
  <c r="K80" i="13"/>
  <c r="K10" i="47"/>
  <c r="J14" i="47"/>
  <c r="E19" i="24"/>
  <c r="D19" i="24"/>
  <c r="K18" i="47"/>
  <c r="J18" i="47"/>
  <c r="L18" i="47"/>
  <c r="J24" i="47"/>
  <c r="L12" i="47"/>
  <c r="L14" i="47"/>
  <c r="L32" i="47"/>
  <c r="K27" i="47"/>
  <c r="J27" i="47"/>
  <c r="K24" i="47"/>
  <c r="J34" i="47"/>
  <c r="L27" i="47"/>
  <c r="L34" i="47"/>
  <c r="K34" i="47"/>
  <c r="L24" i="47"/>
  <c r="G24" i="44"/>
  <c r="G24" i="51"/>
  <c r="C48" i="51" s="1"/>
  <c r="I12" i="51"/>
  <c r="H24" i="64"/>
  <c r="H24" i="42"/>
  <c r="E24" i="10"/>
  <c r="F112" i="8"/>
  <c r="F116" i="8" s="1"/>
  <c r="I27" i="64" s="1"/>
  <c r="E89" i="58"/>
  <c r="F89" i="58"/>
  <c r="J13" i="45"/>
  <c r="F22" i="7" l="1"/>
  <c r="C42" i="24"/>
  <c r="D41" i="24"/>
  <c r="E38" i="6"/>
  <c r="E46" i="6" s="1"/>
  <c r="E25" i="5"/>
  <c r="E37" i="5" s="1"/>
  <c r="G29" i="63"/>
  <c r="F28" i="14"/>
  <c r="E32" i="64"/>
  <c r="G33" i="8"/>
  <c r="F88" i="8"/>
  <c r="D13" i="47"/>
  <c r="D73" i="5"/>
  <c r="L55" i="46"/>
  <c r="E32" i="10"/>
  <c r="I21" i="46" s="1"/>
  <c r="F121" i="8"/>
  <c r="H119" i="8"/>
  <c r="H27" i="42" s="1"/>
  <c r="E25" i="47"/>
  <c r="E17" i="49" s="1"/>
  <c r="E24" i="46"/>
  <c r="C14" i="42"/>
  <c r="C32" i="42" s="1"/>
  <c r="C34" i="42" s="1"/>
  <c r="C73" i="5"/>
  <c r="C13" i="47"/>
  <c r="E11" i="5"/>
  <c r="K55" i="46"/>
  <c r="D96" i="8"/>
  <c r="D63" i="7"/>
  <c r="D79" i="7" s="1"/>
  <c r="C17" i="49"/>
  <c r="C30" i="47"/>
  <c r="C26" i="46"/>
  <c r="C30" i="46"/>
  <c r="C11" i="46"/>
  <c r="C11" i="47"/>
  <c r="C11" i="48" s="1"/>
  <c r="E44" i="47"/>
  <c r="G84" i="8"/>
  <c r="D48" i="64"/>
  <c r="C48" i="64"/>
  <c r="E34" i="64"/>
  <c r="E30" i="47"/>
  <c r="D30" i="47"/>
  <c r="D22" i="49" s="1"/>
  <c r="C54" i="5"/>
  <c r="C14" i="44"/>
  <c r="D54" i="5"/>
  <c r="D76" i="5" s="1"/>
  <c r="D14" i="44"/>
  <c r="D32" i="44" s="1"/>
  <c r="D34" i="44" s="1"/>
  <c r="D53" i="44" s="1"/>
  <c r="D54" i="44" s="1"/>
  <c r="D11" i="48"/>
  <c r="I24" i="42"/>
  <c r="I24" i="51"/>
  <c r="E48" i="51" s="1"/>
  <c r="H34" i="51"/>
  <c r="H54" i="51" s="1"/>
  <c r="G31" i="8"/>
  <c r="H20" i="46"/>
  <c r="H20" i="47" s="1"/>
  <c r="H19" i="48" s="1"/>
  <c r="C25" i="10"/>
  <c r="E30" i="46"/>
  <c r="D30" i="46"/>
  <c r="E25" i="46"/>
  <c r="F16" i="6"/>
  <c r="E35" i="5"/>
  <c r="E53" i="5"/>
  <c r="E54" i="5" s="1"/>
  <c r="H21" i="13"/>
  <c r="H40" i="13" s="1"/>
  <c r="D20" i="47"/>
  <c r="D16" i="48" s="1"/>
  <c r="H37" i="48"/>
  <c r="H44" i="48" s="1"/>
  <c r="D24" i="47"/>
  <c r="I16" i="49"/>
  <c r="E26" i="47"/>
  <c r="E19" i="49" s="1"/>
  <c r="E51" i="47"/>
  <c r="E42" i="48" s="1"/>
  <c r="G17" i="46"/>
  <c r="F57" i="8"/>
  <c r="F62" i="8" s="1"/>
  <c r="G18" i="46"/>
  <c r="G17" i="48" s="1"/>
  <c r="C12" i="48"/>
  <c r="G37" i="48"/>
  <c r="G44" i="48" s="1"/>
  <c r="D54" i="47"/>
  <c r="R15" i="15"/>
  <c r="C54" i="47"/>
  <c r="I24" i="64"/>
  <c r="G34" i="64"/>
  <c r="G54" i="64" s="1"/>
  <c r="G34" i="42"/>
  <c r="G54" i="42" s="1"/>
  <c r="E74" i="8"/>
  <c r="E96" i="8" s="1"/>
  <c r="H28" i="47"/>
  <c r="H15" i="49" s="1"/>
  <c r="H28" i="46"/>
  <c r="H112" i="8"/>
  <c r="H116" i="8" s="1"/>
  <c r="H27" i="64" s="1"/>
  <c r="F100" i="8"/>
  <c r="I27" i="44"/>
  <c r="I33" i="44" s="1"/>
  <c r="E49" i="44" s="1"/>
  <c r="G19" i="47"/>
  <c r="G18" i="48" s="1"/>
  <c r="I19" i="46"/>
  <c r="I19" i="47" s="1"/>
  <c r="H19" i="47"/>
  <c r="H18" i="48" s="1"/>
  <c r="I24" i="44"/>
  <c r="C49" i="64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F61" i="7"/>
  <c r="H18" i="46"/>
  <c r="H17" i="48" s="1"/>
  <c r="H12" i="47"/>
  <c r="H12" i="48" s="1"/>
  <c r="I12" i="46"/>
  <c r="I10" i="46"/>
  <c r="E54" i="46"/>
  <c r="H14" i="46"/>
  <c r="D14" i="42"/>
  <c r="D32" i="42" s="1"/>
  <c r="E70" i="5"/>
  <c r="C71" i="5"/>
  <c r="E32" i="51"/>
  <c r="G10" i="48"/>
  <c r="G30" i="47"/>
  <c r="G30" i="46"/>
  <c r="I54" i="47"/>
  <c r="I37" i="48"/>
  <c r="I44" i="48" s="1"/>
  <c r="H70" i="8"/>
  <c r="H74" i="8" s="1"/>
  <c r="F74" i="8"/>
  <c r="G11" i="47"/>
  <c r="I11" i="46"/>
  <c r="H30" i="47"/>
  <c r="H17" i="49" s="1"/>
  <c r="H30" i="46"/>
  <c r="R26" i="15"/>
  <c r="G33" i="47"/>
  <c r="G20" i="49" s="1"/>
  <c r="D11" i="49"/>
  <c r="C49" i="51"/>
  <c r="G34" i="51"/>
  <c r="G54" i="51" s="1"/>
  <c r="E30" i="14"/>
  <c r="D17" i="46" s="1"/>
  <c r="D33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0" i="14"/>
  <c r="E26" i="13"/>
  <c r="F13" i="14"/>
  <c r="D48" i="51"/>
  <c r="D53" i="51" s="1"/>
  <c r="D54" i="51" s="1"/>
  <c r="E12" i="46"/>
  <c r="E12" i="47" s="1"/>
  <c r="E12" i="48" s="1"/>
  <c r="H33" i="47"/>
  <c r="H20" i="49" s="1"/>
  <c r="H33" i="46"/>
  <c r="H11" i="47"/>
  <c r="E43" i="5" l="1"/>
  <c r="E41" i="24"/>
  <c r="D42" i="24"/>
  <c r="C22" i="49"/>
  <c r="C53" i="64"/>
  <c r="C54" i="64" s="1"/>
  <c r="D33" i="47"/>
  <c r="C48" i="42"/>
  <c r="C53" i="42" s="1"/>
  <c r="C54" i="42" s="1"/>
  <c r="C76" i="5"/>
  <c r="H32" i="47"/>
  <c r="H19" i="49" s="1"/>
  <c r="H93" i="8"/>
  <c r="H31" i="46" s="1"/>
  <c r="G88" i="8"/>
  <c r="G32" i="46" s="1"/>
  <c r="G32" i="47" s="1"/>
  <c r="H121" i="8"/>
  <c r="I27" i="42"/>
  <c r="I33" i="42" s="1"/>
  <c r="E49" i="42" s="1"/>
  <c r="E24" i="47"/>
  <c r="D34" i="47"/>
  <c r="E71" i="5"/>
  <c r="G17" i="47"/>
  <c r="G16" i="48" s="1"/>
  <c r="F63" i="7"/>
  <c r="F79" i="7" s="1"/>
  <c r="F76" i="7"/>
  <c r="F28" i="6"/>
  <c r="F38" i="6" s="1"/>
  <c r="D28" i="6"/>
  <c r="E11" i="46"/>
  <c r="E11" i="47"/>
  <c r="E11" i="48" s="1"/>
  <c r="I18" i="48"/>
  <c r="O29" i="24"/>
  <c r="G50" i="46"/>
  <c r="H27" i="46"/>
  <c r="I27" i="45"/>
  <c r="J27" i="45" s="1"/>
  <c r="J33" i="45" s="1"/>
  <c r="F49" i="45" s="1"/>
  <c r="F103" i="8"/>
  <c r="F133" i="8" s="1"/>
  <c r="E48" i="64"/>
  <c r="C32" i="44"/>
  <c r="C34" i="44" s="1"/>
  <c r="E14" i="44"/>
  <c r="E32" i="44" s="1"/>
  <c r="D35" i="46"/>
  <c r="D55" i="46" s="1"/>
  <c r="D34" i="42"/>
  <c r="E34" i="42" s="1"/>
  <c r="D48" i="42"/>
  <c r="D14" i="48"/>
  <c r="E53" i="51"/>
  <c r="E54" i="51" s="1"/>
  <c r="F96" i="8"/>
  <c r="I20" i="47"/>
  <c r="I19" i="48" s="1"/>
  <c r="I20" i="46"/>
  <c r="C33" i="10"/>
  <c r="E25" i="10"/>
  <c r="E33" i="10" s="1"/>
  <c r="K21" i="13"/>
  <c r="D13" i="48"/>
  <c r="D16" i="49"/>
  <c r="E54" i="47"/>
  <c r="O21" i="24" s="1"/>
  <c r="C21" i="24" s="1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E133" i="8"/>
  <c r="G24" i="46"/>
  <c r="O25" i="24"/>
  <c r="C25" i="24" s="1"/>
  <c r="D25" i="24" s="1"/>
  <c r="E25" i="24" s="1"/>
  <c r="F25" i="24" s="1"/>
  <c r="G25" i="24" s="1"/>
  <c r="H25" i="24" s="1"/>
  <c r="I25" i="24" s="1"/>
  <c r="J25" i="24" s="1"/>
  <c r="K25" i="24" s="1"/>
  <c r="L25" i="24" s="1"/>
  <c r="M25" i="24" s="1"/>
  <c r="N25" i="24" s="1"/>
  <c r="G28" i="47"/>
  <c r="H33" i="64"/>
  <c r="I34" i="44"/>
  <c r="I54" i="44" s="1"/>
  <c r="I30" i="46"/>
  <c r="I34" i="51"/>
  <c r="I54" i="51" s="1"/>
  <c r="G40" i="13"/>
  <c r="I18" i="46"/>
  <c r="I17" i="48" s="1"/>
  <c r="I12" i="47"/>
  <c r="O27" i="24" s="1"/>
  <c r="C27" i="24" s="1"/>
  <c r="D27" i="24" s="1"/>
  <c r="H24" i="45"/>
  <c r="D48" i="45" s="1"/>
  <c r="J16" i="45"/>
  <c r="J24" i="45" s="1"/>
  <c r="H14" i="47"/>
  <c r="H14" i="48" s="1"/>
  <c r="E14" i="42"/>
  <c r="E32" i="42" s="1"/>
  <c r="E48" i="42" s="1"/>
  <c r="C16" i="48"/>
  <c r="E20" i="47"/>
  <c r="C53" i="51"/>
  <c r="C54" i="51" s="1"/>
  <c r="C17" i="46"/>
  <c r="C33" i="46" s="1"/>
  <c r="F30" i="14"/>
  <c r="E17" i="46" s="1"/>
  <c r="I14" i="46"/>
  <c r="G14" i="47"/>
  <c r="G14" i="48" s="1"/>
  <c r="G11" i="48"/>
  <c r="I11" i="47"/>
  <c r="G17" i="49"/>
  <c r="I17" i="49" s="1"/>
  <c r="I30" i="47"/>
  <c r="O37" i="24" s="1"/>
  <c r="C37" i="24" s="1"/>
  <c r="D37" i="24" s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E40" i="13"/>
  <c r="K26" i="13"/>
  <c r="H11" i="48"/>
  <c r="O17" i="24"/>
  <c r="C17" i="24" s="1"/>
  <c r="E22" i="49"/>
  <c r="I17" i="46"/>
  <c r="I17" i="47" s="1"/>
  <c r="I33" i="46"/>
  <c r="I33" i="47"/>
  <c r="C13" i="48"/>
  <c r="F41" i="24" l="1"/>
  <c r="E42" i="24"/>
  <c r="E27" i="24"/>
  <c r="C16" i="46"/>
  <c r="D38" i="6"/>
  <c r="D46" i="6" s="1"/>
  <c r="E76" i="5"/>
  <c r="H133" i="8"/>
  <c r="E16" i="49"/>
  <c r="E13" i="46"/>
  <c r="E33" i="46" s="1"/>
  <c r="E13" i="47"/>
  <c r="E73" i="5"/>
  <c r="H96" i="8"/>
  <c r="G19" i="49"/>
  <c r="I32" i="47"/>
  <c r="O38" i="24" s="1"/>
  <c r="C38" i="24" s="1"/>
  <c r="D38" i="24" s="1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I32" i="46"/>
  <c r="G96" i="8"/>
  <c r="H31" i="47"/>
  <c r="H18" i="49" s="1"/>
  <c r="I31" i="46"/>
  <c r="I31" i="47" s="1"/>
  <c r="I18" i="49" s="1"/>
  <c r="H33" i="42"/>
  <c r="I34" i="42"/>
  <c r="I54" i="42" s="1"/>
  <c r="E53" i="42"/>
  <c r="E54" i="42" s="1"/>
  <c r="O15" i="24"/>
  <c r="O19" i="24" s="1"/>
  <c r="D25" i="49"/>
  <c r="D26" i="49" s="1"/>
  <c r="F46" i="6"/>
  <c r="H34" i="45"/>
  <c r="H54" i="45" s="1"/>
  <c r="D53" i="45"/>
  <c r="D54" i="45" s="1"/>
  <c r="D22" i="48"/>
  <c r="D24" i="48" s="1"/>
  <c r="G27" i="46"/>
  <c r="I27" i="46" s="1"/>
  <c r="I33" i="45"/>
  <c r="I34" i="45" s="1"/>
  <c r="I54" i="45" s="1"/>
  <c r="O8" i="24"/>
  <c r="C8" i="24" s="1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E34" i="44"/>
  <c r="E53" i="44" s="1"/>
  <c r="E54" i="44" s="1"/>
  <c r="C53" i="44"/>
  <c r="C54" i="44" s="1"/>
  <c r="D35" i="47"/>
  <c r="D55" i="47" s="1"/>
  <c r="O32" i="24"/>
  <c r="C32" i="24" s="1"/>
  <c r="D32" i="24" s="1"/>
  <c r="E32" i="24" s="1"/>
  <c r="F32" i="24" s="1"/>
  <c r="G32" i="24" s="1"/>
  <c r="H32" i="24" s="1"/>
  <c r="I32" i="24" s="1"/>
  <c r="J32" i="24" s="1"/>
  <c r="K32" i="24" s="1"/>
  <c r="L32" i="24" s="1"/>
  <c r="M32" i="24" s="1"/>
  <c r="N32" i="24" s="1"/>
  <c r="H49" i="46"/>
  <c r="G28" i="46"/>
  <c r="I28" i="46" s="1"/>
  <c r="I33" i="64"/>
  <c r="I34" i="64" s="1"/>
  <c r="I54" i="64" s="1"/>
  <c r="G15" i="49"/>
  <c r="I15" i="49" s="1"/>
  <c r="I28" i="47"/>
  <c r="O35" i="24" s="1"/>
  <c r="C35" i="24" s="1"/>
  <c r="D35" i="24" s="1"/>
  <c r="E35" i="24" s="1"/>
  <c r="F35" i="24" s="1"/>
  <c r="G35" i="24" s="1"/>
  <c r="H35" i="24" s="1"/>
  <c r="I35" i="24" s="1"/>
  <c r="J35" i="24" s="1"/>
  <c r="K35" i="24" s="1"/>
  <c r="L35" i="24" s="1"/>
  <c r="M35" i="24" s="1"/>
  <c r="N35" i="24" s="1"/>
  <c r="H27" i="47"/>
  <c r="H14" i="49" s="1"/>
  <c r="G133" i="8"/>
  <c r="H34" i="46"/>
  <c r="J34" i="45"/>
  <c r="J54" i="45" s="1"/>
  <c r="K40" i="13"/>
  <c r="O31" i="24"/>
  <c r="C31" i="24" s="1"/>
  <c r="D31" i="24" s="1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I12" i="48"/>
  <c r="F48" i="45"/>
  <c r="F53" i="45" s="1"/>
  <c r="F54" i="45" s="1"/>
  <c r="I14" i="47"/>
  <c r="G22" i="48"/>
  <c r="G24" i="48" s="1"/>
  <c r="G24" i="47"/>
  <c r="O39" i="24"/>
  <c r="C39" i="24" s="1"/>
  <c r="D39" i="24" s="1"/>
  <c r="E39" i="24" s="1"/>
  <c r="F39" i="24" s="1"/>
  <c r="G39" i="24" s="1"/>
  <c r="H39" i="24" s="1"/>
  <c r="I39" i="24" s="1"/>
  <c r="J39" i="24" s="1"/>
  <c r="K39" i="24" s="1"/>
  <c r="L39" i="24" s="1"/>
  <c r="M39" i="24" s="1"/>
  <c r="N39" i="24" s="1"/>
  <c r="I20" i="49"/>
  <c r="C17" i="47"/>
  <c r="C33" i="47" s="1"/>
  <c r="O26" i="24"/>
  <c r="C26" i="24" s="1"/>
  <c r="D26" i="24" s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I11" i="48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6" i="48"/>
  <c r="I24" i="46"/>
  <c r="H34" i="64"/>
  <c r="H54" i="64" s="1"/>
  <c r="D49" i="64"/>
  <c r="D53" i="64" s="1"/>
  <c r="D54" i="64" s="1"/>
  <c r="I16" i="48"/>
  <c r="O30" i="24"/>
  <c r="C19" i="24"/>
  <c r="G41" i="24" l="1"/>
  <c r="F42" i="24"/>
  <c r="F27" i="24"/>
  <c r="C16" i="47"/>
  <c r="C34" i="46"/>
  <c r="C35" i="46" s="1"/>
  <c r="C55" i="46" s="1"/>
  <c r="E13" i="48"/>
  <c r="I19" i="49"/>
  <c r="H21" i="49"/>
  <c r="H26" i="49" s="1"/>
  <c r="H45" i="49" s="1"/>
  <c r="D49" i="42"/>
  <c r="D53" i="42" s="1"/>
  <c r="D54" i="42" s="1"/>
  <c r="H34" i="42"/>
  <c r="H54" i="42" s="1"/>
  <c r="I14" i="48"/>
  <c r="I22" i="48" s="1"/>
  <c r="I24" i="48" s="1"/>
  <c r="O28" i="24"/>
  <c r="C28" i="24" s="1"/>
  <c r="D28" i="24" s="1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G45" i="48"/>
  <c r="E49" i="45"/>
  <c r="E53" i="45" s="1"/>
  <c r="E54" i="45" s="1"/>
  <c r="G27" i="47"/>
  <c r="G14" i="49" s="1"/>
  <c r="G21" i="49" s="1"/>
  <c r="G26" i="49" s="1"/>
  <c r="I34" i="46"/>
  <c r="I35" i="46" s="1"/>
  <c r="O9" i="24"/>
  <c r="C9" i="24" s="1"/>
  <c r="D9" i="24" s="1"/>
  <c r="G34" i="46"/>
  <c r="G35" i="46" s="1"/>
  <c r="E49" i="64"/>
  <c r="E53" i="64" s="1"/>
  <c r="E54" i="64" s="1"/>
  <c r="H34" i="47"/>
  <c r="G49" i="46"/>
  <c r="G54" i="46" s="1"/>
  <c r="I24" i="47"/>
  <c r="E17" i="47"/>
  <c r="E33" i="47" s="1"/>
  <c r="C14" i="48"/>
  <c r="C22" i="48" s="1"/>
  <c r="C24" i="48" s="1"/>
  <c r="C26" i="48" s="1"/>
  <c r="H41" i="24" l="1"/>
  <c r="G42" i="24"/>
  <c r="E33" i="24"/>
  <c r="D33" i="24"/>
  <c r="G27" i="24"/>
  <c r="F33" i="24"/>
  <c r="E9" i="24"/>
  <c r="C13" i="49"/>
  <c r="C25" i="49" s="1"/>
  <c r="C34" i="47"/>
  <c r="C35" i="47" s="1"/>
  <c r="E35" i="47" s="1"/>
  <c r="E55" i="47" s="1"/>
  <c r="E16" i="47"/>
  <c r="D28" i="49"/>
  <c r="D36" i="49" s="1"/>
  <c r="D44" i="49" s="1"/>
  <c r="D45" i="49" s="1"/>
  <c r="C37" i="46"/>
  <c r="E35" i="46"/>
  <c r="E37" i="46" s="1"/>
  <c r="C11" i="49"/>
  <c r="C26" i="49" s="1"/>
  <c r="C28" i="49" s="1"/>
  <c r="I45" i="48"/>
  <c r="H50" i="46"/>
  <c r="H54" i="46" s="1"/>
  <c r="G34" i="47"/>
  <c r="G35" i="47" s="1"/>
  <c r="G55" i="47" s="1"/>
  <c r="I27" i="47"/>
  <c r="O34" i="24" s="1"/>
  <c r="G55" i="46"/>
  <c r="I50" i="46"/>
  <c r="I49" i="46"/>
  <c r="C33" i="24"/>
  <c r="O33" i="24"/>
  <c r="G45" i="49"/>
  <c r="E14" i="48"/>
  <c r="E22" i="48" s="1"/>
  <c r="E24" i="48" s="1"/>
  <c r="E26" i="48" s="1"/>
  <c r="O10" i="24"/>
  <c r="C29" i="49" l="1"/>
  <c r="E27" i="48"/>
  <c r="E29" i="49" s="1"/>
  <c r="C36" i="48"/>
  <c r="C44" i="48" s="1"/>
  <c r="C45" i="48" s="1"/>
  <c r="I41" i="24"/>
  <c r="H42" i="24"/>
  <c r="H27" i="24"/>
  <c r="G33" i="24"/>
  <c r="F9" i="24"/>
  <c r="E13" i="49"/>
  <c r="E25" i="49" s="1"/>
  <c r="E34" i="47"/>
  <c r="C55" i="47"/>
  <c r="E55" i="46"/>
  <c r="E11" i="49"/>
  <c r="I14" i="49"/>
  <c r="I21" i="49" s="1"/>
  <c r="I26" i="49" s="1"/>
  <c r="C37" i="47"/>
  <c r="I34" i="47"/>
  <c r="I35" i="47" s="1"/>
  <c r="E37" i="47" s="1"/>
  <c r="I54" i="46"/>
  <c r="I55" i="46" s="1"/>
  <c r="C10" i="24"/>
  <c r="D10" i="24" s="1"/>
  <c r="O14" i="24"/>
  <c r="O22" i="24" s="1"/>
  <c r="O40" i="24"/>
  <c r="O43" i="24" s="1"/>
  <c r="C34" i="24"/>
  <c r="D34" i="24" s="1"/>
  <c r="E36" i="48" l="1"/>
  <c r="E44" i="48" s="1"/>
  <c r="E45" i="48" s="1"/>
  <c r="C36" i="49"/>
  <c r="C44" i="49" s="1"/>
  <c r="C45" i="49" s="1"/>
  <c r="J41" i="24"/>
  <c r="I42" i="24"/>
  <c r="E34" i="24"/>
  <c r="D40" i="24"/>
  <c r="D43" i="24" s="1"/>
  <c r="E26" i="49"/>
  <c r="E28" i="49" s="1"/>
  <c r="E36" i="49" s="1"/>
  <c r="E44" i="49" s="1"/>
  <c r="E10" i="24"/>
  <c r="D14" i="24"/>
  <c r="D22" i="24" s="1"/>
  <c r="I27" i="24"/>
  <c r="H33" i="24"/>
  <c r="G9" i="24"/>
  <c r="C14" i="24"/>
  <c r="C22" i="24" s="1"/>
  <c r="C40" i="24"/>
  <c r="C43" i="24" s="1"/>
  <c r="I45" i="49"/>
  <c r="I55" i="47"/>
  <c r="E57" i="47" s="1"/>
  <c r="K41" i="24" l="1"/>
  <c r="J42" i="24"/>
  <c r="F34" i="24"/>
  <c r="E40" i="24"/>
  <c r="E43" i="24" s="1"/>
  <c r="F10" i="24"/>
  <c r="E14" i="24"/>
  <c r="E22" i="24" s="1"/>
  <c r="J27" i="24"/>
  <c r="I33" i="24"/>
  <c r="H9" i="24"/>
  <c r="E45" i="49"/>
  <c r="L41" i="24" l="1"/>
  <c r="K42" i="24"/>
  <c r="G34" i="24"/>
  <c r="F40" i="24"/>
  <c r="F43" i="24" s="1"/>
  <c r="G10" i="24"/>
  <c r="F14" i="24"/>
  <c r="F22" i="24" s="1"/>
  <c r="K27" i="24"/>
  <c r="J33" i="24"/>
  <c r="I9" i="24"/>
  <c r="M41" i="24" l="1"/>
  <c r="L42" i="24"/>
  <c r="H34" i="24"/>
  <c r="G40" i="24"/>
  <c r="G43" i="24" s="1"/>
  <c r="H10" i="24"/>
  <c r="G14" i="24"/>
  <c r="G22" i="24" s="1"/>
  <c r="L27" i="24"/>
  <c r="K33" i="24"/>
  <c r="J9" i="24"/>
  <c r="E79" i="7"/>
  <c r="H17" i="46"/>
  <c r="H17" i="47" s="1"/>
  <c r="N41" i="24" l="1"/>
  <c r="N42" i="24" s="1"/>
  <c r="M42" i="24"/>
  <c r="I34" i="24"/>
  <c r="H40" i="24"/>
  <c r="H43" i="24" s="1"/>
  <c r="I10" i="24"/>
  <c r="H14" i="24"/>
  <c r="H22" i="24" s="1"/>
  <c r="M27" i="24"/>
  <c r="L33" i="24"/>
  <c r="K9" i="24"/>
  <c r="H16" i="48"/>
  <c r="H22" i="48" s="1"/>
  <c r="H24" i="48" s="1"/>
  <c r="H24" i="47"/>
  <c r="H35" i="47" s="1"/>
  <c r="H24" i="46"/>
  <c r="H35" i="46" s="1"/>
  <c r="O42" i="24" l="1"/>
  <c r="J34" i="24"/>
  <c r="I40" i="24"/>
  <c r="I43" i="24" s="1"/>
  <c r="J10" i="24"/>
  <c r="I14" i="24"/>
  <c r="I22" i="24" s="1"/>
  <c r="N27" i="24"/>
  <c r="N33" i="24" s="1"/>
  <c r="M33" i="24"/>
  <c r="L9" i="24"/>
  <c r="H45" i="48"/>
  <c r="D26" i="48"/>
  <c r="D36" i="48" s="1"/>
  <c r="D44" i="48" s="1"/>
  <c r="D45" i="48" s="1"/>
  <c r="R49" i="15"/>
  <c r="H55" i="46"/>
  <c r="D37" i="46"/>
  <c r="D37" i="47"/>
  <c r="H55" i="47"/>
  <c r="D133" i="8"/>
  <c r="K34" i="24" l="1"/>
  <c r="J40" i="24"/>
  <c r="J43" i="24" s="1"/>
  <c r="K10" i="24"/>
  <c r="J14" i="24"/>
  <c r="J22" i="24" s="1"/>
  <c r="M9" i="24"/>
  <c r="L34" i="24" l="1"/>
  <c r="K40" i="24"/>
  <c r="K43" i="24" s="1"/>
  <c r="L10" i="24"/>
  <c r="K14" i="24"/>
  <c r="K22" i="24" s="1"/>
  <c r="N9" i="24"/>
  <c r="M34" i="24" l="1"/>
  <c r="L40" i="24"/>
  <c r="L43" i="24" s="1"/>
  <c r="M10" i="24"/>
  <c r="L14" i="24"/>
  <c r="L22" i="24" s="1"/>
  <c r="N34" i="24" l="1"/>
  <c r="N40" i="24" s="1"/>
  <c r="N43" i="24" s="1"/>
  <c r="M40" i="24"/>
  <c r="M43" i="24" s="1"/>
  <c r="N10" i="24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<sst xmlns="http://schemas.openxmlformats.org/spreadsheetml/2006/main" count="3052" uniqueCount="1369">
  <si>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</si>
  <si>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</si>
  <si>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</si>
  <si>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</si>
  <si>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</si>
  <si>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</si>
  <si>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</si>
  <si>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</si>
  <si>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</si>
  <si>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</si>
  <si>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</si>
  <si>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</si>
  <si>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</si>
  <si>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</si>
  <si>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</si>
  <si>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</si>
  <si>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</si>
  <si>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</si>
  <si>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</si>
  <si>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</si>
  <si>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</si>
  <si>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</si>
  <si>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</si>
  <si>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</si>
  <si>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</si>
  <si>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</si>
  <si>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</si>
  <si>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</si>
  <si>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</si>
  <si>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</si>
  <si>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</si>
  <si>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</si>
  <si>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</si>
  <si>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</si>
  <si>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</si>
  <si>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</si>
  <si>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</si>
  <si>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</si>
  <si>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</si>
  <si>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</si>
  <si>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</si>
  <si>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</si>
  <si>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</si>
  <si>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</si>
  <si>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</si>
  <si>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</si>
  <si>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</si>
  <si>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</si>
  <si>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</si>
  <si>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</si>
  <si>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</si>
  <si>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</si>
  <si>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</si>
  <si>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</si>
  <si>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</si>
  <si>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</si>
  <si>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</si>
  <si>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</si>
  <si>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</si>
  <si>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</si>
  <si>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</si>
  <si>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</si>
  <si>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</si>
  <si>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</si>
  <si>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</si>
  <si>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</si>
  <si>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</si>
  <si>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</si>
  <si>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</si>
  <si>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</si>
  <si>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</si>
  <si>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</si>
  <si>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</si>
  <si>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</si>
  <si>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</si>
  <si>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</si>
  <si>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</si>
  <si>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</si>
  <si>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</si>
  <si>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</si>
  <si>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</si>
  <si>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</si>
  <si>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</si>
  <si>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</si>
  <si>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</si>
  <si>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</si>
  <si>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</si>
  <si>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</si>
  <si>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VI.</t>
  </si>
  <si>
    <t xml:space="preserve">VII. </t>
  </si>
  <si>
    <t>VIII</t>
  </si>
  <si>
    <t xml:space="preserve">     Társult önkormányzatok orvosi ügyeleti kiadásokhoz hozzájárulás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</si>
  <si>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</si>
  <si>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</si>
  <si>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</si>
  <si>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</si>
  <si>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</si>
  <si>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</si>
  <si>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</si>
  <si>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</si>
  <si>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</si>
  <si>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</si>
  <si>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</si>
  <si>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</si>
  <si>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</si>
  <si>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</si>
  <si>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</si>
  <si>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</si>
  <si>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</si>
  <si>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</si>
  <si>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</si>
  <si>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</si>
  <si>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</si>
  <si>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</si>
  <si>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</si>
  <si>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</si>
  <si>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</si>
  <si>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</si>
  <si>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</si>
  <si>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</si>
  <si>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</si>
  <si>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</si>
  <si>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</si>
  <si>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</si>
  <si>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</si>
  <si>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</si>
  <si>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</si>
  <si>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</si>
  <si>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</si>
  <si>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</si>
  <si>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</si>
  <si>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</si>
  <si>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</si>
  <si>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</si>
  <si>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</si>
  <si>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</si>
  <si>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</si>
  <si>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</si>
  <si>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</si>
  <si>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</si>
  <si>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</si>
  <si>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</si>
  <si>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</si>
  <si>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</si>
  <si>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</si>
  <si>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</si>
  <si>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</si>
  <si>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</si>
  <si>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</si>
  <si>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</si>
  <si>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</si>
  <si>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</si>
  <si>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</si>
  <si>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</si>
  <si>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</si>
  <si>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</si>
  <si>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</si>
  <si>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</si>
  <si>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</si>
  <si>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</si>
  <si>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</si>
  <si>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</si>
  <si>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</si>
  <si>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</si>
  <si>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</si>
  <si>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</si>
  <si>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</si>
  <si>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</si>
  <si>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</si>
  <si>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</si>
  <si>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</si>
  <si>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</si>
  <si>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</si>
  <si>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</si>
  <si>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</si>
  <si>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</si>
  <si>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</si>
  <si>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</si>
  <si>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</si>
  <si>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</si>
  <si>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</si>
  <si>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</si>
  <si>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</si>
  <si>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</si>
  <si>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</si>
  <si>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</si>
  <si>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</si>
  <si>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</si>
  <si>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</si>
  <si>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</si>
  <si>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</si>
  <si>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</si>
  <si>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</si>
  <si>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</si>
  <si>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</si>
  <si>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</si>
  <si>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</si>
  <si>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</si>
  <si>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</si>
  <si>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</si>
  <si>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</si>
  <si>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</si>
  <si>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</si>
  <si>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</si>
  <si>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</si>
  <si>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</si>
  <si>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</si>
  <si>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</si>
  <si>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</si>
  <si>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</si>
  <si>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</si>
  <si>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</si>
  <si>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</si>
  <si>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</si>
  <si>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</si>
  <si>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</si>
  <si>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</si>
  <si>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</si>
  <si>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</si>
  <si>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</si>
  <si>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</si>
  <si>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</si>
  <si>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</si>
  <si>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</si>
  <si>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</si>
  <si>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</si>
  <si>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</si>
  <si>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</si>
  <si>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</si>
  <si>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</si>
  <si>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</si>
  <si>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</si>
  <si>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</si>
  <si>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</si>
  <si>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</si>
  <si>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</si>
  <si>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</si>
  <si>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</si>
  <si>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</si>
  <si>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</si>
  <si>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</si>
  <si>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</si>
  <si>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</si>
  <si>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</si>
  <si>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</si>
  <si>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</si>
  <si>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</si>
  <si>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</si>
  <si>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</si>
  <si>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</si>
  <si>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</si>
  <si>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</si>
  <si>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</si>
  <si>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</si>
  <si>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</si>
  <si>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</si>
  <si>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</si>
  <si>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</si>
  <si>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</si>
  <si>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</si>
  <si>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</si>
  <si>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</si>
  <si>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</si>
  <si>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</si>
  <si>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</si>
  <si>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</si>
  <si>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</si>
  <si>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</si>
  <si>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</si>
  <si>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</si>
  <si>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</si>
  <si>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</si>
  <si>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</si>
  <si>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</si>
  <si>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</si>
  <si>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</si>
  <si>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</si>
  <si>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</si>
  <si>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</si>
  <si>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</si>
  <si>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</si>
  <si>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</si>
  <si>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</si>
  <si>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</si>
  <si>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</si>
  <si>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</si>
  <si>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</si>
  <si>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</si>
  <si>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</si>
  <si>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</si>
  <si>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</si>
  <si>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</si>
  <si>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</si>
  <si>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</si>
  <si>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</si>
  <si>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</si>
  <si>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</si>
  <si>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</si>
  <si>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</si>
  <si>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</si>
  <si>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</si>
  <si>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</si>
  <si>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</si>
  <si>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</si>
  <si>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</si>
  <si>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</si>
  <si>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</si>
  <si>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</si>
  <si>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</si>
  <si>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</si>
  <si>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</si>
  <si>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</si>
  <si>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</si>
  <si>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</si>
  <si>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</si>
  <si>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</si>
  <si>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</si>
  <si>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</si>
  <si>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</si>
  <si>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</si>
  <si>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</si>
  <si>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</si>
  <si>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</si>
  <si>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</si>
  <si>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</si>
  <si>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</si>
  <si>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</si>
  <si>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</si>
  <si>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</si>
  <si>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</si>
  <si>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</si>
  <si>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</si>
  <si>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</si>
  <si>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</si>
  <si>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</si>
  <si>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</si>
  <si>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</si>
  <si>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</si>
  <si>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</si>
  <si>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</si>
  <si>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</si>
  <si>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</si>
  <si>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</si>
  <si>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</si>
  <si>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</si>
  <si>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</si>
  <si>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</si>
  <si>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</si>
  <si>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</si>
  <si>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</si>
  <si>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</si>
  <si>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</si>
  <si>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</si>
  <si>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</si>
  <si>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</si>
  <si>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</si>
  <si>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</si>
  <si>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</si>
  <si>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</si>
  <si>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</si>
  <si>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</si>
  <si>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</si>
  <si>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</si>
  <si>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</si>
  <si>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</si>
  <si>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</si>
  <si>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</si>
  <si>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</si>
  <si>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</si>
  <si>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</si>
  <si>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</si>
  <si>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</si>
  <si>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</si>
  <si>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</si>
  <si>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</si>
  <si>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</si>
  <si>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</si>
  <si>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</si>
  <si>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</si>
  <si>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</si>
  <si>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</si>
  <si>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</si>
  <si>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</si>
  <si>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</si>
  <si>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</si>
  <si>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</si>
  <si>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</si>
  <si>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</si>
  <si>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</si>
  <si>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</si>
  <si>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</si>
  <si>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</si>
  <si>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</si>
  <si>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</si>
  <si>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</si>
  <si>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</si>
  <si>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</si>
  <si>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</si>
  <si>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</si>
  <si>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</si>
  <si>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</si>
  <si>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</si>
  <si>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</si>
  <si>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</si>
  <si>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</si>
  <si>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</si>
  <si>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</si>
  <si>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</si>
  <si>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</si>
  <si>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</si>
  <si>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</si>
  <si>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</si>
  <si>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</si>
  <si>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</si>
  <si>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</si>
  <si>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</si>
  <si>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</si>
  <si>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</si>
  <si>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</si>
  <si>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</si>
  <si>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</si>
  <si>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</si>
  <si>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</si>
  <si>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</si>
  <si>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</si>
  <si>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</si>
  <si>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</si>
  <si>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</si>
  <si>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</si>
  <si>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</si>
  <si>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</si>
  <si>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</si>
  <si>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</si>
  <si>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</si>
  <si>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</si>
  <si>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</si>
  <si>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</si>
  <si>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</si>
  <si>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</si>
  <si>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</si>
  <si>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</si>
  <si>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</si>
  <si>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</si>
  <si>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</si>
  <si>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</si>
  <si>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</si>
  <si>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</si>
  <si>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</si>
  <si>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</si>
  <si>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</si>
  <si>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</si>
  <si>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</si>
  <si>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</si>
  <si>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</si>
  <si>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</si>
  <si>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</si>
  <si>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</si>
  <si>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</si>
  <si>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</si>
  <si>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</si>
  <si>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</si>
  <si>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</si>
  <si>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</si>
  <si>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</si>
  <si>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</si>
  <si>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</si>
  <si>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</si>
  <si>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</si>
  <si>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</si>
  <si>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</si>
  <si>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</si>
  <si>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</si>
  <si>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</si>
  <si>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</si>
  <si>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</si>
  <si>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</si>
  <si>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</si>
  <si>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</si>
  <si>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</si>
  <si>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</si>
  <si>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</si>
  <si>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</si>
  <si>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</si>
  <si>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</si>
  <si>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</si>
  <si>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</si>
  <si>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</si>
  <si>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</si>
  <si>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</si>
  <si>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</si>
  <si>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</si>
  <si>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</si>
  <si>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</si>
  <si>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</si>
  <si>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</si>
  <si>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</si>
  <si>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</si>
  <si>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</si>
  <si>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</si>
  <si>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</si>
  <si>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</si>
  <si>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</si>
  <si>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</si>
  <si>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</si>
  <si>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</si>
  <si>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</si>
  <si>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</si>
  <si>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</si>
  <si>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</si>
  <si>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</si>
  <si>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</si>
  <si>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</si>
  <si>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</si>
  <si>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</si>
  <si>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</si>
  <si>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</si>
  <si>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</si>
  <si>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Óvónő</t>
  </si>
  <si>
    <t>Kisegítő személyzet</t>
  </si>
  <si>
    <t>3 fő kisegítő személyzet 2013. szept.1-től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</si>
  <si>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</si>
  <si>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</si>
  <si>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</si>
  <si>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</si>
  <si>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</si>
  <si>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</si>
  <si>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</si>
  <si>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</si>
  <si>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</si>
  <si>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</si>
  <si>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</si>
  <si>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</si>
  <si>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</si>
  <si>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</si>
  <si>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</si>
  <si>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</si>
  <si>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</si>
  <si>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</si>
  <si>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</si>
  <si>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</si>
  <si>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</si>
  <si>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</si>
  <si>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</si>
  <si>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</si>
  <si>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</si>
  <si>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</si>
  <si>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</si>
  <si>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</si>
  <si>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</si>
  <si>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Eszközbeszerzés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</si>
  <si>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</si>
  <si>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</si>
  <si>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</si>
  <si>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</si>
  <si>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</si>
  <si>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</si>
  <si>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</si>
  <si>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</si>
  <si>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</si>
  <si>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</si>
  <si>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</si>
  <si>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</si>
  <si>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</si>
  <si>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</si>
  <si>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</si>
  <si>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</si>
  <si>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</si>
  <si>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</si>
  <si>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</si>
  <si>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</si>
  <si>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</si>
  <si>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</si>
  <si>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</si>
  <si>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</si>
  <si>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</si>
  <si>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</si>
  <si>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</si>
  <si>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</si>
  <si>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</si>
  <si>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</si>
  <si>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</si>
  <si>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</si>
  <si>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</si>
  <si>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</si>
  <si>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</si>
  <si>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</si>
  <si>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</si>
  <si>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</si>
  <si>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</si>
  <si>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</si>
  <si>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</si>
  <si>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</si>
  <si>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</si>
  <si>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</si>
  <si>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</si>
  <si>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</si>
  <si>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</si>
  <si>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</si>
  <si>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</si>
  <si>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</si>
  <si>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</si>
  <si>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</si>
  <si>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</si>
  <si>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</si>
  <si>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</si>
  <si>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</si>
  <si>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</si>
  <si>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</si>
  <si>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</si>
  <si>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</si>
  <si>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</si>
  <si>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</si>
  <si>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</si>
  <si>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</si>
  <si>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</si>
  <si>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</si>
  <si>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</si>
  <si>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</si>
  <si>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</si>
  <si>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</si>
  <si>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</si>
  <si>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</si>
  <si>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</si>
  <si>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</si>
  <si>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</si>
  <si>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</si>
  <si>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</si>
  <si>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</si>
  <si>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</si>
  <si>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</si>
  <si>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</si>
  <si>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</si>
  <si>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</si>
  <si>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</si>
  <si>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</si>
  <si>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</si>
  <si>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</si>
  <si>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</si>
  <si>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</si>
  <si>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</si>
  <si>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</si>
  <si>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</si>
  <si>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</si>
  <si>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</si>
  <si>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</si>
  <si>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</si>
  <si>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</si>
  <si>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</si>
  <si>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</si>
  <si>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</si>
  <si>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</si>
  <si>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</si>
  <si>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</si>
  <si>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</si>
  <si>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</si>
  <si>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</si>
  <si>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</si>
  <si>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</si>
  <si>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</si>
  <si>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</si>
  <si>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</si>
  <si>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</si>
  <si>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</si>
  <si>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</si>
  <si>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</si>
  <si>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</si>
  <si>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</si>
  <si>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</si>
  <si>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</si>
  <si>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</si>
  <si>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</si>
  <si>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</si>
  <si>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</si>
  <si>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Takarítónő, mosónő</t>
  </si>
  <si>
    <t>GAMESZ összesen:</t>
  </si>
  <si>
    <t xml:space="preserve">Teréz Anya Szociális Integrált Intézmény**  </t>
  </si>
  <si>
    <t>Nappali szociális ellátás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</si>
  <si>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</si>
  <si>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</si>
  <si>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</si>
  <si>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</si>
  <si>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</si>
  <si>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</si>
  <si>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</si>
  <si>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</si>
  <si>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</si>
  <si>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</si>
  <si>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</si>
  <si>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</si>
  <si>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</si>
  <si>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</si>
  <si>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</si>
  <si>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</si>
  <si>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</si>
  <si>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</si>
  <si>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</si>
  <si>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</si>
  <si>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</si>
  <si>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</si>
  <si>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</si>
  <si>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</si>
  <si>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</si>
  <si>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</si>
  <si>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</si>
  <si>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</si>
  <si>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</si>
  <si>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</si>
  <si>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</si>
  <si>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</si>
  <si>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</si>
  <si>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</si>
  <si>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</si>
  <si>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</si>
  <si>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</si>
  <si>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</si>
  <si>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</si>
  <si>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</si>
  <si>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</si>
  <si>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</si>
  <si>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</si>
  <si>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</si>
  <si>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</si>
  <si>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</si>
  <si>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</si>
  <si>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</si>
  <si>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</si>
  <si>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</si>
  <si>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</si>
  <si>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</si>
  <si>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</si>
  <si>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</si>
  <si>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</si>
  <si>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</si>
  <si>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PMK/22-3/2012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</si>
  <si>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</si>
  <si>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</si>
  <si>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</si>
  <si>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</si>
  <si>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</si>
  <si>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</si>
  <si>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</si>
  <si>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</si>
  <si>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</si>
  <si>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</si>
  <si>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</si>
  <si>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</si>
  <si>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</si>
  <si>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</si>
  <si>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</si>
  <si>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Webmark Europe Kft - honlapok(3db) üzemeltetése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</si>
  <si>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</si>
  <si>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</si>
  <si>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</si>
  <si>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</si>
  <si>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</si>
  <si>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</si>
  <si>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</si>
  <si>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</si>
  <si>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</si>
  <si>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</si>
  <si>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</si>
  <si>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</si>
  <si>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</si>
  <si>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NetStandard Informatikai Kft - szerver üzemeltetés (hevizairport.hu)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</si>
  <si>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</si>
  <si>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</si>
  <si>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</si>
  <si>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</si>
  <si>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</si>
  <si>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</si>
  <si>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</si>
  <si>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</si>
  <si>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</si>
  <si>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</si>
  <si>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</si>
  <si>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</si>
  <si>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</si>
  <si>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</si>
  <si>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</si>
  <si>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</si>
  <si>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</si>
  <si>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</si>
  <si>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</si>
  <si>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</si>
  <si>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</si>
  <si>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</si>
  <si>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</si>
  <si>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</si>
  <si>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</si>
  <si>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</si>
  <si>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</si>
  <si>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</si>
  <si>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</si>
  <si>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</si>
  <si>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</si>
  <si>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</si>
  <si>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</si>
  <si>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</si>
  <si>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</si>
  <si>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</si>
  <si>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</si>
  <si>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</si>
  <si>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</si>
  <si>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</si>
  <si>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</si>
  <si>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</si>
  <si>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</si>
  <si>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</si>
  <si>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</si>
  <si>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</si>
  <si>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</si>
  <si>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</si>
  <si>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</si>
  <si>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</si>
  <si>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</si>
  <si>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</si>
  <si>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</si>
  <si>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</si>
  <si>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</si>
  <si>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</si>
  <si>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</si>
  <si>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</si>
  <si>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</si>
  <si>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</si>
  <si>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</si>
  <si>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</si>
  <si>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</si>
  <si>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</si>
  <si>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</si>
  <si>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</si>
  <si>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</si>
  <si>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</si>
  <si>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</si>
  <si>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</si>
  <si>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</si>
  <si>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</si>
  <si>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</si>
  <si>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</si>
  <si>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</si>
  <si>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</si>
  <si>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</si>
  <si>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</si>
  <si>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</si>
  <si>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</si>
  <si>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</si>
  <si>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</si>
  <si>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</si>
  <si>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</si>
  <si>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</si>
  <si>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</si>
  <si>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</si>
  <si>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</si>
  <si>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</si>
  <si>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</si>
  <si>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</si>
  <si>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</si>
  <si>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</si>
  <si>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</si>
  <si>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</si>
  <si>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</si>
  <si>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</si>
  <si>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</si>
  <si>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</si>
  <si>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</si>
  <si>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</si>
  <si>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</si>
  <si>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</si>
  <si>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</si>
  <si>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</si>
  <si>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</si>
  <si>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</si>
  <si>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</si>
  <si>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</si>
  <si>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</si>
  <si>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</si>
  <si>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</si>
  <si>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</si>
  <si>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</si>
  <si>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</si>
  <si>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</si>
  <si>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</si>
  <si>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</si>
  <si>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</si>
  <si>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</si>
  <si>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</si>
  <si>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</si>
  <si>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</si>
  <si>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</si>
  <si>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</si>
  <si>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</si>
  <si>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</si>
  <si>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</si>
  <si>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</si>
  <si>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</si>
  <si>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</si>
  <si>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</si>
  <si>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</si>
  <si>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</si>
  <si>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</si>
  <si>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</si>
  <si>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</si>
  <si>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</si>
  <si>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</si>
  <si>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</si>
  <si>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</si>
  <si>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</si>
  <si>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</si>
  <si>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</si>
  <si>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</si>
  <si>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</si>
  <si>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</si>
  <si>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</si>
  <si>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</si>
  <si>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</si>
  <si>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</si>
  <si>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</si>
  <si>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</si>
  <si>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</si>
  <si>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</si>
  <si>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</si>
  <si>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</si>
  <si>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</si>
  <si>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</si>
  <si>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</si>
  <si>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</si>
  <si>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</si>
  <si>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</si>
  <si>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</si>
  <si>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</si>
  <si>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</si>
  <si>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</si>
  <si>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</si>
  <si>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</si>
  <si>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</si>
  <si>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</si>
  <si>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</si>
  <si>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</si>
  <si>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</si>
  <si>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</si>
  <si>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</si>
  <si>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</si>
  <si>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</si>
  <si>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</si>
  <si>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</si>
  <si>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</si>
  <si>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</si>
  <si>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</si>
  <si>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</si>
  <si>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</si>
  <si>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</si>
  <si>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</si>
  <si>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</si>
  <si>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</si>
  <si>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</si>
  <si>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</si>
  <si>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</si>
  <si>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</si>
  <si>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</si>
  <si>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</si>
  <si>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</si>
  <si>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</si>
  <si>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</si>
  <si>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</si>
  <si>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</si>
  <si>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</si>
  <si>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</si>
  <si>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</si>
  <si>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</si>
  <si>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</si>
  <si>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</si>
  <si>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</si>
  <si>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</si>
  <si>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</si>
  <si>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</si>
  <si>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</si>
  <si>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</si>
  <si>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</si>
  <si>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</si>
  <si>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</si>
  <si>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</si>
  <si>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</si>
  <si>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</si>
  <si>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</si>
  <si>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</si>
  <si>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>505102 Nemzetközi kapcsolatok</t>
  </si>
  <si>
    <t>505102 Nagyköveti program</t>
  </si>
  <si>
    <t>505202 Forrás újság</t>
  </si>
  <si>
    <t>505401 Parkolási tevékenység</t>
  </si>
  <si>
    <t xml:space="preserve"> 505402  HeBi üzemeltetés</t>
  </si>
  <si>
    <t xml:space="preserve">505601 Nyári napközi 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</si>
  <si>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</si>
  <si>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</si>
  <si>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</si>
  <si>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</si>
  <si>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502206 Buszpályaudvar áttelepítése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</si>
  <si>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</si>
  <si>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</si>
  <si>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</si>
  <si>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</si>
  <si>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</si>
  <si>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</si>
  <si>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</si>
  <si>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 xml:space="preserve">Informatikai eszközök beszerzése 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</si>
  <si>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</si>
  <si>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</si>
  <si>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</si>
  <si>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</si>
  <si>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</si>
  <si>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</si>
  <si>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</si>
  <si>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</si>
  <si>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</si>
  <si>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</si>
  <si>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</si>
  <si>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</si>
  <si>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</si>
  <si>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</si>
  <si>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</si>
  <si>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</si>
  <si>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</si>
  <si>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</si>
  <si>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</si>
  <si>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</si>
  <si>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</si>
  <si>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</si>
  <si>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</si>
  <si>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</si>
  <si>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</si>
  <si>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</si>
  <si>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</si>
  <si>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</si>
  <si>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</si>
  <si>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2018. évi költségvetési rendelet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</si>
  <si>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</si>
  <si>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</si>
  <si>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</si>
  <si>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</si>
  <si>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</si>
  <si>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Számítástechnika váratlan meghibásodása miatti beszerzés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</si>
  <si>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</si>
  <si>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</si>
  <si>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</si>
  <si>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</si>
  <si>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</si>
  <si>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</si>
  <si>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</si>
  <si>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</si>
  <si>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</si>
  <si>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</si>
  <si>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</si>
  <si>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</si>
  <si>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</si>
  <si>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</si>
  <si>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</si>
  <si>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</si>
  <si>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Buszpályaudvar enged.és kiviteli terv (+ láp terület hatástanulmány 6.000 e Ft)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</si>
  <si>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</si>
  <si>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</si>
  <si>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</si>
  <si>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</si>
  <si>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t>a költségvetési évet követő három évre kihatással járó döntésekből származó kötelezettségek célok szerint, évenkénti bontásban</t>
  </si>
  <si>
    <t>2021.</t>
  </si>
  <si>
    <t>SZO/465-2/2016</t>
  </si>
  <si>
    <t xml:space="preserve">Karsád György János EV </t>
  </si>
  <si>
    <t>Cserna-Szabó András - Hévíz Folyóirat főszerkesztői  feladatok ellátása</t>
  </si>
  <si>
    <t>Fehér Renátó - Héviz Folyóirat szerkesztői feladatok ellátásaSzálinger Balázs - Hévíz Folyóirat főszerkesztői feladatok ellátása</t>
  </si>
  <si>
    <t>PMK/13-2/2017</t>
  </si>
  <si>
    <t>2017.02.25+3év</t>
  </si>
  <si>
    <t>PMK/14-2/2017</t>
  </si>
  <si>
    <t>PMK/14-1/2017</t>
  </si>
  <si>
    <t>SZO/492-1/2017</t>
  </si>
  <si>
    <t>Lukács Péter Dániel - városi rendezvényekről sajtó fotó készités</t>
  </si>
  <si>
    <t>…./2017. 07.12.</t>
  </si>
  <si>
    <t>ZNET Telekom Zrt - internet szolg. (Rózsakert)</t>
  </si>
  <si>
    <t>KGO/217-14/2017</t>
  </si>
  <si>
    <t>CIB Bank Zrt - Önk.Infr.Fejl.Program 2020 - hitel</t>
  </si>
  <si>
    <t>SZO/4-13/2017</t>
  </si>
  <si>
    <t>Dr. Farkas Ügyvédi Iroda</t>
  </si>
  <si>
    <t>KGO/208-1/2017</t>
  </si>
  <si>
    <t>EMoGÁ Kft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</si>
  <si>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</si>
  <si>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Nemzeti Választási Iroda</t>
  </si>
  <si>
    <t>64.</t>
  </si>
  <si>
    <t>65.</t>
  </si>
  <si>
    <t>Szociális és Gyermekvédelmi Főigazgatóság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</si>
  <si>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</si>
  <si>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</si>
  <si>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</si>
  <si>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</si>
  <si>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</si>
  <si>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</si>
  <si>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</si>
  <si>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</si>
  <si>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</si>
  <si>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</si>
  <si>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</si>
  <si>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</si>
  <si>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</si>
  <si>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</si>
  <si>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</si>
  <si>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</si>
  <si>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</si>
  <si>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</si>
  <si>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</si>
  <si>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</si>
  <si>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</si>
  <si>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</si>
  <si>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</si>
  <si>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</si>
  <si>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</si>
  <si>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</si>
  <si>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</si>
  <si>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</si>
  <si>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</si>
  <si>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</si>
  <si>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</si>
  <si>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</si>
  <si>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</si>
  <si>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</si>
  <si>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</si>
  <si>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</si>
  <si>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</si>
  <si>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</si>
  <si>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</si>
  <si>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</si>
  <si>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</si>
  <si>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>Hévíz Toutist Nkft. részedés értékesítés</t>
  </si>
  <si>
    <t>"YOUTH &amp; SPA projekt támogatás átadása Iseo Város Önk.részére</t>
  </si>
  <si>
    <t>"YOUTH &amp; SPA projekt támogatás átadása Hargita Megye Tanácsa részére</t>
  </si>
  <si>
    <t>"YOUTH &amp; SPA projekt támogatás átadása Magyarkanizsa önkormányzata (Szerbia) részére</t>
  </si>
  <si>
    <t>"YOUTH &amp; SPA projekt támogatás átadása Népi Egyetem, Felnőttek és Fiatalok Továbbképző Intézete Lendva részére</t>
  </si>
  <si>
    <t>502223 Zrínyi u. belter. rekonstrukció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</si>
  <si>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</si>
  <si>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</si>
  <si>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</si>
  <si>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</si>
  <si>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</si>
  <si>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</si>
  <si>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</si>
  <si>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 xml:space="preserve">2019. évi Pénzügyi mérleg </t>
  </si>
  <si>
    <t xml:space="preserve">2019. évi előirányzat </t>
  </si>
  <si>
    <t>2019. évi  engedélyezett létszámkeret</t>
  </si>
  <si>
    <t xml:space="preserve">Tárgyi eszköz beszerzés </t>
  </si>
  <si>
    <t>Tárgyi eszközök (fénymásoló és játszótéri eszközök)</t>
  </si>
  <si>
    <t>2019. évi pénzügyi mérleg</t>
  </si>
  <si>
    <t>505502 Város és közs.gazd. (csapadékvíz mentesítés, karbantartás)</t>
  </si>
  <si>
    <t>Visszatérítendő felhalmozási kölcsön nyújtása</t>
  </si>
  <si>
    <t xml:space="preserve">2019. évi bevételi előirányzat </t>
  </si>
  <si>
    <t>2019. évi költségvetés felhalmozási bevételek</t>
  </si>
  <si>
    <t>2019. évi egyéb működési célú támogatások ÁHT-én beülre és  és működési támogatások ÁHT-n kívülre</t>
  </si>
  <si>
    <t xml:space="preserve">2019.  évi működési célú és egyéb kiadások feladatonként </t>
  </si>
  <si>
    <t xml:space="preserve">2019. évi felhalmozási pénzügyi mérleg </t>
  </si>
  <si>
    <t xml:space="preserve">2019. évi pénzügyi mérleg </t>
  </si>
  <si>
    <t xml:space="preserve">2019. évi működési pénzügyi mérleg </t>
  </si>
  <si>
    <t>2019. évi közhatalmi bevételek</t>
  </si>
  <si>
    <t xml:space="preserve">2019. évi bevételi terv  </t>
  </si>
  <si>
    <t>Mérték  (2019. évi január 1. napjától)</t>
  </si>
  <si>
    <t>515,- Ft/fő/éjszaka</t>
  </si>
  <si>
    <t>2019. évi költségvetés</t>
  </si>
  <si>
    <t>2019. évi felhalmozási kiadásai</t>
  </si>
  <si>
    <t>2019. évi költségvetési rendelet</t>
  </si>
  <si>
    <t xml:space="preserve">2019. évi pénzügyi mérlege </t>
  </si>
  <si>
    <t xml:space="preserve">2019.  évi előirányzat </t>
  </si>
  <si>
    <t>Egyéb szálláshelyek 2019. évi minőségfejlesztési támogatása (2018. évben pénzügyileg teljesítve)</t>
  </si>
  <si>
    <t xml:space="preserve">                                                                        2019. évi bérkompenzáció</t>
  </si>
  <si>
    <t xml:space="preserve">Költségvetési  szerveknél foglalkoztatottak 2018. dec. bérkompenzációja </t>
  </si>
  <si>
    <r>
      <t>Hévíz, Széchenyi utcai zártárok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</si>
  <si>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>505804 YOUTH &amp; SPA projekt</t>
  </si>
  <si>
    <r>
      <rPr>
        <b/>
        <sz val="9"/>
        <rFont val="Times New Roman"/>
        <family val="1"/>
        <charset val="238"/>
      </rPr>
      <t>2019.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</si>
  <si>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KEKKH 2018. 01.01-re vomnatkozó adata: 4747 fő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</si>
  <si>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</si>
  <si>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</si>
  <si>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</si>
  <si>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5. Költségvetési szerveknél fogélalkoztatottak 2018. évi áthúzódó és 2019. évi kompenzációja</t>
  </si>
  <si>
    <t xml:space="preserve"> Évközi MÁK által megállapított összegű folyósítás</t>
  </si>
  <si>
    <t>I. pont szerinti támogatás beszámítás nélkül:</t>
  </si>
  <si>
    <t>Beszámítás: 2017. évi IPA alap szerint</t>
  </si>
  <si>
    <t xml:space="preserve"> II.2. (2) 1 óvodaműködtetési támogatás 4 hó (gyermekek nevelése a napi 8 órát eléri vagy meghaladja)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</si>
  <si>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2018. jan. 1-i átsorolással szerezték meg</t>
  </si>
  <si>
    <t xml:space="preserve">    II.4.a (2).  Alapfokozatú végzettségű óvodapedagógus, pedagógus szakképzettséggel rendelkező segítők - pedagógus II. kategóriába sorolt ov.ped., pedagógus szakképzettséggel rendelkező segítők kiegészítő támogatása, akik a minősítést  2019. január 1-i átsorolással szerezték</t>
  </si>
  <si>
    <t>II. 5. Nemzetiségi pótlék</t>
  </si>
  <si>
    <t>III.1. Szociális ágazati összevont pótlék és egészségügyi kiegészítő pótlék</t>
  </si>
  <si>
    <t>III. 2. Települési önkormányzatok szociális feladatok egyéb támogatása 35.000 Ft/fő alatti adóerőképesség esetén differenciáltan jár</t>
  </si>
  <si>
    <t xml:space="preserve">   III. 3. aac) Számított alaplétszám korrekciója (4 -nél kevesebb településből álló közös hivatal esetében és  minden más önkormányzat:1)</t>
  </si>
  <si>
    <t xml:space="preserve"> III. 3. c). Szociális étkeztetés</t>
  </si>
  <si>
    <t xml:space="preserve"> III. 3. d) Házi segítségnyújtás  </t>
  </si>
  <si>
    <t xml:space="preserve"> III. 3. f) Időskorúak nappali intézményi  ellátása</t>
  </si>
  <si>
    <t xml:space="preserve"> III. 3. o) Kiegészítő fajlagos összegek</t>
  </si>
  <si>
    <t xml:space="preserve">       III. 3. oa) Kiegészítő fajlagos összegek a Család- és gyermekjóléti szolgálat fa ellátáshoz</t>
  </si>
  <si>
    <t xml:space="preserve">       III. 3.ob) Kiegészítő fajlagos összegek a házisegítségnyújtás -személyi gondozás fa ellátáshoz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</si>
  <si>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</si>
  <si>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</si>
  <si>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  III. 4. c)  kiegészítő fajlagos támogatás az a) alpont támogatásához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</si>
  <si>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</si>
  <si>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</si>
  <si>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</si>
  <si>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</si>
  <si>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</si>
  <si>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 xml:space="preserve">  III. 6. Bölcsőde, mini bölcsőde támogatása</t>
  </si>
  <si>
    <t xml:space="preserve">      III.6.a) Finanszírozás szempontjából elismert szakmai dolgozók bértámogatása</t>
  </si>
  <si>
    <t xml:space="preserve">      III.6.b) Bölcsődei üzemeltetési támogatás (Miniszterek döntése alapján a települések típusát és adóerőképességét figy-be véve)</t>
  </si>
  <si>
    <t>I-V. mindösszesen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</si>
  <si>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1820/2017(XI.8.) korm. határozat</t>
    </r>
  </si>
  <si>
    <t>2019. évi terv</t>
  </si>
  <si>
    <t>HEBI állomás áthelyezése a helyi járati autóbusz pu-hoz</t>
  </si>
  <si>
    <t>Jogi viták miatti tartalék</t>
  </si>
  <si>
    <t xml:space="preserve">  Keszthely adó- átadás</t>
  </si>
  <si>
    <t xml:space="preserve">  Alsópáhok adó-átadás</t>
  </si>
  <si>
    <t xml:space="preserve">Felhalmozási hiány finanszírozása működési többlet terhére </t>
  </si>
  <si>
    <t>Turisztikailag frekventált térségek integrált termék és szolgáltatás fejlesztése - Gyógyhely GINOP-7.1.9-16-2017-00004</t>
  </si>
  <si>
    <t xml:space="preserve">Helyi önkormányzatok általános működésének és ágazati feladatainak  2019. évi  támogatása </t>
  </si>
  <si>
    <t xml:space="preserve">      I.1.f. beszámítás</t>
  </si>
  <si>
    <t xml:space="preserve">    I.1.ba) -  I.1.f. zöldterület gazdálkodással kapcsolatos feladatok ellátásának támogatása  beszámítás után</t>
  </si>
  <si>
    <t xml:space="preserve">     I.1.bb) -  I.1.f. közvilágítás fenntartásának támogatása beszámítás után </t>
  </si>
  <si>
    <t xml:space="preserve">      I.1.bc) - I.1.f. köztemető fenntartással kapcsolatos feladatok támogatása beszámítás után </t>
  </si>
  <si>
    <t xml:space="preserve">       I.1.bd) - I.1.f. közutak fenntartásának támogatása beszámítás után </t>
  </si>
  <si>
    <t xml:space="preserve">    I.1.f. beszámítás</t>
  </si>
  <si>
    <t xml:space="preserve">     I.1.c) - I.1.f. egyéb önkormányzati feladatok támogatása beszámítás után</t>
  </si>
  <si>
    <t xml:space="preserve">     I.1.f. beszámítás </t>
  </si>
  <si>
    <t xml:space="preserve">     I.1.d) - I.1.f. lakott külterülettel kapcsolatos feladatok támogatása beszámítás után</t>
  </si>
  <si>
    <t xml:space="preserve">    I.1.e) - I.1.f. üdülőhelyi feladatok támogatás beszámítás után</t>
  </si>
  <si>
    <t xml:space="preserve">Beszámítás korrigált összege: </t>
  </si>
  <si>
    <t>124+2*2+2*3=134 fő</t>
  </si>
  <si>
    <t>128+2*2+0*3=132 fő</t>
  </si>
  <si>
    <r>
      <t xml:space="preserve">   </t>
    </r>
    <r>
      <rPr>
        <sz val="9"/>
        <rFont val="Times New Roman"/>
        <family val="1"/>
        <charset val="238"/>
      </rPr>
      <t xml:space="preserve">III. 3. aaa) Számított alaplétszám </t>
    </r>
  </si>
  <si>
    <t xml:space="preserve">   III. 4. a) Finanszírozás szempontjából elismert szakmai dolgozók bértámogatása                                              [45+(12 demens*1,2) ]/4=14,85 ~ 15,00</t>
  </si>
  <si>
    <t>567 fő</t>
  </si>
  <si>
    <t>még nem ismert</t>
  </si>
  <si>
    <r>
      <rPr>
        <sz val="9"/>
        <rFont val="Times New Roman"/>
        <family val="1"/>
        <charset val="238"/>
      </rPr>
      <t xml:space="preserve">V. Szolidaritási hozzájárulás: (126.242.802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732.182.630)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(66062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55001)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(115000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55001)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>= 0</t>
    </r>
  </si>
  <si>
    <t xml:space="preserve"> Járdaseprő gép </t>
  </si>
  <si>
    <t>"Európa a polgárokért " projekt társpályázóinak támogatás átadás (Belgrád, Foster, Hargita,  Lendva)</t>
  </si>
  <si>
    <r>
      <t xml:space="preserve">Széchenyi utca zárt árok  csapadékvíz elvezetés kialakítása </t>
    </r>
    <r>
      <rPr>
        <b/>
        <sz val="8"/>
        <color rgb="FF0070C0"/>
        <rFont val="Times New Roman"/>
        <family val="1"/>
        <charset val="238"/>
      </rPr>
      <t>(Kormányzati döntés alapján! 2019. évben 66.039 e Ft)</t>
    </r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</si>
  <si>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  <r>
      <rPr>
        <b/>
        <sz val="7"/>
        <color rgb="FF0070C0"/>
        <rFont val="Times New Roman"/>
        <family val="1"/>
        <charset val="238"/>
      </rPr>
      <t>(Kormányzati döntés! 2019-ben 16.699 e Ft)</t>
    </r>
  </si>
  <si>
    <t>HÉSZ módosítás</t>
  </si>
  <si>
    <t>1/1.</t>
  </si>
  <si>
    <t>1/2.</t>
  </si>
  <si>
    <t>6/1.</t>
  </si>
  <si>
    <t>6/2.</t>
  </si>
  <si>
    <t>505801"Európa a polgárokért"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</si>
  <si>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</si>
  <si>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</si>
  <si>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r>
      <t>I.1.f) beszámítás, kiegészítés:  Beszámítás szerinti támogatás csökkentés összesen: = (22.399.747.651*0,55/100)*[105+(66.062-42.001)/(110.000-42.001)*(120-105)]/100=</t>
    </r>
    <r>
      <rPr>
        <b/>
        <sz val="9"/>
        <rFont val="Times New Roman"/>
        <family val="1"/>
        <charset val="238"/>
      </rPr>
      <t>135.897.496 Ft</t>
    </r>
  </si>
  <si>
    <r>
      <t xml:space="preserve">g) teljesítési adatokhoz kapcsolódó korrekciós támogatás (őnkorányzatokért felelős miniszter és az államháztartásért felelős miniszter döntése alapján a beszámítás összegét csökkentő támogatás) </t>
    </r>
    <r>
      <rPr>
        <b/>
        <sz val="9"/>
        <rFont val="Times New Roman"/>
        <family val="1"/>
        <charset val="238"/>
      </rPr>
      <t>9.654.694 Ft</t>
    </r>
  </si>
  <si>
    <t>Hitelállomány 2019. 01. 01. napján</t>
  </si>
  <si>
    <t>Hévíz Balaton Airport Kft (működési és marketing tevékenység)</t>
  </si>
  <si>
    <t>Városi könyvkiadás támogatása</t>
  </si>
  <si>
    <t>Hévíz Város Turisztikai honlpajának fejlesztése</t>
  </si>
  <si>
    <t>2022.</t>
  </si>
  <si>
    <t xml:space="preserve">  .../201. (……..) önkormányzati rendelet 5. melléklete</t>
  </si>
  <si>
    <t xml:space="preserve">előirányzat felhasználási ütemterv a 2019. évi  költségvetési rendelethez </t>
  </si>
  <si>
    <t>2020.</t>
  </si>
  <si>
    <t>MTÜ Kisfaludy2030 Turisztikai Fejlesztő N.Zrt  „Hévíz-Balaton Airport Előzetes Megvalósíthatósági Tanulmány és visszaigényelhető áfa</t>
  </si>
  <si>
    <t>510000 „Hévíz-Balaton Airport Előzetes Megvalósíthatósági Tanulmány+áfa</t>
  </si>
  <si>
    <t xml:space="preserve">6/2019. (II. 1.) önkormányzati rendelet 1/3. melléklete  </t>
  </si>
  <si>
    <t>6/2019. (II. 1.) önkormányzati rendelet 2/4. melléklete</t>
  </si>
  <si>
    <t>6/2019. (II. 1.) önkormányzati rendelet 4. melléklete</t>
  </si>
  <si>
    <t>6/2019. (II. 1.) önkormányzati rendelet 6. melléklete</t>
  </si>
  <si>
    <t xml:space="preserve">  6/2019. (II. 1.) önkormányzati rendelet 8. melléklete </t>
  </si>
  <si>
    <t>Idősek bentlakásos ellátása</t>
  </si>
  <si>
    <t>Családi- és nővédelmi egészségügyi gondozás (védőnők)</t>
  </si>
  <si>
    <t>Bölcsődei  dajkák 2 fő  és kisegítő 1 fő</t>
  </si>
  <si>
    <t>Bölcsőde:                                                                bölcsődevezető, kisgyermeknevelő1 fő,  valamint  kisgyermeknevelő 4 fő</t>
  </si>
  <si>
    <t>Bölcsődei gyógypedagógiai asszisztens (4 órás)</t>
  </si>
  <si>
    <t>Háziorvosi ügyeleti ellátás: ügyeleti koordinátor 1 fő, gkvezető 3 fő, takaritó 1 fő</t>
  </si>
  <si>
    <t>Házi segítségnyújtás (vezető 1 fő és gondozó 7 fő)</t>
  </si>
  <si>
    <t>Takarítónő orvosi rendelő</t>
  </si>
  <si>
    <t>TASZII</t>
  </si>
  <si>
    <t>Önkormányzat és intézményei által biztosított közvetett támogatás</t>
  </si>
  <si>
    <t>Önkormányzat:</t>
  </si>
  <si>
    <t>Idősek szakosított ellátása esetében méltányossági okból biztosítottközvetett támogatás</t>
  </si>
  <si>
    <t>Szociális étkezés esetében  méltányossági okból biztosított közvetett támogatás</t>
  </si>
  <si>
    <t>TASZII összesen:</t>
  </si>
  <si>
    <t xml:space="preserve"> Önkormányzatnál biztosított közvetett támogatás összes</t>
  </si>
  <si>
    <t>Önkormányzat és intézményei összesen:</t>
  </si>
  <si>
    <t>Az adózás rendjéről szóló 2017. évi CL. tv. figyelembe vételével méltányosságból származó kedvezmény</t>
  </si>
  <si>
    <t>Emberi Erőforrások Támogatáskezelő</t>
  </si>
  <si>
    <t>Központi kezelésű előirányzatok:</t>
  </si>
  <si>
    <t>Egyéb fejezeti kezelésű előirányzatok</t>
  </si>
  <si>
    <t>66.</t>
  </si>
  <si>
    <t>67.</t>
  </si>
  <si>
    <t>68.</t>
  </si>
  <si>
    <t>Fejezeti kezelésű előirányzatok:</t>
  </si>
  <si>
    <t>Szántó András ev. (Dr. Szántó Endre: "Hévíz története" III-IV. kötet)</t>
  </si>
  <si>
    <t>Dr. Szarka Lajos: Hévíz Beadeker</t>
  </si>
  <si>
    <t>"Hévíz - Balaton  Airport Elezete Tanulmány</t>
  </si>
  <si>
    <t>9/1.</t>
  </si>
  <si>
    <t>9/2.</t>
  </si>
  <si>
    <t>" Hévíz - Balaton Airport légi járműmozgási területén repülőtéri burkolati jelekújrafestése"</t>
  </si>
  <si>
    <t>Hévíz, 1088/6. hrsz-ú, 2140 m2 "kivett parkoló" vásárlása Aquamarin Kft-től</t>
  </si>
  <si>
    <t>Egyéb tárgyi eszköz</t>
  </si>
  <si>
    <t xml:space="preserve">5 db Metal pavilon </t>
  </si>
  <si>
    <t xml:space="preserve">Egyéb tárgyi eszköz </t>
  </si>
  <si>
    <t>502225 "Zala két keréken" TOP-3.1.1-15-ZA-2016-00005</t>
  </si>
  <si>
    <t>502231 "Kisfaludy 2030" reptér pályázat</t>
  </si>
  <si>
    <t xml:space="preserve">502222 Városi térfigyelő kamerarendszer </t>
  </si>
  <si>
    <t>Működési többlet felhasználása felhalmozási hiány fedezésére</t>
  </si>
  <si>
    <t>Hévízi Kálvin Alapítvány</t>
  </si>
  <si>
    <r>
      <rPr>
        <u/>
        <sz val="12"/>
        <rFont val="Times New Roman"/>
        <family val="1"/>
        <charset val="238"/>
      </rPr>
      <t>Iparűzési adó:</t>
    </r>
    <r>
      <rPr>
        <sz val="12"/>
        <rFont val="Times New Roman"/>
        <family val="1"/>
        <charset val="238"/>
      </rPr>
      <t xml:space="preserve">    25% adókedvezmény azon vállalkozók részére, akik vállalkozási szintű adóalapja nem haladja meg a 2.500 e forintot,                                  </t>
    </r>
  </si>
  <si>
    <t xml:space="preserve">valamint adómentesség azon háziorvos, védőnő vállalkozók részére akik vállalkozási szintű adóalapja adóévben a 20.000 ezer forintot nem haladja meg </t>
  </si>
  <si>
    <r>
      <rPr>
        <u/>
        <sz val="11"/>
        <rFont val="Times New Roman"/>
        <family val="1"/>
        <charset val="238"/>
      </rPr>
      <t>Építményadó:</t>
    </r>
    <r>
      <rPr>
        <sz val="11"/>
        <rFont val="Times New Roman"/>
        <family val="1"/>
        <charset val="238"/>
      </rPr>
      <t xml:space="preserve"> 100 % adókedvezmény azon lakás és lakáshoz tartozó rendeltetésszerűen használt gépjárműtároló tulajdonosok részére, akik tárgyév január 1. napján az adott ingatlanban lakóhellyel rendelkeznek 3.157 adótárgy, 280.175 m2-re vonatkozóan</t>
    </r>
  </si>
  <si>
    <t xml:space="preserve">18. melléklet a 12/2019. (IV. 25.) rendelethez, 7. melléklet 6/2019. (II. 1.) önkormányzati rendelethez  </t>
  </si>
  <si>
    <t xml:space="preserve"> 18. melléklet a ../2019. (…..) rendelethez, 5. melléklet 6/2019. (II. 1.) önkormányzati rendelethez  </t>
  </si>
  <si>
    <t>"Hévíz Kisfaludy 2030 Balaton Airport"Előzetes megvalósíthatósági tanulmány és visszaigényelhető Áfa</t>
  </si>
  <si>
    <t>Régi járdaseprő gép értékesítés</t>
  </si>
  <si>
    <t>"Zala két keréken"</t>
  </si>
  <si>
    <t>Kisebbségekért - proMinoritate Alapítvány</t>
  </si>
  <si>
    <t>Rákóczi Szövetség</t>
  </si>
  <si>
    <t>Hévízgyógyfürdő és Szent András Reumakórház</t>
  </si>
  <si>
    <t>VÜZ Kft. Keszthely</t>
  </si>
  <si>
    <t>Működési célú támogatások államháztartáson kívülre összesen:</t>
  </si>
  <si>
    <t>2 db licence vásárlás</t>
  </si>
  <si>
    <t>Hévízi Illyés Gyula Általános  főbejárati lépcső felújítása</t>
  </si>
  <si>
    <t>MLSZ "Pályaépítési Program" keretében 2 db műfüves pálya felújítása</t>
  </si>
  <si>
    <t>Hévíz, Zrinyi u. 99-179. házszám közötti felújítás tervezése</t>
  </si>
  <si>
    <t>Hévíz, Kossuth L. u. 7. szám alatti 2 db önkormányzati tulajdonú ingatlan nyílászáró cseréje</t>
  </si>
  <si>
    <t>Gyógyhelyi főtér GINOP-7.19-17-2017-00003</t>
  </si>
  <si>
    <t>Kézilabda munkacsarnok infrastruktúra kialakítása (1455/8 hrsz ingatlan közművesítése)</t>
  </si>
  <si>
    <t xml:space="preserve">Hévízgyógyfürdő és Szent András Reumakórház kezelésében lévő Dr.Schulhof sétány fejlesztése GINOP-7.1.9-17. pályázat </t>
  </si>
  <si>
    <t>10/1.</t>
  </si>
  <si>
    <t>10/2.</t>
  </si>
  <si>
    <t>Hévíz Város Térfigyelő kamerarendszerének  + Eon tápellátás kiépítése II. ütem (14 db kamera, vezeték nélküli jelátviteli rendszer)</t>
  </si>
  <si>
    <t>PH 2. emeleti tárgyalói és irodai fal gyártása és beépítése</t>
  </si>
  <si>
    <t>Hosszúföldek Sportcentrum tereprendezés, ép. engedélyezési és kiviteli tervek</t>
  </si>
  <si>
    <t>IT eszközök beszerzése</t>
  </si>
  <si>
    <t>3</t>
  </si>
  <si>
    <t>"Hévíz Város és környezetének közösségi közlekedése" NYDOP-3.2.1/B-12-2013-0007 támogatás visszafizetés</t>
  </si>
  <si>
    <t>"Zala két keréken" TOP-3.1.1-15-ZA1-2016-00005 projelkt folyósított előlegének visszafizetése</t>
  </si>
  <si>
    <t>Védőoltás</t>
  </si>
  <si>
    <t>503311 Védőoltás</t>
  </si>
  <si>
    <t>505602 Szünidei gyermekétkeztetés</t>
  </si>
  <si>
    <t>502207 "Gyógyhelyi főtér" GINOP-7.1.9-17-2017-00003</t>
  </si>
  <si>
    <t>502230 Schullhof sétány GINOP-7.1.9-17 pályázat</t>
  </si>
  <si>
    <t>505301 Főépítészi feladatok ellátása</t>
  </si>
  <si>
    <t>505502 Város- és községgazdálkodás</t>
  </si>
  <si>
    <t>505805 Boldog Békeidők Hévize</t>
  </si>
  <si>
    <t>Szabó Lőrinc u. új útszakasz víz- és szennyvíz közmű kiépítése (műszaki ellenőr díja 1.000 e Ft)</t>
  </si>
  <si>
    <t>503301 Szociális célú tüzelőanyag, tüzifa</t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</si>
  <si>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(75.092 ezer Ft-hoz Kormányzati döntés alapján!)</t>
    </r>
  </si>
  <si>
    <t>503304 Gyógyszertámogatás</t>
  </si>
  <si>
    <t>503306 Lakhatási támogatás</t>
  </si>
  <si>
    <t>503402 Lakossági kölcsön kiadásai</t>
  </si>
  <si>
    <t xml:space="preserve">503401 Munkáltatói kölcsön kiadásai </t>
  </si>
  <si>
    <t>504201 Továbbszámlázások</t>
  </si>
  <si>
    <t>505101 Önkormány.jogalk.</t>
  </si>
  <si>
    <t>505302 Gyepmesteri és állatorvosi feladatok</t>
  </si>
  <si>
    <t>505201 Hévíz folyóirat</t>
  </si>
  <si>
    <t>505501 Közvilágítás</t>
  </si>
  <si>
    <t>505103 Reprezentáció</t>
  </si>
  <si>
    <t>503201 Működési célú pénzeszköz átadás</t>
  </si>
  <si>
    <t xml:space="preserve">502301 ASP rendszer bevezetése </t>
  </si>
  <si>
    <r>
      <t>502201 Széchenyi utca fejlesztése</t>
    </r>
    <r>
      <rPr>
        <b/>
        <sz val="7"/>
        <color rgb="FF0070C0"/>
        <rFont val="Times New Roman"/>
        <family val="1"/>
        <charset val="238"/>
      </rPr>
      <t xml:space="preserve"> (Kormányzati döntés alapján! 2019. évben 73.299 e Ft)</t>
    </r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</si>
  <si>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(Kormányzati döntés alapján! 2019. évben 206.676 e Ft)</t>
    </r>
  </si>
  <si>
    <t xml:space="preserve">1. melléklet a 24/2019. (VIII. 1.) rendelethez, 1. melléklet 6/2019. (II. 1.) önkormányzati rendelethez </t>
  </si>
  <si>
    <t xml:space="preserve">2. melléklet a 24/2019. (VIII. 1.) rendelethez, 1/1. melléklet 6/2019. (II. 1.) önkormányzati rendelethez </t>
  </si>
  <si>
    <t>3. melléklet a 24/2019. (VIII. 1.) rendelethez, 1/2. melléklet 6/2019. (II. 1.) önkormányzati rendelethez</t>
  </si>
  <si>
    <t xml:space="preserve">4. melléklet a 24/2019. (VIII. 1.) rendelethez, 1/4. melléklet 6/2019. (II. 1.) önkormányzati rendelethez </t>
  </si>
  <si>
    <t xml:space="preserve">5. melléklet a 24/2019. (VIII. 1.) rendelethez, 1/5. melléklet 6/2019. (II. 1.) önkormányzati rendelethez </t>
  </si>
  <si>
    <t xml:space="preserve">6. melléklet a 24/2019. (VIII. 1.) rendelethez, 1/6. melléklet 6/2019. (II. 1.) önkormányzati rendelethez </t>
  </si>
  <si>
    <t xml:space="preserve">7. melléklet a 24/2019. (VIII. 1.) rendelethez, 1/7. melléklet 6/2019. (II. 1.) önkormányzati rendelethez </t>
  </si>
  <si>
    <t xml:space="preserve">8. melléklet a 24/2019. (VIII. 1.) rendelethez, 1/8. melléklet 6/2019. (II. 1.) önkormányzati rendelethez </t>
  </si>
  <si>
    <t xml:space="preserve">9. melléklet a 24/2019. (VIII. 1.) rendelethez, 1/9. melléklet 6/2019. (II. 1.) önkormányzati rendelethez </t>
  </si>
  <si>
    <t xml:space="preserve">10. melléklet a 24/2019. (VIII. 1.) rendelethez, 2/1. melléklet 6/2019. (II. 1.) önkormányzati rendelethez </t>
  </si>
  <si>
    <t xml:space="preserve">11. melléklet a 24/2019. (VIII. 1.) rendelethez, 2/1/1. melléklet 6/2019. (II. 1.) önkormányzati rendelethez </t>
  </si>
  <si>
    <t xml:space="preserve">12. melléklet a 24/2019. (VIII. 1.) rendelethez, 2/2. melléklet 6/2019. (II. 1.) önkormányzati rendelethez </t>
  </si>
  <si>
    <t xml:space="preserve"> 13. melléklet a 24/2019. (VIII. 1.) rendelethez, 2/2. melléklet 6/2019. (II. 1.) önkormányzati rendelethez   </t>
  </si>
  <si>
    <t>14. melléklet a 24/2019. (VIII. 1.) rendelethez, 3/1. melléklet 6/2019. (II. 1.) önkormányzati rendelethez</t>
  </si>
  <si>
    <t xml:space="preserve">15. melléklet a 24/2019. (VIII. 1.) rendelethez, 3/2. melléklet 6/2019. (II. 1.) önkormányzati rendelethez </t>
  </si>
  <si>
    <t xml:space="preserve">16. melléklet a 24/2019. (VIII. 1.) rendelethez, 3/3. melléklet 6/2019. (II. 1.) önkormányzati rendelethez </t>
  </si>
  <si>
    <t xml:space="preserve">17. melléklet a 24/2019. (VIII. 1.) rendelethez, 3/4. melléklet 6/2019. (II. 1.) önkormányzati rendelethez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</si>
</sst>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6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rgb="FFFF339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9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511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49" fontId="28" fillId="0" borderId="0" xfId="78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28" fillId="0" borderId="0" xfId="78" applyNumberFormat="1" applyFont="1" applyBorder="1" applyAlignment="1">
      <alignment horizontal="center" vertical="center" wrapText="1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8" fillId="0" borderId="0" xfId="78" applyNumberFormat="1" applyFont="1" applyAlignment="1">
      <alignment horizontal="center" vertical="center" wrapText="1"/>
    </xf>
    <xf numFmtId="0" fontId="84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3" xfId="0" applyNumberFormat="1" applyFont="1" applyFill="1" applyBorder="1"/>
    <xf numFmtId="3" fontId="64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47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97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2" fillId="0" borderId="0" xfId="77" applyFont="1"/>
    <xf numFmtId="3" fontId="52" fillId="0" borderId="0" xfId="77" applyNumberFormat="1" applyFont="1"/>
    <xf numFmtId="3" fontId="52" fillId="0" borderId="0" xfId="77" applyNumberFormat="1" applyFont="1" applyAlignment="1">
      <alignment horizontal="right"/>
    </xf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100" fillId="0" borderId="0" xfId="72" applyFont="1" applyAlignment="1"/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8" fillId="0" borderId="0" xfId="72" applyNumberFormat="1" applyFont="1" applyAlignment="1"/>
    <xf numFmtId="0" fontId="98" fillId="0" borderId="0" xfId="72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Alignment="1"/>
    <xf numFmtId="14" fontId="98" fillId="0" borderId="0" xfId="72" applyNumberFormat="1" applyFont="1" applyAlignment="1">
      <alignment horizontal="right"/>
    </xf>
    <xf numFmtId="0" fontId="98" fillId="0" borderId="0" xfId="72" applyFont="1" applyBorder="1" applyAlignment="1">
      <alignment horizontal="left"/>
    </xf>
    <xf numFmtId="0" fontId="98" fillId="0" borderId="0" xfId="72" applyFont="1" applyBorder="1" applyAlignment="1">
      <alignment horizontal="left" wrapText="1"/>
    </xf>
    <xf numFmtId="14" fontId="98" fillId="0" borderId="0" xfId="72" applyNumberFormat="1" applyFont="1" applyBorder="1" applyAlignment="1">
      <alignment horizontal="right"/>
    </xf>
    <xf numFmtId="0" fontId="98" fillId="0" borderId="0" xfId="72" applyFont="1" applyBorder="1" applyAlignment="1">
      <alignment horizontal="right"/>
    </xf>
    <xf numFmtId="14" fontId="98" fillId="0" borderId="0" xfId="72" applyNumberFormat="1" applyFont="1" applyBorder="1" applyAlignment="1" applyProtection="1">
      <alignment horizontal="left"/>
      <protection locked="0"/>
    </xf>
    <xf numFmtId="0" fontId="98" fillId="0" borderId="0" xfId="72" applyFont="1" applyBorder="1" applyAlignment="1" applyProtection="1">
      <alignment horizontal="left" wrapText="1"/>
      <protection locked="0"/>
    </xf>
    <xf numFmtId="14" fontId="98" fillId="0" borderId="0" xfId="72" applyNumberFormat="1" applyFont="1" applyBorder="1" applyAlignment="1" applyProtection="1">
      <alignment horizontal="right"/>
      <protection locked="0"/>
    </xf>
    <xf numFmtId="1" fontId="98" fillId="0" borderId="0" xfId="72" applyNumberFormat="1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8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8" fillId="0" borderId="0" xfId="72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8" fillId="0" borderId="0" xfId="72" applyFont="1"/>
    <xf numFmtId="0" fontId="98" fillId="0" borderId="0" xfId="72" applyFont="1" applyAlignment="1">
      <alignment horizontal="left" wrapText="1"/>
    </xf>
    <xf numFmtId="0" fontId="98" fillId="0" borderId="0" xfId="72" applyFont="1" applyAlignment="1">
      <alignment wrapText="1"/>
    </xf>
    <xf numFmtId="0" fontId="98" fillId="0" borderId="0" xfId="72" applyFont="1" applyAlignment="1">
      <alignment horizontal="right" wrapText="1"/>
    </xf>
    <xf numFmtId="3" fontId="98" fillId="0" borderId="0" xfId="72" applyNumberFormat="1" applyFont="1" applyAlignment="1">
      <alignment wrapText="1"/>
    </xf>
    <xf numFmtId="0" fontId="98" fillId="0" borderId="0" xfId="72" applyFont="1" applyBorder="1" applyAlignment="1">
      <alignment wrapText="1"/>
    </xf>
    <xf numFmtId="0" fontId="98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8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100" fillId="0" borderId="24" xfId="72" applyNumberFormat="1" applyFont="1" applyBorder="1" applyAlignment="1">
      <alignment horizontal="center"/>
    </xf>
    <xf numFmtId="0" fontId="100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Border="1" applyAlignment="1">
      <alignment horizontal="center"/>
    </xf>
    <xf numFmtId="0" fontId="100" fillId="0" borderId="0" xfId="72" applyFont="1" applyBorder="1" applyAlignment="1">
      <alignment horizontal="right"/>
    </xf>
    <xf numFmtId="0" fontId="101" fillId="0" borderId="0" xfId="72" applyFont="1" applyBorder="1" applyAlignment="1">
      <alignment horizontal="left"/>
    </xf>
    <xf numFmtId="3" fontId="100" fillId="0" borderId="24" xfId="72" applyNumberFormat="1" applyFont="1" applyBorder="1" applyAlignment="1"/>
    <xf numFmtId="3" fontId="104" fillId="0" borderId="0" xfId="0" applyNumberFormat="1" applyFont="1"/>
    <xf numFmtId="3" fontId="57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7" fillId="0" borderId="67" xfId="0" applyNumberFormat="1" applyFont="1" applyBorder="1"/>
    <xf numFmtId="3" fontId="25" fillId="0" borderId="68" xfId="0" applyNumberFormat="1" applyFont="1" applyBorder="1"/>
    <xf numFmtId="0" fontId="34" fillId="0" borderId="67" xfId="0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2" fillId="0" borderId="0" xfId="73" applyFont="1" applyAlignment="1">
      <alignment horizontal="right"/>
    </xf>
    <xf numFmtId="0" fontId="53" fillId="0" borderId="0" xfId="73" applyFont="1" applyAlignment="1">
      <alignment horizontal="center"/>
    </xf>
    <xf numFmtId="0" fontId="51" fillId="0" borderId="0" xfId="73" applyFont="1" applyAlignment="1">
      <alignment horizontal="center"/>
    </xf>
    <xf numFmtId="0" fontId="51" fillId="0" borderId="0" xfId="73" applyFont="1" applyAlignment="1">
      <alignment horizontal="right"/>
    </xf>
    <xf numFmtId="0" fontId="53" fillId="0" borderId="24" xfId="73" applyFont="1" applyBorder="1" applyAlignment="1">
      <alignment horizontal="center"/>
    </xf>
    <xf numFmtId="0" fontId="53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20" fillId="0" borderId="0" xfId="73" applyFont="1" applyAlignment="1">
      <alignment wrapText="1"/>
    </xf>
    <xf numFmtId="0" fontId="98" fillId="0" borderId="0" xfId="73" applyFont="1"/>
    <xf numFmtId="3" fontId="35" fillId="0" borderId="69" xfId="0" applyNumberFormat="1" applyFont="1" applyBorder="1"/>
    <xf numFmtId="3" fontId="58" fillId="0" borderId="67" xfId="74" applyNumberFormat="1" applyFont="1" applyBorder="1"/>
    <xf numFmtId="3" fontId="58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6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49" fontId="28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3" xfId="78" applyNumberFormat="1" applyFont="1" applyBorder="1" applyAlignment="1">
      <alignment horizontal="left" vertical="center" wrapText="1"/>
    </xf>
    <xf numFmtId="49" fontId="28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8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3" fillId="0" borderId="24" xfId="0" applyNumberFormat="1" applyFont="1" applyBorder="1"/>
    <xf numFmtId="0" fontId="53" fillId="0" borderId="24" xfId="0" applyFont="1" applyBorder="1"/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3" xfId="0" applyNumberFormat="1" applyFont="1" applyBorder="1"/>
    <xf numFmtId="3" fontId="64" fillId="0" borderId="76" xfId="0" applyNumberFormat="1" applyFont="1" applyBorder="1" applyAlignment="1">
      <alignment horizontal="right" vertical="center" wrapText="1"/>
    </xf>
    <xf numFmtId="3" fontId="64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8" xfId="0" applyNumberFormat="1" applyFont="1" applyFill="1" applyBorder="1"/>
    <xf numFmtId="3" fontId="57" fillId="0" borderId="67" xfId="0" applyNumberFormat="1" applyFont="1" applyBorder="1" applyAlignment="1">
      <alignment horizontal="center" vertical="center" wrapText="1"/>
    </xf>
    <xf numFmtId="3" fontId="64" fillId="0" borderId="67" xfId="0" applyNumberFormat="1" applyFont="1" applyBorder="1"/>
    <xf numFmtId="3" fontId="59" fillId="0" borderId="67" xfId="0" applyNumberFormat="1" applyFont="1" applyBorder="1"/>
    <xf numFmtId="3" fontId="64" fillId="0" borderId="79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80" xfId="0" applyFont="1" applyFill="1" applyBorder="1" applyAlignment="1"/>
    <xf numFmtId="3" fontId="64" fillId="0" borderId="50" xfId="0" applyNumberFormat="1" applyFont="1" applyFill="1" applyBorder="1"/>
    <xf numFmtId="3" fontId="64" fillId="0" borderId="63" xfId="0" applyNumberFormat="1" applyFont="1" applyBorder="1"/>
    <xf numFmtId="3" fontId="64" fillId="0" borderId="81" xfId="0" applyNumberFormat="1" applyFont="1" applyBorder="1"/>
    <xf numFmtId="3" fontId="64" fillId="0" borderId="82" xfId="0" applyNumberFormat="1" applyFont="1" applyBorder="1"/>
    <xf numFmtId="3" fontId="64" fillId="0" borderId="67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89" fillId="0" borderId="0" xfId="0" applyFont="1" applyAlignment="1">
      <alignment horizontal="center"/>
    </xf>
    <xf numFmtId="3" fontId="64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165" fontId="48" fillId="0" borderId="28" xfId="0" applyNumberFormat="1" applyFont="1" applyBorder="1" applyAlignment="1">
      <alignment horizontal="right"/>
    </xf>
    <xf numFmtId="0" fontId="62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9" fillId="0" borderId="63" xfId="0" applyNumberFormat="1" applyFont="1" applyFill="1" applyBorder="1"/>
    <xf numFmtId="3" fontId="59" fillId="0" borderId="81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0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6" xfId="0" applyFont="1" applyBorder="1"/>
    <xf numFmtId="0" fontId="57" fillId="0" borderId="67" xfId="0" applyFont="1" applyBorder="1"/>
    <xf numFmtId="0" fontId="57" fillId="0" borderId="70" xfId="0" applyFont="1" applyBorder="1"/>
    <xf numFmtId="3" fontId="64" fillId="0" borderId="70" xfId="0" applyNumberFormat="1" applyFont="1" applyBorder="1" applyAlignment="1">
      <alignment horizontal="right"/>
    </xf>
    <xf numFmtId="3" fontId="110" fillId="0" borderId="0" xfId="0" applyNumberFormat="1" applyFont="1"/>
    <xf numFmtId="3" fontId="111" fillId="0" borderId="0" xfId="0" applyNumberFormat="1" applyFont="1"/>
    <xf numFmtId="0" fontId="110" fillId="0" borderId="0" xfId="0" applyFont="1" applyBorder="1"/>
    <xf numFmtId="0" fontId="111" fillId="0" borderId="0" xfId="0" applyFont="1"/>
    <xf numFmtId="3" fontId="92" fillId="0" borderId="0" xfId="0" applyNumberFormat="1" applyFont="1" applyAlignment="1">
      <alignment wrapText="1"/>
    </xf>
    <xf numFmtId="0" fontId="28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08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57" fillId="0" borderId="0" xfId="0" applyFont="1" applyFill="1"/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5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6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60" fillId="0" borderId="22" xfId="78" applyFont="1" applyBorder="1"/>
    <xf numFmtId="0" fontId="35" fillId="0" borderId="22" xfId="78" applyFont="1" applyBorder="1"/>
    <xf numFmtId="0" fontId="61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8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6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9" xfId="0" applyNumberFormat="1" applyFont="1" applyBorder="1"/>
    <xf numFmtId="0" fontId="42" fillId="0" borderId="90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19" fillId="0" borderId="24" xfId="71" applyNumberFormat="1" applyFont="1" applyBorder="1" applyAlignment="1">
      <alignment vertical="center"/>
    </xf>
    <xf numFmtId="0" fontId="120" fillId="0" borderId="22" xfId="0" applyFont="1" applyBorder="1"/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100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2" fillId="0" borderId="0" xfId="0" applyNumberFormat="1" applyFont="1" applyFill="1"/>
    <xf numFmtId="14" fontId="98" fillId="0" borderId="0" xfId="72" applyNumberFormat="1" applyFont="1" applyFill="1" applyBorder="1" applyAlignment="1" applyProtection="1">
      <alignment horizontal="left"/>
      <protection locked="0"/>
    </xf>
    <xf numFmtId="3" fontId="123" fillId="0" borderId="0" xfId="72" applyNumberFormat="1" applyFont="1" applyFill="1" applyBorder="1" applyAlignment="1" applyProtection="1">
      <alignment wrapText="1"/>
      <protection locked="0"/>
    </xf>
    <xf numFmtId="3" fontId="98" fillId="0" borderId="0" xfId="0" applyNumberFormat="1" applyFont="1" applyFill="1"/>
    <xf numFmtId="3" fontId="98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4" fillId="0" borderId="0" xfId="0" applyFont="1" applyFill="1"/>
    <xf numFmtId="0" fontId="125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8" fillId="0" borderId="0" xfId="72" applyNumberFormat="1" applyFont="1" applyFill="1" applyBorder="1" applyAlignment="1" applyProtection="1">
      <alignment horizontal="right"/>
      <protection locked="0"/>
    </xf>
    <xf numFmtId="0" fontId="122" fillId="0" borderId="0" xfId="0" applyFont="1" applyFill="1" applyAlignment="1">
      <alignment horizontal="center"/>
    </xf>
    <xf numFmtId="3" fontId="125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6" fillId="0" borderId="24" xfId="71" applyNumberFormat="1" applyFont="1" applyFill="1" applyBorder="1" applyAlignment="1">
      <alignment vertical="center"/>
    </xf>
    <xf numFmtId="0" fontId="119" fillId="0" borderId="24" xfId="71" applyFont="1" applyBorder="1" applyAlignment="1">
      <alignment vertical="center"/>
    </xf>
    <xf numFmtId="4" fontId="119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09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20" fillId="0" borderId="24" xfId="71" applyNumberFormat="1" applyFont="1" applyFill="1" applyBorder="1" applyAlignment="1">
      <alignment vertical="center"/>
    </xf>
    <xf numFmtId="3" fontId="127" fillId="0" borderId="24" xfId="71" applyNumberFormat="1" applyFont="1" applyFill="1" applyBorder="1" applyAlignment="1">
      <alignment vertical="center" wrapText="1"/>
    </xf>
    <xf numFmtId="0" fontId="119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20" fillId="0" borderId="24" xfId="71" applyNumberFormat="1" applyFont="1" applyFill="1" applyBorder="1" applyAlignment="1">
      <alignment vertical="center"/>
    </xf>
    <xf numFmtId="165" fontId="120" fillId="0" borderId="24" xfId="71" applyNumberFormat="1" applyFont="1" applyFill="1" applyBorder="1" applyAlignment="1">
      <alignment vertical="center"/>
    </xf>
    <xf numFmtId="168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/>
    </xf>
    <xf numFmtId="3" fontId="120" fillId="0" borderId="24" xfId="71" applyNumberFormat="1" applyFont="1" applyBorder="1" applyAlignment="1">
      <alignment horizontal="right" vertical="center"/>
    </xf>
    <xf numFmtId="165" fontId="120" fillId="0" borderId="24" xfId="71" applyNumberFormat="1" applyFont="1" applyBorder="1" applyAlignment="1">
      <alignment vertical="center"/>
    </xf>
    <xf numFmtId="0" fontId="128" fillId="0" borderId="24" xfId="75" applyFont="1" applyBorder="1" applyAlignment="1">
      <alignment vertical="center"/>
    </xf>
    <xf numFmtId="3" fontId="120" fillId="0" borderId="24" xfId="75" applyNumberFormat="1" applyFont="1" applyBorder="1" applyAlignment="1">
      <alignment vertical="center"/>
    </xf>
    <xf numFmtId="0" fontId="109" fillId="0" borderId="24" xfId="71" applyFont="1" applyBorder="1" applyAlignment="1">
      <alignment vertical="center" wrapText="1"/>
    </xf>
    <xf numFmtId="9" fontId="120" fillId="0" borderId="24" xfId="71" applyNumberFormat="1" applyFont="1" applyFill="1" applyBorder="1" applyAlignment="1">
      <alignment vertical="center"/>
    </xf>
    <xf numFmtId="0" fontId="119" fillId="0" borderId="25" xfId="71" applyFont="1" applyBorder="1" applyAlignment="1">
      <alignment vertical="center" wrapText="1"/>
    </xf>
    <xf numFmtId="3" fontId="120" fillId="0" borderId="25" xfId="71" applyNumberFormat="1" applyFont="1" applyBorder="1" applyAlignment="1">
      <alignment vertical="center"/>
    </xf>
    <xf numFmtId="3" fontId="120" fillId="0" borderId="25" xfId="71" applyNumberFormat="1" applyFont="1" applyFill="1" applyBorder="1" applyAlignment="1">
      <alignment vertical="center"/>
    </xf>
    <xf numFmtId="165" fontId="120" fillId="0" borderId="25" xfId="71" applyNumberFormat="1" applyFont="1" applyFill="1" applyBorder="1" applyAlignment="1">
      <alignment vertical="center"/>
    </xf>
    <xf numFmtId="3" fontId="119" fillId="0" borderId="25" xfId="71" applyNumberFormat="1" applyFont="1" applyBorder="1" applyAlignment="1">
      <alignment vertical="center"/>
    </xf>
    <xf numFmtId="4" fontId="119" fillId="0" borderId="25" xfId="71" applyNumberFormat="1" applyFont="1" applyBorder="1" applyAlignment="1">
      <alignment vertical="center"/>
    </xf>
    <xf numFmtId="0" fontId="109" fillId="0" borderId="94" xfId="71" applyFont="1" applyFill="1" applyBorder="1" applyAlignment="1">
      <alignment vertical="center"/>
    </xf>
    <xf numFmtId="3" fontId="129" fillId="0" borderId="63" xfId="71" applyNumberFormat="1" applyFont="1" applyFill="1" applyBorder="1" applyAlignment="1">
      <alignment vertical="center"/>
    </xf>
    <xf numFmtId="3" fontId="129" fillId="0" borderId="81" xfId="71" applyNumberFormat="1" applyFont="1" applyFill="1" applyBorder="1" applyAlignment="1">
      <alignment vertical="center"/>
    </xf>
    <xf numFmtId="3" fontId="129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5" xfId="0" applyFont="1" applyBorder="1"/>
    <xf numFmtId="0" fontId="50" fillId="0" borderId="95" xfId="0" applyFont="1" applyBorder="1" applyAlignment="1">
      <alignment horizontal="right"/>
    </xf>
    <xf numFmtId="0" fontId="54" fillId="0" borderId="95" xfId="0" applyFont="1" applyBorder="1" applyAlignment="1">
      <alignment horizontal="right"/>
    </xf>
    <xf numFmtId="0" fontId="48" fillId="0" borderId="95" xfId="0" applyFont="1" applyBorder="1" applyAlignment="1">
      <alignment horizontal="right"/>
    </xf>
    <xf numFmtId="4" fontId="48" fillId="0" borderId="95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2" xfId="0" applyFont="1" applyBorder="1"/>
    <xf numFmtId="0" fontId="55" fillId="0" borderId="92" xfId="0" applyFont="1" applyBorder="1" applyAlignment="1">
      <alignment horizontal="right"/>
    </xf>
    <xf numFmtId="0" fontId="54" fillId="0" borderId="92" xfId="0" applyFont="1" applyBorder="1" applyAlignment="1">
      <alignment horizontal="right"/>
    </xf>
    <xf numFmtId="0" fontId="48" fillId="0" borderId="92" xfId="0" applyFont="1" applyBorder="1" applyAlignment="1">
      <alignment horizontal="right"/>
    </xf>
    <xf numFmtId="0" fontId="48" fillId="0" borderId="93" xfId="0" applyFont="1" applyFill="1" applyBorder="1" applyAlignment="1">
      <alignment horizontal="right"/>
    </xf>
    <xf numFmtId="14" fontId="98" fillId="0" borderId="0" xfId="72" applyNumberFormat="1" applyFont="1" applyFill="1" applyBorder="1" applyAlignment="1" applyProtection="1">
      <alignment horizontal="left" wrapText="1"/>
      <protection locked="0"/>
    </xf>
    <xf numFmtId="0" fontId="109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21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21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0" fontId="118" fillId="0" borderId="0" xfId="0" applyFont="1"/>
    <xf numFmtId="0" fontId="130" fillId="0" borderId="0" xfId="0" applyFont="1"/>
    <xf numFmtId="0" fontId="131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32" fillId="0" borderId="24" xfId="71" applyFont="1" applyBorder="1" applyAlignment="1">
      <alignment vertical="center"/>
    </xf>
    <xf numFmtId="2" fontId="120" fillId="0" borderId="24" xfId="71" applyNumberFormat="1" applyFont="1" applyFill="1" applyBorder="1" applyAlignment="1">
      <alignment vertical="center"/>
    </xf>
    <xf numFmtId="3" fontId="119" fillId="0" borderId="24" xfId="71" applyNumberFormat="1" applyFont="1" applyBorder="1" applyAlignment="1">
      <alignment vertical="center" wrapText="1"/>
    </xf>
    <xf numFmtId="0" fontId="133" fillId="0" borderId="24" xfId="71" applyFont="1" applyBorder="1" applyAlignment="1">
      <alignment vertical="center"/>
    </xf>
    <xf numFmtId="3" fontId="120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7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 wrapText="1"/>
    </xf>
    <xf numFmtId="0" fontId="114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0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6" fillId="0" borderId="0" xfId="71" applyFont="1" applyBorder="1" applyAlignment="1">
      <alignment vertical="center"/>
    </xf>
    <xf numFmtId="0" fontId="134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5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6" fillId="0" borderId="22" xfId="78" applyFont="1" applyBorder="1"/>
    <xf numFmtId="3" fontId="25" fillId="0" borderId="73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59" fillId="0" borderId="62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1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8" fillId="0" borderId="61" xfId="0" applyNumberFormat="1" applyFont="1" applyBorder="1"/>
    <xf numFmtId="3" fontId="59" fillId="0" borderId="62" xfId="0" applyNumberFormat="1" applyFont="1" applyBorder="1"/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1" xfId="0" applyNumberFormat="1" applyFont="1" applyFill="1" applyBorder="1"/>
    <xf numFmtId="3" fontId="58" fillId="0" borderId="67" xfId="0" applyNumberFormat="1" applyFont="1" applyFill="1" applyBorder="1"/>
    <xf numFmtId="3" fontId="59" fillId="0" borderId="62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7" fillId="0" borderId="0" xfId="0" applyFont="1" applyBorder="1"/>
    <xf numFmtId="3" fontId="137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7" xfId="0" applyFont="1" applyBorder="1" applyAlignment="1">
      <alignment horizontal="left" vertical="center" wrapText="1"/>
    </xf>
    <xf numFmtId="0" fontId="90" fillId="0" borderId="124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58" fillId="0" borderId="67" xfId="0" applyFont="1" applyBorder="1"/>
    <xf numFmtId="0" fontId="82" fillId="0" borderId="67" xfId="0" applyFont="1" applyBorder="1"/>
    <xf numFmtId="0" fontId="85" fillId="0" borderId="67" xfId="0" applyFont="1" applyBorder="1"/>
    <xf numFmtId="0" fontId="85" fillId="0" borderId="67" xfId="0" applyFont="1" applyFill="1" applyBorder="1"/>
    <xf numFmtId="3" fontId="25" fillId="0" borderId="75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7" xfId="0" applyNumberFormat="1" applyFont="1" applyBorder="1" applyAlignment="1">
      <alignment horizontal="center" vertical="center" wrapText="1"/>
    </xf>
    <xf numFmtId="3" fontId="28" fillId="0" borderId="90" xfId="0" applyNumberFormat="1" applyFont="1" applyBorder="1"/>
    <xf numFmtId="3" fontId="28" fillId="25" borderId="67" xfId="0" applyNumberFormat="1" applyFont="1" applyFill="1" applyBorder="1"/>
    <xf numFmtId="0" fontId="77" fillId="0" borderId="89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4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0" fontId="121" fillId="0" borderId="0" xfId="0" applyFont="1"/>
    <xf numFmtId="3" fontId="82" fillId="0" borderId="22" xfId="0" applyNumberFormat="1" applyFont="1" applyBorder="1"/>
    <xf numFmtId="3" fontId="139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137" fillId="0" borderId="0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7" xfId="0" applyFont="1" applyBorder="1" applyAlignment="1">
      <alignment horizontal="center" vertical="center"/>
    </xf>
    <xf numFmtId="3" fontId="93" fillId="0" borderId="87" xfId="0" applyNumberFormat="1" applyFont="1" applyBorder="1" applyAlignment="1">
      <alignment horizontal="center" vertical="center" wrapText="1"/>
    </xf>
    <xf numFmtId="3" fontId="93" fillId="0" borderId="8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9" xfId="0" applyFont="1" applyBorder="1"/>
    <xf numFmtId="3" fontId="30" fillId="0" borderId="89" xfId="0" applyNumberFormat="1" applyFont="1" applyBorder="1"/>
    <xf numFmtId="3" fontId="59" fillId="0" borderId="21" xfId="0" applyNumberFormat="1" applyFont="1" applyBorder="1"/>
    <xf numFmtId="3" fontId="137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8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09" fillId="0" borderId="24" xfId="0" applyNumberFormat="1" applyFont="1" applyBorder="1" applyAlignment="1">
      <alignment horizontal="center" vertical="center" wrapText="1"/>
    </xf>
    <xf numFmtId="0" fontId="140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09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09" fillId="0" borderId="34" xfId="0" applyNumberFormat="1" applyFont="1" applyBorder="1"/>
    <xf numFmtId="3" fontId="109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78" applyNumberFormat="1" applyFont="1" applyAlignment="1">
      <alignment vertical="center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3" fillId="0" borderId="24" xfId="71" applyNumberFormat="1" applyFont="1" applyBorder="1" applyAlignment="1">
      <alignment vertical="center"/>
    </xf>
    <xf numFmtId="3" fontId="142" fillId="0" borderId="24" xfId="71" applyNumberFormat="1" applyFont="1" applyFill="1" applyBorder="1" applyAlignment="1">
      <alignment vertical="center"/>
    </xf>
    <xf numFmtId="0" fontId="142" fillId="0" borderId="0" xfId="71" applyFont="1" applyAlignment="1">
      <alignment vertical="center"/>
    </xf>
    <xf numFmtId="0" fontId="143" fillId="0" borderId="0" xfId="0" applyFont="1" applyFill="1"/>
    <xf numFmtId="0" fontId="1" fillId="0" borderId="0" xfId="70" applyAlignment="1">
      <alignment vertical="center"/>
    </xf>
    <xf numFmtId="3" fontId="145" fillId="0" borderId="24" xfId="71" applyNumberFormat="1" applyFont="1" applyBorder="1" applyAlignment="1">
      <alignment vertical="center"/>
    </xf>
    <xf numFmtId="3" fontId="146" fillId="0" borderId="0" xfId="71" applyNumberFormat="1" applyFont="1" applyAlignment="1">
      <alignment vertical="center"/>
    </xf>
    <xf numFmtId="3" fontId="144" fillId="0" borderId="24" xfId="71" applyNumberFormat="1" applyFont="1" applyBorder="1" applyAlignment="1">
      <alignment vertical="center" wrapText="1"/>
    </xf>
    <xf numFmtId="165" fontId="145" fillId="0" borderId="24" xfId="71" applyNumberFormat="1" applyFont="1" applyBorder="1" applyAlignment="1">
      <alignment vertical="center"/>
    </xf>
    <xf numFmtId="167" fontId="145" fillId="0" borderId="24" xfId="71" applyNumberFormat="1" applyFont="1" applyBorder="1" applyAlignment="1">
      <alignment vertical="center"/>
    </xf>
    <xf numFmtId="4" fontId="145" fillId="0" borderId="24" xfId="71" applyNumberFormat="1" applyFont="1" applyBorder="1" applyAlignment="1">
      <alignment vertical="center"/>
    </xf>
    <xf numFmtId="3" fontId="147" fillId="0" borderId="24" xfId="71" applyNumberFormat="1" applyFont="1" applyFill="1" applyBorder="1" applyAlignment="1">
      <alignment vertical="center"/>
    </xf>
    <xf numFmtId="3" fontId="145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7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49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100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5" xfId="0" applyNumberFormat="1" applyFont="1" applyBorder="1"/>
    <xf numFmtId="3" fontId="26" fillId="0" borderId="100" xfId="0" applyNumberFormat="1" applyFont="1" applyBorder="1"/>
    <xf numFmtId="0" fontId="53" fillId="0" borderId="95" xfId="0" applyFont="1" applyBorder="1"/>
    <xf numFmtId="49" fontId="35" fillId="0" borderId="0" xfId="78" applyNumberFormat="1" applyFont="1" applyBorder="1" applyAlignment="1">
      <alignment horizontal="center" vertical="center" wrapText="1"/>
    </xf>
    <xf numFmtId="0" fontId="55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1" xfId="0" applyNumberFormat="1" applyFont="1" applyBorder="1" applyAlignment="1">
      <alignment horizontal="right" vertical="center"/>
    </xf>
    <xf numFmtId="3" fontId="58" fillId="0" borderId="67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8" fillId="0" borderId="12" xfId="0" applyFont="1" applyBorder="1" applyAlignment="1">
      <alignment horizontal="right"/>
    </xf>
    <xf numFmtId="0" fontId="100" fillId="0" borderId="12" xfId="0" applyFont="1" applyBorder="1" applyAlignment="1">
      <alignment horizontal="right"/>
    </xf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100" fillId="0" borderId="24" xfId="72" applyFont="1" applyBorder="1" applyAlignment="1">
      <alignment horizontal="center"/>
    </xf>
    <xf numFmtId="0" fontId="100" fillId="0" borderId="24" xfId="72" applyFont="1" applyFill="1" applyBorder="1" applyAlignment="1">
      <alignment horizontal="center"/>
    </xf>
    <xf numFmtId="0" fontId="100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0" fillId="0" borderId="24" xfId="72" applyFont="1" applyBorder="1" applyAlignment="1">
      <alignment horizontal="center" wrapText="1"/>
    </xf>
    <xf numFmtId="49" fontId="100" fillId="0" borderId="24" xfId="72" applyNumberFormat="1" applyFont="1" applyFill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98" fillId="0" borderId="0" xfId="72" applyFont="1" applyFill="1" applyBorder="1" applyAlignment="1">
      <alignment horizontal="center"/>
    </xf>
    <xf numFmtId="0" fontId="98" fillId="0" borderId="0" xfId="72" applyFont="1" applyFill="1" applyAlignment="1">
      <alignment horizontal="left" wrapText="1"/>
    </xf>
    <xf numFmtId="0" fontId="98" fillId="0" borderId="0" xfId="72" applyFont="1" applyFill="1" applyAlignment="1">
      <alignment wrapText="1"/>
    </xf>
    <xf numFmtId="0" fontId="98" fillId="0" borderId="0" xfId="72" applyFont="1" applyFill="1" applyAlignment="1">
      <alignment horizontal="center"/>
    </xf>
    <xf numFmtId="3" fontId="98" fillId="0" borderId="0" xfId="72" applyNumberFormat="1" applyFont="1" applyFill="1" applyAlignment="1">
      <alignment wrapText="1"/>
    </xf>
    <xf numFmtId="0" fontId="98" fillId="0" borderId="0" xfId="72" applyFont="1" applyFill="1" applyAlignment="1">
      <alignment horizontal="left"/>
    </xf>
    <xf numFmtId="0" fontId="98" fillId="0" borderId="0" xfId="72" applyFont="1" applyFill="1" applyAlignment="1"/>
    <xf numFmtId="3" fontId="98" fillId="0" borderId="0" xfId="72" applyNumberFormat="1" applyFont="1" applyFill="1" applyAlignment="1"/>
    <xf numFmtId="14" fontId="98" fillId="0" borderId="0" xfId="72" applyNumberFormat="1" applyFont="1" applyFill="1" applyAlignment="1">
      <alignment horizontal="center"/>
    </xf>
    <xf numFmtId="0" fontId="98" fillId="0" borderId="0" xfId="72" applyFont="1" applyFill="1" applyBorder="1" applyAlignment="1">
      <alignment horizontal="left"/>
    </xf>
    <xf numFmtId="0" fontId="98" fillId="0" borderId="0" xfId="72" applyFont="1" applyFill="1" applyBorder="1" applyAlignment="1">
      <alignment horizontal="left" wrapText="1"/>
    </xf>
    <xf numFmtId="14" fontId="98" fillId="0" borderId="0" xfId="72" applyNumberFormat="1" applyFont="1" applyFill="1" applyBorder="1" applyAlignment="1">
      <alignment horizontal="center"/>
    </xf>
    <xf numFmtId="3" fontId="98" fillId="0" borderId="0" xfId="72" applyNumberFormat="1" applyFont="1" applyFill="1" applyBorder="1" applyAlignment="1">
      <alignment horizontal="right"/>
    </xf>
    <xf numFmtId="0" fontId="98" fillId="0" borderId="0" xfId="72" applyFont="1" applyFill="1" applyBorder="1" applyAlignment="1" applyProtection="1">
      <alignment wrapText="1"/>
      <protection locked="0"/>
    </xf>
    <xf numFmtId="14" fontId="98" fillId="0" borderId="0" xfId="72" applyNumberFormat="1" applyFont="1" applyFill="1" applyBorder="1" applyAlignment="1" applyProtection="1">
      <alignment horizontal="center"/>
      <protection locked="0"/>
    </xf>
    <xf numFmtId="3" fontId="98" fillId="0" borderId="0" xfId="72" applyNumberFormat="1" applyFont="1" applyFill="1" applyBorder="1" applyAlignment="1" applyProtection="1">
      <alignment horizontal="right" wrapText="1"/>
      <protection locked="0"/>
    </xf>
    <xf numFmtId="3" fontId="98" fillId="0" borderId="0" xfId="72" applyNumberFormat="1" applyFont="1" applyFill="1" applyBorder="1" applyAlignment="1" applyProtection="1">
      <protection locked="0"/>
    </xf>
    <xf numFmtId="0" fontId="98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8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8" fillId="0" borderId="0" xfId="0" applyNumberFormat="1" applyFont="1" applyFill="1" applyAlignment="1">
      <alignment horizontal="center"/>
    </xf>
    <xf numFmtId="0" fontId="150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150" fillId="0" borderId="0" xfId="0" applyFont="1" applyFill="1"/>
    <xf numFmtId="0" fontId="150" fillId="0" borderId="0" xfId="0" applyFont="1"/>
    <xf numFmtId="0" fontId="0" fillId="0" borderId="0" xfId="0" applyFont="1" applyFill="1" applyAlignment="1">
      <alignment horizontal="center"/>
    </xf>
    <xf numFmtId="3" fontId="53" fillId="0" borderId="0" xfId="0" applyNumberFormat="1" applyFont="1" applyFill="1"/>
    <xf numFmtId="3" fontId="100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9" fillId="0" borderId="62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100" fillId="0" borderId="24" xfId="0" applyFont="1" applyBorder="1"/>
    <xf numFmtId="0" fontId="101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100" fillId="0" borderId="24" xfId="0" applyFont="1" applyBorder="1" applyAlignment="1">
      <alignment horizontal="right"/>
    </xf>
    <xf numFmtId="165" fontId="100" fillId="0" borderId="24" xfId="0" applyNumberFormat="1" applyFont="1" applyBorder="1" applyAlignment="1">
      <alignment horizontal="right"/>
    </xf>
    <xf numFmtId="1" fontId="100" fillId="0" borderId="24" xfId="0" applyNumberFormat="1" applyFont="1" applyBorder="1" applyAlignment="1">
      <alignment horizontal="right"/>
    </xf>
    <xf numFmtId="167" fontId="100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29" xfId="0" applyFont="1" applyBorder="1"/>
    <xf numFmtId="3" fontId="25" fillId="0" borderId="70" xfId="0" applyNumberFormat="1" applyFont="1" applyBorder="1"/>
    <xf numFmtId="0" fontId="35" fillId="0" borderId="129" xfId="0" applyFont="1" applyBorder="1"/>
    <xf numFmtId="3" fontId="28" fillId="0" borderId="0" xfId="0" applyNumberFormat="1" applyFont="1" applyAlignment="1">
      <alignment wrapText="1"/>
    </xf>
    <xf numFmtId="0" fontId="34" fillId="0" borderId="49" xfId="0" applyFont="1" applyBorder="1" applyAlignment="1">
      <alignment horizontal="center" vertical="center"/>
    </xf>
    <xf numFmtId="3" fontId="33" fillId="0" borderId="22" xfId="0" applyNumberFormat="1" applyFont="1" applyBorder="1"/>
    <xf numFmtId="49" fontId="58" fillId="0" borderId="0" xfId="78" applyNumberFormat="1" applyFont="1" applyBorder="1" applyAlignment="1">
      <alignment horizontal="center" vertical="center" wrapText="1"/>
    </xf>
    <xf numFmtId="0" fontId="61" fillId="0" borderId="0" xfId="78" applyFont="1" applyBorder="1"/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7" fillId="0" borderId="0" xfId="0" applyNumberFormat="1" applyFont="1" applyBorder="1"/>
    <xf numFmtId="3" fontId="127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30" fillId="0" borderId="130" xfId="0" applyNumberFormat="1" applyFont="1" applyBorder="1"/>
    <xf numFmtId="3" fontId="25" fillId="0" borderId="130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100" fillId="24" borderId="12" xfId="0" applyNumberFormat="1" applyFont="1" applyFill="1" applyBorder="1" applyAlignment="1">
      <alignment horizontal="right" vertical="center"/>
    </xf>
    <xf numFmtId="167" fontId="100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7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25" fillId="0" borderId="85" xfId="0" applyFont="1" applyBorder="1"/>
    <xf numFmtId="0" fontId="40" fillId="0" borderId="0" xfId="0" applyFont="1" applyBorder="1"/>
    <xf numFmtId="0" fontId="109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0" fontId="109" fillId="0" borderId="34" xfId="0" applyFont="1" applyBorder="1" applyAlignment="1">
      <alignment vertical="center" wrapText="1"/>
    </xf>
    <xf numFmtId="3" fontId="109" fillId="0" borderId="34" xfId="0" applyNumberFormat="1" applyFont="1" applyBorder="1" applyAlignment="1">
      <alignment vertical="center"/>
    </xf>
    <xf numFmtId="3" fontId="29" fillId="0" borderId="0" xfId="0" applyNumberFormat="1" applyFont="1"/>
    <xf numFmtId="0" fontId="22" fillId="0" borderId="0" xfId="0" applyFont="1" applyAlignment="1">
      <alignment vertical="center" wrapText="1"/>
    </xf>
    <xf numFmtId="0" fontId="44" fillId="0" borderId="27" xfId="0" applyFont="1" applyBorder="1"/>
    <xf numFmtId="3" fontId="53" fillId="0" borderId="75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09" fillId="0" borderId="59" xfId="0" applyNumberFormat="1" applyFont="1" applyBorder="1" applyAlignment="1">
      <alignment vertical="center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1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28" fillId="0" borderId="41" xfId="0" applyFont="1" applyBorder="1"/>
    <xf numFmtId="3" fontId="28" fillId="0" borderId="41" xfId="0" applyNumberFormat="1" applyFont="1" applyBorder="1"/>
    <xf numFmtId="3" fontId="28" fillId="0" borderId="70" xfId="0" applyNumberFormat="1" applyFont="1" applyBorder="1"/>
    <xf numFmtId="3" fontId="25" fillId="0" borderId="76" xfId="0" applyNumberFormat="1" applyFont="1" applyBorder="1"/>
    <xf numFmtId="3" fontId="25" fillId="0" borderId="56" xfId="0" applyNumberFormat="1" applyFont="1" applyBorder="1"/>
    <xf numFmtId="0" fontId="25" fillId="0" borderId="56" xfId="0" applyFont="1" applyBorder="1"/>
    <xf numFmtId="3" fontId="28" fillId="0" borderId="76" xfId="0" applyNumberFormat="1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1" fillId="0" borderId="0" xfId="78" applyNumberFormat="1" applyFont="1" applyAlignment="1">
      <alignment vertical="center"/>
    </xf>
    <xf numFmtId="3" fontId="59" fillId="0" borderId="69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vertical="center"/>
    </xf>
    <xf numFmtId="3" fontId="58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9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 wrapText="1"/>
    </xf>
    <xf numFmtId="3" fontId="35" fillId="0" borderId="0" xfId="78" applyNumberFormat="1" applyFont="1" applyFill="1" applyBorder="1" applyAlignment="1">
      <alignment vertical="center"/>
    </xf>
    <xf numFmtId="3" fontId="30" fillId="0" borderId="0" xfId="78" applyNumberFormat="1" applyFont="1" applyFill="1" applyBorder="1" applyAlignment="1">
      <alignment vertical="center"/>
    </xf>
    <xf numFmtId="3" fontId="35" fillId="0" borderId="0" xfId="78" applyNumberFormat="1" applyFont="1" applyFill="1" applyAlignment="1">
      <alignment vertical="center"/>
    </xf>
    <xf numFmtId="3" fontId="59" fillId="0" borderId="0" xfId="0" applyNumberFormat="1" applyFont="1" applyFill="1" applyBorder="1"/>
    <xf numFmtId="0" fontId="157" fillId="0" borderId="0" xfId="0" applyFont="1"/>
    <xf numFmtId="0" fontId="132" fillId="0" borderId="0" xfId="71" applyFont="1" applyAlignment="1">
      <alignment vertical="center"/>
    </xf>
    <xf numFmtId="0" fontId="119" fillId="0" borderId="0" xfId="71" applyFont="1" applyAlignment="1">
      <alignment vertical="center"/>
    </xf>
    <xf numFmtId="3" fontId="119" fillId="0" borderId="0" xfId="71" applyNumberFormat="1" applyFont="1" applyAlignment="1">
      <alignment vertical="center"/>
    </xf>
    <xf numFmtId="3" fontId="160" fillId="0" borderId="46" xfId="71" applyNumberFormat="1" applyFont="1" applyFill="1" applyBorder="1" applyAlignment="1">
      <alignment horizontal="center" vertical="center" wrapText="1"/>
    </xf>
    <xf numFmtId="3" fontId="160" fillId="0" borderId="33" xfId="71" applyNumberFormat="1" applyFont="1" applyFill="1" applyBorder="1" applyAlignment="1">
      <alignment horizontal="center" vertical="center" wrapText="1"/>
    </xf>
    <xf numFmtId="3" fontId="160" fillId="0" borderId="47" xfId="71" applyNumberFormat="1" applyFont="1" applyFill="1" applyBorder="1" applyAlignment="1">
      <alignment horizontal="center" vertical="center" wrapText="1"/>
    </xf>
    <xf numFmtId="0" fontId="132" fillId="0" borderId="0" xfId="71" applyFont="1" applyBorder="1" applyAlignment="1">
      <alignment vertical="center"/>
    </xf>
    <xf numFmtId="0" fontId="109" fillId="0" borderId="48" xfId="71" applyFont="1" applyBorder="1" applyAlignment="1">
      <alignment vertical="center"/>
    </xf>
    <xf numFmtId="3" fontId="120" fillId="0" borderId="48" xfId="71" applyNumberFormat="1" applyFont="1" applyFill="1" applyBorder="1" applyAlignment="1">
      <alignment vertical="center"/>
    </xf>
    <xf numFmtId="0" fontId="132" fillId="0" borderId="48" xfId="71" applyFont="1" applyBorder="1" applyAlignment="1">
      <alignment vertical="center"/>
    </xf>
    <xf numFmtId="0" fontId="132" fillId="0" borderId="22" xfId="71" applyFont="1" applyBorder="1" applyAlignment="1">
      <alignment vertical="center"/>
    </xf>
    <xf numFmtId="0" fontId="116" fillId="0" borderId="24" xfId="71" applyFont="1" applyBorder="1" applyAlignment="1">
      <alignment vertical="center"/>
    </xf>
    <xf numFmtId="3" fontId="161" fillId="0" borderId="24" xfId="71" applyNumberFormat="1" applyFont="1" applyBorder="1" applyAlignment="1">
      <alignment vertical="center"/>
    </xf>
    <xf numFmtId="4" fontId="58" fillId="0" borderId="24" xfId="71" applyNumberFormat="1" applyFont="1" applyBorder="1" applyAlignment="1">
      <alignment vertical="center"/>
    </xf>
    <xf numFmtId="3" fontId="132" fillId="0" borderId="0" xfId="71" applyNumberFormat="1" applyFont="1" applyAlignment="1">
      <alignment vertical="center"/>
    </xf>
    <xf numFmtId="3" fontId="161" fillId="0" borderId="24" xfId="71" applyNumberFormat="1" applyFont="1" applyBorder="1" applyAlignment="1">
      <alignment vertical="center" wrapText="1"/>
    </xf>
    <xf numFmtId="3" fontId="35" fillId="0" borderId="24" xfId="71" applyNumberFormat="1" applyFont="1" applyBorder="1" applyAlignment="1">
      <alignment vertical="center" wrapText="1"/>
    </xf>
    <xf numFmtId="3" fontId="31" fillId="0" borderId="24" xfId="71" applyNumberFormat="1" applyFont="1" applyBorder="1" applyAlignment="1">
      <alignment horizontal="right"/>
    </xf>
    <xf numFmtId="0" fontId="155" fillId="0" borderId="22" xfId="70" applyFont="1" applyBorder="1" applyAlignment="1">
      <alignment vertical="center"/>
    </xf>
    <xf numFmtId="0" fontId="132" fillId="0" borderId="22" xfId="7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158" fillId="0" borderId="22" xfId="70" applyFont="1" applyBorder="1" applyAlignment="1">
      <alignment vertical="center" wrapText="1"/>
    </xf>
    <xf numFmtId="1" fontId="31" fillId="0" borderId="24" xfId="71" applyNumberFormat="1" applyFont="1" applyBorder="1" applyAlignment="1">
      <alignment vertical="center"/>
    </xf>
    <xf numFmtId="0" fontId="155" fillId="0" borderId="22" xfId="70" applyFont="1" applyBorder="1" applyAlignment="1">
      <alignment vertical="center" wrapText="1"/>
    </xf>
    <xf numFmtId="0" fontId="163" fillId="0" borderId="22" xfId="71" applyFont="1" applyBorder="1" applyAlignment="1">
      <alignment vertical="center" wrapText="1"/>
    </xf>
    <xf numFmtId="0" fontId="72" fillId="0" borderId="24" xfId="75" applyFont="1" applyBorder="1" applyAlignment="1">
      <alignment vertical="center"/>
    </xf>
    <xf numFmtId="165" fontId="119" fillId="0" borderId="24" xfId="71" applyNumberFormat="1" applyFont="1" applyBorder="1" applyAlignment="1">
      <alignment vertical="center"/>
    </xf>
    <xf numFmtId="0" fontId="129" fillId="0" borderId="24" xfId="71" applyFont="1" applyBorder="1" applyAlignment="1">
      <alignment vertical="center" wrapText="1"/>
    </xf>
    <xf numFmtId="0" fontId="164" fillId="0" borderId="0" xfId="71" applyFont="1" applyAlignment="1">
      <alignment vertical="center"/>
    </xf>
    <xf numFmtId="9" fontId="120" fillId="0" borderId="25" xfId="71" applyNumberFormat="1" applyFont="1" applyFill="1" applyBorder="1" applyAlignment="1">
      <alignment vertical="center"/>
    </xf>
    <xf numFmtId="0" fontId="129" fillId="0" borderId="25" xfId="71" applyFont="1" applyBorder="1" applyAlignment="1">
      <alignment vertical="center" wrapText="1"/>
    </xf>
    <xf numFmtId="3" fontId="109" fillId="0" borderId="63" xfId="71" applyNumberFormat="1" applyFont="1" applyFill="1" applyBorder="1" applyAlignment="1">
      <alignment vertical="center"/>
    </xf>
    <xf numFmtId="3" fontId="109" fillId="0" borderId="81" xfId="71" applyNumberFormat="1" applyFont="1" applyFill="1" applyBorder="1" applyAlignment="1">
      <alignment vertical="center"/>
    </xf>
    <xf numFmtId="3" fontId="109" fillId="0" borderId="34" xfId="71" applyNumberFormat="1" applyFont="1" applyFill="1" applyBorder="1" applyAlignment="1">
      <alignment vertical="center"/>
    </xf>
    <xf numFmtId="0" fontId="25" fillId="0" borderId="49" xfId="0" applyFont="1" applyBorder="1" applyAlignment="1">
      <alignment wrapText="1"/>
    </xf>
    <xf numFmtId="3" fontId="59" fillId="0" borderId="27" xfId="0" applyNumberFormat="1" applyFont="1" applyBorder="1"/>
    <xf numFmtId="3" fontId="59" fillId="0" borderId="85" xfId="0" applyNumberFormat="1" applyFont="1" applyBorder="1"/>
    <xf numFmtId="0" fontId="30" fillId="0" borderId="49" xfId="0" applyFont="1" applyBorder="1" applyAlignment="1">
      <alignment wrapText="1"/>
    </xf>
    <xf numFmtId="3" fontId="121" fillId="0" borderId="0" xfId="78" applyNumberFormat="1" applyFont="1" applyBorder="1" applyAlignment="1">
      <alignment vertical="center"/>
    </xf>
    <xf numFmtId="3" fontId="138" fillId="0" borderId="0" xfId="78" applyNumberFormat="1" applyFont="1" applyBorder="1" applyAlignment="1">
      <alignment vertical="center"/>
    </xf>
    <xf numFmtId="3" fontId="121" fillId="0" borderId="0" xfId="78" applyNumberFormat="1" applyFont="1" applyAlignment="1">
      <alignment vertical="center"/>
    </xf>
    <xf numFmtId="0" fontId="44" fillId="0" borderId="67" xfId="0" applyFont="1" applyBorder="1" applyAlignment="1">
      <alignment vertical="center" wrapText="1"/>
    </xf>
    <xf numFmtId="3" fontId="25" fillId="0" borderId="0" xfId="0" applyNumberFormat="1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3" fontId="28" fillId="0" borderId="0" xfId="0" applyNumberFormat="1" applyFont="1" applyBorder="1" applyAlignment="1">
      <alignment vertical="center" wrapText="1"/>
    </xf>
    <xf numFmtId="3" fontId="28" fillId="0" borderId="67" xfId="0" applyNumberFormat="1" applyFont="1" applyBorder="1" applyAlignment="1">
      <alignment vertical="center" wrapText="1"/>
    </xf>
    <xf numFmtId="3" fontId="165" fillId="0" borderId="0" xfId="71" applyNumberFormat="1" applyFont="1" applyAlignment="1">
      <alignment vertical="center"/>
    </xf>
    <xf numFmtId="3" fontId="165" fillId="0" borderId="0" xfId="71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35" fillId="0" borderId="0" xfId="78" applyNumberFormat="1" applyFont="1" applyFill="1"/>
    <xf numFmtId="3" fontId="109" fillId="0" borderId="26" xfId="0" applyNumberFormat="1" applyFont="1" applyBorder="1"/>
    <xf numFmtId="3" fontId="109" fillId="0" borderId="0" xfId="0" applyNumberFormat="1" applyFont="1" applyBorder="1"/>
    <xf numFmtId="3" fontId="109" fillId="0" borderId="22" xfId="0" applyNumberFormat="1" applyFont="1" applyBorder="1"/>
    <xf numFmtId="0" fontId="30" fillId="0" borderId="0" xfId="78" applyFont="1" applyBorder="1" applyAlignment="1">
      <alignment vertical="center"/>
    </xf>
    <xf numFmtId="1" fontId="35" fillId="0" borderId="0" xfId="78" applyNumberFormat="1" applyFont="1"/>
    <xf numFmtId="3" fontId="60" fillId="0" borderId="22" xfId="78" applyNumberFormat="1" applyFont="1" applyBorder="1"/>
    <xf numFmtId="3" fontId="35" fillId="0" borderId="22" xfId="78" applyNumberFormat="1" applyFont="1" applyBorder="1"/>
    <xf numFmtId="0" fontId="53" fillId="0" borderId="24" xfId="77" applyFont="1" applyBorder="1" applyAlignment="1">
      <alignment horizontal="center"/>
    </xf>
    <xf numFmtId="0" fontId="98" fillId="0" borderId="12" xfId="0" applyFont="1" applyBorder="1" applyAlignment="1">
      <alignment wrapText="1"/>
    </xf>
    <xf numFmtId="0" fontId="98" fillId="0" borderId="12" xfId="0" applyFont="1" applyBorder="1"/>
    <xf numFmtId="0" fontId="98" fillId="0" borderId="12" xfId="0" applyFont="1" applyBorder="1" applyAlignment="1">
      <alignment horizontal="right" vertical="center"/>
    </xf>
    <xf numFmtId="0" fontId="100" fillId="0" borderId="12" xfId="0" applyFont="1" applyBorder="1" applyAlignment="1">
      <alignment horizontal="right" vertical="center"/>
    </xf>
    <xf numFmtId="165" fontId="100" fillId="0" borderId="12" xfId="0" applyNumberFormat="1" applyFont="1" applyBorder="1" applyAlignment="1">
      <alignment horizontal="right"/>
    </xf>
    <xf numFmtId="1" fontId="48" fillId="0" borderId="12" xfId="0" applyNumberFormat="1" applyFont="1" applyBorder="1"/>
    <xf numFmtId="166" fontId="35" fillId="0" borderId="12" xfId="0" applyNumberFormat="1" applyFont="1" applyBorder="1" applyAlignment="1">
      <alignment horizontal="center" vertical="center"/>
    </xf>
    <xf numFmtId="0" fontId="98" fillId="0" borderId="0" xfId="73" applyFont="1" applyAlignment="1">
      <alignment wrapText="1"/>
    </xf>
    <xf numFmtId="0" fontId="34" fillId="0" borderId="0" xfId="0" applyFont="1" applyBorder="1"/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158" fillId="0" borderId="0" xfId="0" applyFont="1" applyBorder="1"/>
    <xf numFmtId="0" fontId="25" fillId="0" borderId="41" xfId="0" applyFont="1" applyBorder="1"/>
    <xf numFmtId="3" fontId="29" fillId="0" borderId="85" xfId="0" applyNumberFormat="1" applyFont="1" applyBorder="1" applyAlignment="1">
      <alignment vertical="center"/>
    </xf>
    <xf numFmtId="0" fontId="136" fillId="0" borderId="0" xfId="78" applyFont="1" applyBorder="1"/>
    <xf numFmtId="3" fontId="28" fillId="0" borderId="0" xfId="0" applyNumberFormat="1" applyFont="1" applyFill="1" applyBorder="1" applyAlignment="1">
      <alignment vertical="center" wrapText="1"/>
    </xf>
    <xf numFmtId="3" fontId="28" fillId="0" borderId="41" xfId="78" applyNumberFormat="1" applyFont="1" applyFill="1" applyBorder="1" applyAlignment="1">
      <alignment vertical="center"/>
    </xf>
    <xf numFmtId="3" fontId="35" fillId="0" borderId="41" xfId="78" applyNumberFormat="1" applyFont="1" applyBorder="1" applyAlignment="1">
      <alignment vertical="center"/>
    </xf>
    <xf numFmtId="3" fontId="28" fillId="0" borderId="67" xfId="78" applyNumberFormat="1" applyFont="1" applyBorder="1"/>
    <xf numFmtId="3" fontId="28" fillId="0" borderId="67" xfId="78" applyNumberFormat="1" applyFont="1" applyBorder="1" applyAlignment="1">
      <alignment vertical="center"/>
    </xf>
    <xf numFmtId="3" fontId="28" fillId="0" borderId="70" xfId="78" applyNumberFormat="1" applyFont="1" applyBorder="1" applyAlignment="1">
      <alignment vertical="center"/>
    </xf>
    <xf numFmtId="3" fontId="30" fillId="0" borderId="67" xfId="78" applyNumberFormat="1" applyFont="1" applyBorder="1"/>
    <xf numFmtId="3" fontId="35" fillId="0" borderId="67" xfId="78" applyNumberFormat="1" applyFont="1" applyBorder="1" applyAlignment="1">
      <alignment vertical="center"/>
    </xf>
    <xf numFmtId="3" fontId="35" fillId="0" borderId="67" xfId="78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  <xf numFmtId="3" fontId="31" fillId="25" borderId="22" xfId="0" applyNumberFormat="1" applyFont="1" applyFill="1" applyBorder="1"/>
    <xf numFmtId="0" fontId="153" fillId="0" borderId="67" xfId="0" applyFont="1" applyBorder="1" applyAlignment="1">
      <alignment wrapText="1"/>
    </xf>
    <xf numFmtId="0" fontId="109" fillId="0" borderId="67" xfId="0" applyFont="1" applyBorder="1" applyAlignment="1">
      <alignment vertical="center" wrapText="1"/>
    </xf>
    <xf numFmtId="0" fontId="56" fillId="0" borderId="67" xfId="0" applyFont="1" applyBorder="1" applyAlignment="1">
      <alignment wrapText="1"/>
    </xf>
    <xf numFmtId="0" fontId="109" fillId="0" borderId="73" xfId="0" applyFont="1" applyBorder="1" applyAlignment="1">
      <alignment wrapText="1"/>
    </xf>
    <xf numFmtId="0" fontId="109" fillId="0" borderId="67" xfId="0" applyFont="1" applyBorder="1" applyAlignment="1">
      <alignment wrapText="1"/>
    </xf>
    <xf numFmtId="0" fontId="29" fillId="0" borderId="73" xfId="0" applyFont="1" applyBorder="1" applyAlignment="1">
      <alignment wrapText="1"/>
    </xf>
    <xf numFmtId="3" fontId="56" fillId="0" borderId="26" xfId="0" applyNumberFormat="1" applyFont="1" applyBorder="1"/>
    <xf numFmtId="3" fontId="29" fillId="0" borderId="34" xfId="0" applyNumberFormat="1" applyFont="1" applyBorder="1"/>
    <xf numFmtId="3" fontId="29" fillId="0" borderId="26" xfId="0" applyNumberFormat="1" applyFont="1" applyBorder="1"/>
    <xf numFmtId="3" fontId="29" fillId="0" borderId="26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3" fontId="56" fillId="0" borderId="42" xfId="0" applyNumberFormat="1" applyFont="1" applyBorder="1"/>
    <xf numFmtId="0" fontId="31" fillId="0" borderId="67" xfId="0" applyFont="1" applyBorder="1" applyAlignment="1">
      <alignment wrapText="1"/>
    </xf>
    <xf numFmtId="0" fontId="109" fillId="0" borderId="131" xfId="0" applyFont="1" applyBorder="1" applyAlignment="1">
      <alignment vertical="center" wrapText="1"/>
    </xf>
    <xf numFmtId="3" fontId="29" fillId="0" borderId="59" xfId="0" applyNumberFormat="1" applyFont="1" applyBorder="1"/>
    <xf numFmtId="3" fontId="29" fillId="0" borderId="75" xfId="0" applyNumberFormat="1" applyFont="1" applyBorder="1"/>
    <xf numFmtId="0" fontId="40" fillId="0" borderId="129" xfId="0" applyFont="1" applyBorder="1"/>
    <xf numFmtId="0" fontId="37" fillId="25" borderId="0" xfId="78" applyFont="1" applyFill="1"/>
    <xf numFmtId="3" fontId="35" fillId="25" borderId="0" xfId="78" applyNumberFormat="1" applyFont="1" applyFill="1"/>
    <xf numFmtId="3" fontId="35" fillId="25" borderId="0" xfId="78" applyNumberFormat="1" applyFont="1" applyFill="1" applyBorder="1"/>
    <xf numFmtId="1" fontId="58" fillId="0" borderId="26" xfId="0" applyNumberFormat="1" applyFont="1" applyBorder="1" applyAlignment="1">
      <alignment horizontal="center" vertical="center"/>
    </xf>
    <xf numFmtId="3" fontId="30" fillId="0" borderId="85" xfId="0" applyNumberFormat="1" applyFont="1" applyFill="1" applyBorder="1"/>
    <xf numFmtId="3" fontId="34" fillId="0" borderId="0" xfId="0" applyNumberFormat="1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9" fillId="0" borderId="0" xfId="0" applyFont="1" applyBorder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7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09" fillId="0" borderId="34" xfId="71" applyNumberFormat="1" applyFont="1" applyBorder="1" applyAlignment="1">
      <alignment horizontal="right" vertical="center"/>
    </xf>
    <xf numFmtId="3" fontId="109" fillId="0" borderId="59" xfId="71" applyNumberFormat="1" applyFont="1" applyBorder="1" applyAlignment="1">
      <alignment horizontal="right" vertical="center"/>
    </xf>
    <xf numFmtId="0" fontId="156" fillId="0" borderId="0" xfId="75" applyFont="1" applyAlignment="1">
      <alignment horizontal="right"/>
    </xf>
    <xf numFmtId="0" fontId="159" fillId="0" borderId="0" xfId="71" applyFont="1" applyAlignment="1">
      <alignment horizontal="right" vertical="center"/>
    </xf>
    <xf numFmtId="0" fontId="109" fillId="0" borderId="0" xfId="71" applyFont="1" applyAlignment="1">
      <alignment horizontal="center" vertical="center"/>
    </xf>
    <xf numFmtId="0" fontId="1" fillId="0" borderId="0" xfId="70" applyFont="1" applyAlignment="1">
      <alignment vertical="center"/>
    </xf>
    <xf numFmtId="0" fontId="160" fillId="0" borderId="98" xfId="71" applyFont="1" applyFill="1" applyBorder="1" applyAlignment="1">
      <alignment horizontal="center" vertical="center"/>
    </xf>
    <xf numFmtId="0" fontId="160" fillId="0" borderId="99" xfId="7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/>
    </xf>
    <xf numFmtId="3" fontId="160" fillId="0" borderId="27" xfId="71" applyNumberFormat="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 wrapText="1"/>
    </xf>
    <xf numFmtId="3" fontId="160" fillId="0" borderId="27" xfId="71" applyNumberFormat="1" applyFont="1" applyFill="1" applyBorder="1" applyAlignment="1">
      <alignment horizontal="center" vertical="center" wrapText="1"/>
    </xf>
    <xf numFmtId="3" fontId="160" fillId="0" borderId="85" xfId="71" applyNumberFormat="1" applyFont="1" applyFill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5" fillId="0" borderId="98" xfId="71" applyFont="1" applyFill="1" applyBorder="1" applyAlignment="1">
      <alignment horizontal="center" vertical="center"/>
    </xf>
    <xf numFmtId="0" fontId="75" fillId="0" borderId="99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3" fontId="27" fillId="0" borderId="0" xfId="0" applyNumberFormat="1" applyFont="1" applyBorder="1" applyAlignment="1">
      <alignment horizontal="right" vertical="top" wrapText="1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8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7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48" fillId="0" borderId="34" xfId="71" applyNumberFormat="1" applyFont="1" applyBorder="1" applyAlignment="1">
      <alignment horizontal="right" vertical="center"/>
    </xf>
    <xf numFmtId="3" fontId="148" fillId="0" borderId="59" xfId="71" applyNumberFormat="1" applyFont="1" applyBorder="1" applyAlignment="1">
      <alignment horizontal="right" vertical="center"/>
    </xf>
    <xf numFmtId="0" fontId="116" fillId="0" borderId="0" xfId="71" applyFont="1" applyAlignment="1">
      <alignment horizontal="right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5" xfId="71" applyNumberFormat="1" applyFont="1" applyFill="1" applyBorder="1" applyAlignment="1">
      <alignment horizontal="center" vertical="center" wrapText="1"/>
    </xf>
    <xf numFmtId="0" fontId="25" fillId="0" borderId="0" xfId="76" applyFont="1" applyBorder="1" applyAlignment="1">
      <alignment horizontal="center"/>
    </xf>
    <xf numFmtId="0" fontId="34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29" fillId="0" borderId="92" xfId="0" applyNumberFormat="1" applyFont="1" applyBorder="1" applyAlignment="1">
      <alignment horizontal="right"/>
    </xf>
    <xf numFmtId="0" fontId="0" fillId="0" borderId="92" xfId="0" applyBorder="1" applyAlignment="1"/>
    <xf numFmtId="0" fontId="29" fillId="0" borderId="24" xfId="0" applyFont="1" applyBorder="1" applyAlignment="1">
      <alignment horizontal="center" vertical="center" wrapText="1"/>
    </xf>
    <xf numFmtId="0" fontId="109" fillId="0" borderId="24" xfId="0" applyFont="1" applyBorder="1" applyAlignment="1">
      <alignment horizontal="center" vertical="center" wrapText="1"/>
    </xf>
    <xf numFmtId="3" fontId="109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0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1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5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2" xfId="0" applyFont="1" applyBorder="1" applyAlignment="1">
      <alignment horizontal="right"/>
    </xf>
    <xf numFmtId="0" fontId="0" fillId="0" borderId="92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64" fillId="0" borderId="106" xfId="0" applyFont="1" applyBorder="1" applyAlignment="1">
      <alignment horizontal="center" vertical="center"/>
    </xf>
    <xf numFmtId="3" fontId="25" fillId="0" borderId="97" xfId="0" applyNumberFormat="1" applyFont="1" applyBorder="1" applyAlignment="1">
      <alignment horizontal="center" vertical="center"/>
    </xf>
    <xf numFmtId="0" fontId="64" fillId="0" borderId="0" xfId="74" applyFont="1" applyBorder="1" applyAlignment="1">
      <alignment horizontal="center"/>
    </xf>
    <xf numFmtId="3" fontId="152" fillId="0" borderId="97" xfId="0" applyNumberFormat="1" applyFont="1" applyBorder="1" applyAlignment="1">
      <alignment horizontal="center" vertical="center"/>
    </xf>
    <xf numFmtId="3" fontId="64" fillId="0" borderId="12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07" xfId="0" applyNumberFormat="1" applyFont="1" applyBorder="1" applyAlignment="1">
      <alignment horizontal="center" vertical="center" wrapText="1"/>
    </xf>
    <xf numFmtId="3" fontId="63" fillId="0" borderId="0" xfId="0" applyNumberFormat="1" applyFont="1" applyBorder="1" applyAlignment="1">
      <alignment horizontal="right"/>
    </xf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64" fillId="0" borderId="16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8" xfId="0" applyNumberFormat="1" applyFont="1" applyBorder="1" applyAlignment="1">
      <alignment horizontal="center" vertical="center" wrapText="1"/>
    </xf>
    <xf numFmtId="0" fontId="64" fillId="0" borderId="122" xfId="0" applyFont="1" applyBorder="1" applyAlignment="1">
      <alignment horizontal="center" vertical="center" readingOrder="2"/>
    </xf>
    <xf numFmtId="0" fontId="78" fillId="0" borderId="10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3" fontId="64" fillId="0" borderId="119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4" fillId="0" borderId="118" xfId="0" applyNumberFormat="1" applyFont="1" applyBorder="1" applyAlignment="1">
      <alignment horizontal="center" vertical="center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20" xfId="0" applyNumberFormat="1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64" fillId="0" borderId="49" xfId="0" applyFont="1" applyFill="1" applyBorder="1" applyAlignment="1"/>
    <xf numFmtId="0" fontId="78" fillId="0" borderId="85" xfId="0" applyFont="1" applyBorder="1" applyAlignment="1"/>
    <xf numFmtId="0" fontId="64" fillId="0" borderId="115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57" fillId="0" borderId="108" xfId="0" applyNumberFormat="1" applyFont="1" applyBorder="1" applyAlignment="1">
      <alignment horizontal="center" vertical="center" wrapText="1"/>
    </xf>
    <xf numFmtId="3" fontId="57" fillId="0" borderId="109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textRotation="255"/>
    </xf>
    <xf numFmtId="0" fontId="57" fillId="0" borderId="111" xfId="0" applyFont="1" applyBorder="1" applyAlignment="1">
      <alignment horizontal="center" vertical="center" textRotation="255"/>
    </xf>
    <xf numFmtId="0" fontId="0" fillId="0" borderId="112" xfId="0" applyBorder="1" applyAlignment="1"/>
    <xf numFmtId="3" fontId="64" fillId="0" borderId="113" xfId="0" applyNumberFormat="1" applyFont="1" applyBorder="1" applyAlignment="1">
      <alignment horizontal="center" vertical="center" wrapText="1"/>
    </xf>
    <xf numFmtId="3" fontId="64" fillId="0" borderId="114" xfId="0" applyNumberFormat="1" applyFont="1" applyBorder="1" applyAlignment="1">
      <alignment horizontal="center" vertical="center" wrapText="1"/>
    </xf>
    <xf numFmtId="3" fontId="64" fillId="0" borderId="123" xfId="0" applyNumberFormat="1" applyFont="1" applyBorder="1" applyAlignment="1">
      <alignment horizontal="center"/>
    </xf>
    <xf numFmtId="3" fontId="89" fillId="0" borderId="124" xfId="0" applyNumberFormat="1" applyFont="1" applyBorder="1" applyAlignment="1">
      <alignment horizontal="center"/>
    </xf>
    <xf numFmtId="0" fontId="88" fillId="0" borderId="0" xfId="0" applyFont="1" applyBorder="1" applyAlignment="1"/>
    <xf numFmtId="0" fontId="90" fillId="0" borderId="0" xfId="0" applyFont="1" applyBorder="1" applyAlignment="1">
      <alignment horizontal="center"/>
    </xf>
    <xf numFmtId="0" fontId="88" fillId="0" borderId="0" xfId="0" applyFont="1" applyAlignment="1"/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90" fillId="0" borderId="28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3" fontId="90" fillId="0" borderId="123" xfId="0" applyNumberFormat="1" applyFon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3" fontId="90" fillId="0" borderId="125" xfId="0" applyNumberFormat="1" applyFont="1" applyBorder="1" applyAlignment="1">
      <alignment horizontal="center" vertical="center" wrapText="1"/>
    </xf>
    <xf numFmtId="3" fontId="90" fillId="0" borderId="62" xfId="0" applyNumberFormat="1" applyFont="1" applyBorder="1" applyAlignment="1">
      <alignment horizontal="center" vertical="center" wrapText="1"/>
    </xf>
    <xf numFmtId="0" fontId="88" fillId="0" borderId="126" xfId="0" applyFont="1" applyBorder="1" applyAlignment="1">
      <alignment horizontal="center" vertical="center" wrapText="1"/>
    </xf>
    <xf numFmtId="0" fontId="90" fillId="0" borderId="92" xfId="0" applyFont="1" applyBorder="1" applyAlignment="1">
      <alignment horizontal="right"/>
    </xf>
    <xf numFmtId="3" fontId="64" fillId="0" borderId="29" xfId="0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06" xfId="0" applyFont="1" applyBorder="1" applyAlignment="1">
      <alignment horizontal="center"/>
    </xf>
    <xf numFmtId="3" fontId="90" fillId="0" borderId="29" xfId="0" applyNumberFormat="1" applyFont="1" applyBorder="1" applyAlignment="1">
      <alignment horizontal="center" vertical="center" wrapText="1"/>
    </xf>
    <xf numFmtId="0" fontId="90" fillId="0" borderId="90" xfId="0" applyFont="1" applyBorder="1" applyAlignment="1">
      <alignment horizontal="center" vertical="center" wrapText="1"/>
    </xf>
    <xf numFmtId="0" fontId="90" fillId="0" borderId="67" xfId="0" applyFont="1" applyBorder="1" applyAlignment="1">
      <alignment horizontal="center" vertical="center" wrapText="1"/>
    </xf>
    <xf numFmtId="0" fontId="88" fillId="0" borderId="93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left"/>
    </xf>
    <xf numFmtId="0" fontId="59" fillId="0" borderId="73" xfId="0" applyFont="1" applyBorder="1" applyAlignment="1">
      <alignment horizontal="left"/>
    </xf>
    <xf numFmtId="0" fontId="156" fillId="0" borderId="0" xfId="0" applyFont="1" applyBorder="1" applyAlignment="1">
      <alignment horizontal="right"/>
    </xf>
    <xf numFmtId="0" fontId="154" fillId="0" borderId="0" xfId="0" applyFont="1" applyBorder="1" applyAlignment="1">
      <alignment horizontal="right"/>
    </xf>
    <xf numFmtId="0" fontId="155" fillId="0" borderId="0" xfId="0" applyFont="1" applyAlignment="1"/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4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7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39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55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top" wrapText="1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12" fillId="0" borderId="24" xfId="72" applyFont="1" applyBorder="1" applyAlignment="1">
      <alignment horizontal="center"/>
    </xf>
    <xf numFmtId="0" fontId="48" fillId="0" borderId="100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48" fillId="0" borderId="93" xfId="72" applyFont="1" applyBorder="1" applyAlignment="1">
      <alignment horizontal="center"/>
    </xf>
    <xf numFmtId="0" fontId="99" fillId="0" borderId="0" xfId="0" applyFont="1" applyBorder="1" applyAlignment="1">
      <alignment horizontal="right"/>
    </xf>
    <xf numFmtId="0" fontId="98" fillId="0" borderId="24" xfId="72" applyFont="1" applyBorder="1" applyAlignment="1">
      <alignment horizontal="center"/>
    </xf>
    <xf numFmtId="0" fontId="100" fillId="0" borderId="100" xfId="72" applyFont="1" applyBorder="1" applyAlignment="1">
      <alignment horizontal="center" wrapText="1"/>
    </xf>
    <xf numFmtId="0" fontId="100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0" fillId="0" borderId="0" xfId="72" applyFont="1" applyAlignment="1"/>
    <xf numFmtId="0" fontId="100" fillId="0" borderId="45" xfId="72" applyFont="1" applyBorder="1" applyAlignment="1">
      <alignment horizontal="center"/>
    </xf>
    <xf numFmtId="0" fontId="100" fillId="0" borderId="95" xfId="72" applyFont="1" applyBorder="1" applyAlignment="1">
      <alignment horizontal="center"/>
    </xf>
    <xf numFmtId="0" fontId="100" fillId="0" borderId="100" xfId="72" applyFont="1" applyBorder="1" applyAlignment="1">
      <alignment horizontal="center"/>
    </xf>
    <xf numFmtId="0" fontId="99" fillId="0" borderId="0" xfId="72" applyFont="1" applyAlignment="1">
      <alignment horizontal="right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52" fillId="0" borderId="0" xfId="73" applyFont="1" applyAlignment="1">
      <alignment horizontal="right" wrapText="1"/>
    </xf>
    <xf numFmtId="0" fontId="20" fillId="0" borderId="24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35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3" fillId="0" borderId="0" xfId="77" applyFont="1" applyAlignment="1">
      <alignment horizontal="center"/>
    </xf>
    <xf numFmtId="0" fontId="53" fillId="0" borderId="24" xfId="77" applyFont="1" applyBorder="1" applyAlignment="1">
      <alignment horizontal="center"/>
    </xf>
    <xf numFmtId="0" fontId="53" fillId="0" borderId="25" xfId="77" applyFont="1" applyBorder="1" applyAlignment="1">
      <alignment horizontal="center" vertical="center"/>
    </xf>
    <xf numFmtId="0" fontId="53" fillId="0" borderId="48" xfId="77" applyFont="1" applyBorder="1" applyAlignment="1">
      <alignment horizontal="center" vertical="center"/>
    </xf>
    <xf numFmtId="0" fontId="53" fillId="0" borderId="25" xfId="77" applyFont="1" applyBorder="1" applyAlignment="1">
      <alignment horizontal="center" vertical="center" wrapText="1"/>
    </xf>
    <xf numFmtId="0" fontId="53" fillId="0" borderId="48" xfId="77" applyFont="1" applyBorder="1" applyAlignment="1">
      <alignment horizontal="center" vertical="center" wrapText="1"/>
    </xf>
    <xf numFmtId="0" fontId="53" fillId="0" borderId="44" xfId="77" applyFont="1" applyBorder="1" applyAlignment="1">
      <alignment horizontal="center" vertical="center"/>
    </xf>
    <xf numFmtId="0" fontId="53" fillId="0" borderId="91" xfId="77" applyFont="1" applyBorder="1" applyAlignment="1">
      <alignment horizontal="center" vertical="center"/>
    </xf>
    <xf numFmtId="0" fontId="53" fillId="0" borderId="92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57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7" customWidth="1"/>
    <col min="2" max="2" width="36.28515625" style="157" customWidth="1"/>
    <col min="3" max="3" width="13.28515625" style="158" customWidth="1"/>
    <col min="4" max="4" width="11.140625" style="158" customWidth="1"/>
    <col min="5" max="5" width="13.42578125" style="158" customWidth="1"/>
    <col min="6" max="6" width="36.85546875" style="158" customWidth="1"/>
    <col min="7" max="8" width="12" style="158" customWidth="1"/>
    <col min="9" max="9" width="14" style="158" customWidth="1"/>
    <col min="10" max="12" width="0" style="157" hidden="1" customWidth="1"/>
    <col min="13" max="22" width="9.140625" style="157"/>
    <col min="23" max="16384" width="9.140625" style="10"/>
  </cols>
  <sheetData>
    <row r="1" spans="1:22" ht="12.75" customHeight="1" x14ac:dyDescent="0.2">
      <c r="A1" s="1244" t="s">
        <v>1352</v>
      </c>
      <c r="B1" s="1244"/>
      <c r="C1" s="1244"/>
      <c r="D1" s="1244"/>
      <c r="E1" s="1244"/>
      <c r="F1" s="1244"/>
      <c r="G1" s="1244"/>
      <c r="H1" s="1244"/>
      <c r="I1" s="1244"/>
    </row>
    <row r="2" spans="1:22" ht="20.25" x14ac:dyDescent="0.3">
      <c r="B2" s="932"/>
      <c r="I2" s="159"/>
    </row>
    <row r="3" spans="1:22" s="122" customFormat="1" x14ac:dyDescent="0.2">
      <c r="A3" s="160"/>
      <c r="B3" s="1247" t="s">
        <v>54</v>
      </c>
      <c r="C3" s="1247"/>
      <c r="D3" s="1247"/>
      <c r="E3" s="1247"/>
      <c r="F3" s="1247"/>
      <c r="G3" s="1247"/>
      <c r="H3" s="1247"/>
      <c r="I3" s="1247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49" t="s">
        <v>1152</v>
      </c>
      <c r="C4" s="1249"/>
      <c r="D4" s="1249"/>
      <c r="E4" s="1249"/>
      <c r="F4" s="1249"/>
      <c r="G4" s="1249"/>
      <c r="H4" s="1249"/>
      <c r="I4" s="124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x14ac:dyDescent="0.2">
      <c r="A5" s="160"/>
      <c r="B5" s="1248" t="s">
        <v>306</v>
      </c>
      <c r="C5" s="1248"/>
      <c r="D5" s="1248"/>
      <c r="E5" s="1248"/>
      <c r="F5" s="1248"/>
      <c r="G5" s="1248"/>
      <c r="H5" s="1248"/>
      <c r="I5" s="1248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52" t="s">
        <v>56</v>
      </c>
      <c r="B6" s="1253" t="s">
        <v>57</v>
      </c>
      <c r="C6" s="1254" t="s">
        <v>58</v>
      </c>
      <c r="D6" s="1254"/>
      <c r="E6" s="1255"/>
      <c r="F6" s="1256" t="s">
        <v>59</v>
      </c>
      <c r="G6" s="1250" t="s">
        <v>60</v>
      </c>
      <c r="H6" s="1251"/>
      <c r="I6" s="1251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52"/>
      <c r="B7" s="1253"/>
      <c r="C7" s="1245" t="s">
        <v>1140</v>
      </c>
      <c r="D7" s="1245"/>
      <c r="E7" s="1246"/>
      <c r="F7" s="1257"/>
      <c r="G7" s="1245" t="s">
        <v>1140</v>
      </c>
      <c r="H7" s="1245"/>
      <c r="I7" s="1245"/>
      <c r="J7" s="160"/>
      <c r="K7" s="160"/>
      <c r="L7" s="160"/>
      <c r="M7" s="160"/>
      <c r="N7" s="160"/>
      <c r="O7" s="160"/>
      <c r="P7" s="160"/>
    </row>
    <row r="8" spans="1:22" s="123" customFormat="1" ht="36.6" customHeight="1" x14ac:dyDescent="0.2">
      <c r="A8" s="1252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187"/>
      <c r="K8" s="187"/>
      <c r="L8" s="187"/>
      <c r="M8" s="187"/>
      <c r="N8" s="187"/>
      <c r="O8" s="187"/>
      <c r="P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0"/>
      <c r="Q9" s="10"/>
      <c r="R9" s="10"/>
      <c r="S9" s="10"/>
      <c r="T9" s="10"/>
      <c r="U9" s="10"/>
      <c r="V9" s="10"/>
    </row>
    <row r="10" spans="1:22" x14ac:dyDescent="0.2">
      <c r="A10" s="164">
        <f t="shared" ref="A10:A55" si="0">A9+1</f>
        <v>2</v>
      </c>
      <c r="B10" s="167" t="s">
        <v>198</v>
      </c>
      <c r="C10" s="295"/>
      <c r="D10" s="295"/>
      <c r="E10" s="283">
        <f>SUM(C10:D10)</f>
        <v>0</v>
      </c>
      <c r="F10" s="497" t="s">
        <v>216</v>
      </c>
      <c r="G10" s="283">
        <f>'pü.mérleg Önkorm.'!G10+'pü.mérleg Hivatal'!H12+'püm. GAMESZ. '!G12+'püm-TASZII.'!G12+püm.Brunszvik!G12+'püm Festetics'!G12</f>
        <v>576769</v>
      </c>
      <c r="H10" s="283">
        <f>'pü.mérleg Önkorm.'!H10+'pü.mérleg Hivatal'!I12+'püm. GAMESZ. '!H12+'püm-TASZII.'!H12+püm.Brunszvik!H12+'püm Festetics'!H12</f>
        <v>404462</v>
      </c>
      <c r="I10" s="465">
        <f>SUM(G10:H10)</f>
        <v>981231</v>
      </c>
      <c r="J10" s="169" t="e">
        <f>'pü.mérleg Önkorm.'!#REF!+'pü.mérleg Hivatal'!#REF!+'püm. GAMESZ. '!#REF!+püm.Brunszvik!#REF!+'püm-TASZII.'!#REF!</f>
        <v>#REF!</v>
      </c>
      <c r="K10" s="158" t="e">
        <f>'pü.mérleg Önkorm.'!#REF!+'pü.mérleg Hivatal'!#REF!+'püm. GAMESZ. '!#REF!++'püm-TASZII.'!#REF!+püm.Brunszvik!#REF!</f>
        <v>#REF!</v>
      </c>
      <c r="L10" s="158" t="e">
        <f>'pü.mérleg Önkorm.'!#REF!+'pü.mérleg Hivatal'!#REF!+'püm. GAMESZ. '!#REF!+püm.Brunszvik!#REF!+'püm-TASZII.'!#REF!</f>
        <v>#REF!</v>
      </c>
      <c r="N10" s="158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192</v>
      </c>
      <c r="C11" s="295">
        <f>'tám, végl. pe.átv  '!C11+'tám, végl. pe.átv  '!C17+'tám, végl. pe.átv  '!C18</f>
        <v>788582</v>
      </c>
      <c r="D11" s="295">
        <f>'tám, végl. pe.átv  '!D11+'tám, végl. pe.átv  '!D17+'tám, végl. pe.átv  '!D18</f>
        <v>107996</v>
      </c>
      <c r="E11" s="295">
        <f>'tám, végl. pe.átv  '!E11+'tám, végl. pe.átv  '!E17+'tám, végl. pe.átv  '!E18</f>
        <v>896578</v>
      </c>
      <c r="F11" s="859" t="s">
        <v>217</v>
      </c>
      <c r="G11" s="283">
        <f>'pü.mérleg Önkorm.'!G11+'pü.mérleg Hivatal'!H13+'püm. GAMESZ. '!G13+püm.Brunszvik!G13+'püm-TASZII.'!G13+'püm Festetics'!G13</f>
        <v>118077</v>
      </c>
      <c r="H11" s="283">
        <f>'pü.mérleg Önkorm.'!H11+'pü.mérleg Hivatal'!I13+'püm. GAMESZ. '!H13+püm.Brunszvik!H13+'püm-TASZII.'!H13+'püm Festetics'!H13</f>
        <v>89844</v>
      </c>
      <c r="I11" s="466">
        <f>SUM(G11:H11)</f>
        <v>207921</v>
      </c>
      <c r="J11" s="158" t="e">
        <f>'pü.mérleg Önkorm.'!#REF!+'pü.mérleg Hivatal'!#REF!+'püm. GAMESZ. '!#REF!+püm.Brunszvik!#REF!+'püm-TASZII.'!#REF!</f>
        <v>#REF!</v>
      </c>
      <c r="K11" s="158" t="e">
        <f>'pü.mérleg Önkorm.'!#REF!+'pü.mérleg Hivatal'!#REF!+'püm. GAMESZ. '!#REF!+püm.Brunszvik!#REF!+'püm-TASZII.'!#REF!</f>
        <v>#REF!</v>
      </c>
      <c r="L11" s="158" t="e">
        <f>'pü.mérleg Önkorm.'!#REF!+'pü.mérleg Hivatal'!#REF!+'püm. GAMESZ. '!#REF!+püm.Brunszvik!#REF!+'püm-TASZII.'!#REF!</f>
        <v>#REF!</v>
      </c>
      <c r="N11" s="158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190</v>
      </c>
      <c r="C12" s="295">
        <f>'pü.mérleg Önkorm.'!C12</f>
        <v>0</v>
      </c>
      <c r="D12" s="295">
        <f>'pü.mérleg Önkorm.'!D12</f>
        <v>0</v>
      </c>
      <c r="E12" s="295">
        <f>'pü.mérleg Önkorm.'!E12</f>
        <v>0</v>
      </c>
      <c r="F12" s="497" t="s">
        <v>218</v>
      </c>
      <c r="G12" s="283">
        <f>'pü.mérleg Önkorm.'!G12+'pü.mérleg Hivatal'!H14+'püm. GAMESZ. '!G14+püm.Brunszvik!G14+'püm-TASZII.'!G14+'püm Festetics'!G14</f>
        <v>644057</v>
      </c>
      <c r="H12" s="283">
        <f>'pü.mérleg Önkorm.'!H12+'pü.mérleg Hivatal'!I14+'püm. GAMESZ. '!H14+püm.Brunszvik!H14+'püm-TASZII.'!H14+'püm Festetics'!H14</f>
        <v>572652</v>
      </c>
      <c r="I12" s="466">
        <f>SUM(G12:H12)</f>
        <v>1216709</v>
      </c>
      <c r="J12" s="158" t="e">
        <f>'pü.mérleg Önkorm.'!#REF!+'pü.mérleg Hivatal'!#REF!+'püm. GAMESZ. '!#REF!+püm.Brunszvik!#REF!+'püm-TASZII.'!#REF!</f>
        <v>#REF!</v>
      </c>
      <c r="K12" s="158" t="e">
        <f>'pü.mérleg Önkorm.'!#REF!+'pü.mérleg Hivatal'!#REF!+'püm. GAMESZ. '!#REF!+püm.Brunszvik!#REF!+'püm-TASZII.'!#REF!</f>
        <v>#REF!</v>
      </c>
      <c r="L12" s="158" t="e">
        <f>'pü.mérleg Önkorm.'!#REF!+'pü.mérleg Hivatal'!#REF!+'püm. GAMESZ. '!#REF!+püm.Brunszvik!#REF!+'püm-TASZII.'!#REF!</f>
        <v>#REF!</v>
      </c>
      <c r="N12" s="158"/>
      <c r="Q12" s="10"/>
      <c r="R12" s="10"/>
      <c r="S12" s="10"/>
      <c r="T12" s="10"/>
      <c r="U12" s="10"/>
      <c r="V12" s="10"/>
    </row>
    <row r="13" spans="1:22" ht="12" customHeight="1" x14ac:dyDescent="0.2">
      <c r="A13" s="164">
        <f t="shared" si="0"/>
        <v>5</v>
      </c>
      <c r="B13" s="536" t="s">
        <v>193</v>
      </c>
      <c r="C13" s="295">
        <f>'tám, végl. pe.átv  '!C37+'tám, végl. pe.átv  '!C47+'tám, végl. pe.átv  '!C53+'tám, végl. pe.átv  '!C70</f>
        <v>31707</v>
      </c>
      <c r="D13" s="295">
        <f>'tám, végl. pe.átv  '!D37+'tám, végl. pe.átv  '!D47+'tám, végl. pe.átv  '!D53+'tám, végl. pe.átv  '!D70+'tám, végl. pe.átv  '!D58</f>
        <v>12526</v>
      </c>
      <c r="E13" s="295">
        <f>'tám, végl. pe.átv  '!E37+'tám, végl. pe.átv  '!E47+'tám, végl. pe.átv  '!E53+'tám, végl. pe.átv  '!E70+'tám, végl. pe.átv  '!E58</f>
        <v>44233</v>
      </c>
      <c r="F13" s="497"/>
      <c r="G13" s="295"/>
      <c r="H13" s="295"/>
      <c r="I13" s="465"/>
      <c r="J13" s="180"/>
      <c r="O13" s="18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67" t="s">
        <v>1120</v>
      </c>
      <c r="C14" s="295"/>
      <c r="D14" s="295"/>
      <c r="E14" s="283"/>
      <c r="F14" s="497" t="s">
        <v>219</v>
      </c>
      <c r="G14" s="283">
        <f>'pü.mérleg Önkorm.'!G14+'pü.mérleg Hivatal'!H16</f>
        <v>3039</v>
      </c>
      <c r="H14" s="283">
        <f>'pü.mérleg Önkorm.'!H14+'pü.mérleg Hivatal'!I16</f>
        <v>10950</v>
      </c>
      <c r="I14" s="466">
        <f>'pü.mérleg Önkorm.'!I14+'pü.mérleg Hivatal'!J16</f>
        <v>13989</v>
      </c>
      <c r="J14" s="158" t="e">
        <f>'pü.mérleg Önkorm.'!#REF!+'pü.mérleg Hivatal'!#REF!</f>
        <v>#REF!</v>
      </c>
      <c r="K14" s="158" t="e">
        <f>'pü.mérleg Önkorm.'!#REF!+'pü.mérleg Hivatal'!#REF!</f>
        <v>#REF!</v>
      </c>
      <c r="L14" s="158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4">
        <f t="shared" si="0"/>
        <v>7</v>
      </c>
      <c r="B15" s="167" t="s">
        <v>1118</v>
      </c>
      <c r="C15" s="295">
        <f>'pü.mérleg Önkorm.'!C15</f>
        <v>0</v>
      </c>
      <c r="D15" s="295">
        <f>'pü.mérleg Önkorm.'!D15</f>
        <v>0</v>
      </c>
      <c r="E15" s="295">
        <f>'pü.mérleg Önkorm.'!E15</f>
        <v>0</v>
      </c>
      <c r="F15" s="497"/>
      <c r="G15" s="283"/>
      <c r="H15" s="283"/>
      <c r="I15" s="466"/>
      <c r="J15" s="158"/>
      <c r="K15" s="158"/>
      <c r="L15" s="158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103" t="s">
        <v>1119</v>
      </c>
      <c r="C16" s="295">
        <f>'pü.mérleg Önkorm.'!C16+'pü.mérleg Hivatal'!D16+'püm. GAMESZ. '!C16+püm.Brunszvik!C16+'püm Festetics'!C16+'püm-TASZII.'!C16</f>
        <v>0</v>
      </c>
      <c r="D16" s="295">
        <f>'pü.mérleg Önkorm.'!D16+'pü.mérleg Hivatal'!E16+'püm. GAMESZ. '!D16+püm.Brunszvik!D16+'püm Festetics'!D16+'püm-TASZII.'!D16</f>
        <v>14540</v>
      </c>
      <c r="E16" s="295">
        <f>'pü.mérleg Önkorm.'!E16+'pü.mérleg Hivatal'!F16+'püm. GAMESZ. '!E16+püm.Brunszvik!E16+'püm Festetics'!E16+'püm-TASZII.'!E16</f>
        <v>14540</v>
      </c>
      <c r="F16" s="497" t="s">
        <v>220</v>
      </c>
      <c r="G16" s="290"/>
      <c r="H16" s="290"/>
      <c r="I16" s="465"/>
      <c r="J16" s="18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194</v>
      </c>
      <c r="C17" s="295">
        <f>'pü.mérleg Önkorm.'!C17+'püm. GAMESZ. '!C18+püm.Brunszvik!C18+'püm-TASZII.'!C18+'pü.mérleg Hivatal'!D17+püm.Brunszvik!C18</f>
        <v>377747</v>
      </c>
      <c r="D17" s="295">
        <f>'mük. bev.Önkor és Hivatal '!F40</f>
        <v>862657</v>
      </c>
      <c r="E17" s="283">
        <f>SUM(C17:D17)</f>
        <v>1240404</v>
      </c>
      <c r="F17" s="497" t="s">
        <v>221</v>
      </c>
      <c r="G17" s="283">
        <f>'pü.mérleg Önkorm.'!G17+'pü.mérleg Hivatal'!H18</f>
        <v>5863</v>
      </c>
      <c r="H17" s="283">
        <f>'pü.mérleg Önkorm.'!H17+'pü.mérleg Hivatal'!I18</f>
        <v>58841</v>
      </c>
      <c r="I17" s="466">
        <f>'pü.mérleg Önkorm.'!I17+'pü.mérleg Hivatal'!J18</f>
        <v>64704</v>
      </c>
      <c r="J17" s="283">
        <f>'pü.mérleg Önkorm.'!J17+'pü.mérleg Hivatal'!K18</f>
        <v>0</v>
      </c>
      <c r="K17" s="283">
        <f>'pü.mérleg Önkorm.'!K17+'pü.mérleg Hivatal'!L18</f>
        <v>0</v>
      </c>
      <c r="L17" s="283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70" t="s">
        <v>40</v>
      </c>
      <c r="C18" s="295">
        <f>'pü.mérleg Önkorm.'!C18+'püm. GAMESZ. '!C19+püm.Brunszvik!C19+'püm-TASZII.'!C19+'pü.mérleg Hivatal'!D18+püm.Brunszvik!C19</f>
        <v>0</v>
      </c>
      <c r="D18" s="355"/>
      <c r="E18" s="355"/>
      <c r="F18" s="497" t="s">
        <v>222</v>
      </c>
      <c r="G18" s="283">
        <f>'pü.mérleg Önkorm.'!G18+'pü.mérleg Hivatal'!H19</f>
        <v>115421</v>
      </c>
      <c r="H18" s="283">
        <f>'pü.mérleg Önkorm.'!H18+'pü.mérleg Hivatal'!I19</f>
        <v>176606</v>
      </c>
      <c r="I18" s="283">
        <f>'pü.mérleg Önkorm.'!I18+'pü.mérleg Hivatal'!J19</f>
        <v>292027</v>
      </c>
      <c r="J18" s="158" t="e">
        <f>'pü.mérleg Önkorm.'!#REF!</f>
        <v>#REF!</v>
      </c>
      <c r="K18" s="158" t="e">
        <f>'pü.mérleg Önkorm.'!#REF!</f>
        <v>#REF!</v>
      </c>
      <c r="L18" s="158" t="e">
        <f>'pü.mérleg Önkorm.'!#REF!</f>
        <v>#REF!</v>
      </c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70"/>
      <c r="C19" s="295"/>
      <c r="D19" s="355"/>
      <c r="E19" s="355"/>
      <c r="F19" s="497" t="s">
        <v>223</v>
      </c>
      <c r="G19" s="283">
        <f>'pü.mérleg Önkorm.'!G19+'pü.mérleg Hivatal'!H20+'püm. GAMESZ. '!G20+püm.Brunszvik!G20+'püm Festetics'!G20+'püm-TASZII.'!G20</f>
        <v>0</v>
      </c>
      <c r="H19" s="283">
        <f>'pü.mérleg Önkorm.'!H19+'pü.mérleg Hivatal'!I20+'püm. GAMESZ. '!H20+püm.Brunszvik!H20+'püm Festetics'!H20+'püm-TASZII.'!H20</f>
        <v>0</v>
      </c>
      <c r="I19" s="283">
        <f>'pü.mérleg Önkorm.'!I19+'pü.mérleg Hivatal'!J20+'püm. GAMESZ. '!I20+püm.Brunszvik!I20+'püm Festetics'!I20+'püm-TASZII.'!I20</f>
        <v>0</v>
      </c>
      <c r="J19" s="119">
        <f>'pü.mérleg Önkorm.'!J19+'pü.mérleg Hivatal'!K20+'püm. GAMESZ. '!J20+püm.Brunszvik!J20+'püm Festetics'!J20+'püm-TASZII.'!J20</f>
        <v>0</v>
      </c>
      <c r="K19" s="119">
        <f>'pü.mérleg Önkorm.'!K19+'pü.mérleg Hivatal'!L20+'püm. GAMESZ. '!K20+püm.Brunszvik!K20+'püm Festetics'!K20+'püm-TASZII.'!K20</f>
        <v>0</v>
      </c>
      <c r="L19" s="119">
        <f>'pü.mérleg Önkorm.'!L19+'pü.mérleg Hivatal'!M20+'püm. GAMESZ. '!L20+püm.Brunszvik!L20+'püm Festetics'!L20+'püm-TASZII.'!L20</f>
        <v>0</v>
      </c>
      <c r="M19" s="184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16" t="s">
        <v>195</v>
      </c>
      <c r="C20" s="295">
        <f>'pü.mérleg Önkorm.'!C20+'pü.mérleg Hivatal'!D20+'püm. GAMESZ. '!C20+püm.Brunszvik!C20+'püm-TASZII.'!C20+'püm Festetics'!C20</f>
        <v>325705</v>
      </c>
      <c r="D20" s="295">
        <f>'pü.mérleg Önkorm.'!D20+'pü.mérleg Hivatal'!E20+'püm. GAMESZ. '!D20+püm.Brunszvik!D20+'püm-TASZII.'!D20+'püm Festetics'!D20</f>
        <v>289132</v>
      </c>
      <c r="E20" s="295">
        <f>SUM(C20:D20)</f>
        <v>614837</v>
      </c>
      <c r="F20" s="497" t="s">
        <v>224</v>
      </c>
      <c r="G20" s="283"/>
      <c r="H20" s="283">
        <f>'pü.mérleg Önkorm.'!H20</f>
        <v>33792</v>
      </c>
      <c r="I20" s="465">
        <f>SUM(G20:H20)</f>
        <v>33792</v>
      </c>
      <c r="J20" s="18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C21" s="355"/>
      <c r="D21" s="355"/>
      <c r="E21" s="355"/>
      <c r="F21" s="497" t="s">
        <v>225</v>
      </c>
      <c r="G21" s="283">
        <f>'pü.mérleg Önkorm.'!G21</f>
        <v>81204</v>
      </c>
      <c r="H21" s="283">
        <f>'pü.mérleg Önkorm.'!H21</f>
        <v>28565</v>
      </c>
      <c r="I21" s="465">
        <f>SUM(G21:H21)</f>
        <v>109769</v>
      </c>
      <c r="J21" s="180"/>
      <c r="Q21" s="10"/>
      <c r="R21" s="10"/>
      <c r="S21" s="10"/>
      <c r="T21" s="10"/>
      <c r="U21" s="10"/>
      <c r="V21" s="10"/>
    </row>
    <row r="22" spans="1:22" s="124" customFormat="1" x14ac:dyDescent="0.2">
      <c r="A22" s="164">
        <f t="shared" si="0"/>
        <v>14</v>
      </c>
      <c r="B22" s="116" t="s">
        <v>197</v>
      </c>
      <c r="C22" s="355"/>
      <c r="D22" s="355"/>
      <c r="E22" s="355"/>
      <c r="F22" s="603"/>
      <c r="G22" s="290"/>
      <c r="H22" s="290"/>
      <c r="I22" s="467"/>
      <c r="J22" s="626"/>
      <c r="K22" s="188"/>
      <c r="L22" s="188"/>
      <c r="M22" s="188"/>
      <c r="N22" s="188"/>
      <c r="O22" s="188"/>
      <c r="P22" s="188"/>
    </row>
    <row r="23" spans="1:22" s="124" customFormat="1" x14ac:dyDescent="0.2">
      <c r="A23" s="164">
        <f t="shared" si="0"/>
        <v>15</v>
      </c>
      <c r="B23" s="116" t="s">
        <v>196</v>
      </c>
      <c r="C23" s="355"/>
      <c r="D23" s="355"/>
      <c r="E23" s="355"/>
      <c r="F23" s="603"/>
      <c r="G23" s="290"/>
      <c r="H23" s="290"/>
      <c r="I23" s="467"/>
      <c r="J23" s="626"/>
      <c r="K23" s="188"/>
      <c r="L23" s="188"/>
      <c r="M23" s="188"/>
      <c r="N23" s="626"/>
      <c r="O23" s="188"/>
      <c r="P23" s="188"/>
    </row>
    <row r="24" spans="1:22" x14ac:dyDescent="0.2">
      <c r="A24" s="164">
        <f t="shared" si="0"/>
        <v>16</v>
      </c>
      <c r="B24" s="167" t="s">
        <v>199</v>
      </c>
      <c r="C24" s="860">
        <f>'felh. bev.  '!D12</f>
        <v>1447</v>
      </c>
      <c r="D24" s="283">
        <f>'pü.mérleg Önkorm.'!D24+'pü.mérleg Hivatal'!E24+'püm. GAMESZ. '!D24+püm.Brunszvik!D24+'püm-TASZII.'!D24</f>
        <v>29300</v>
      </c>
      <c r="E24" s="355">
        <f>SUM(C24:D24)</f>
        <v>30747</v>
      </c>
      <c r="F24" s="861" t="s">
        <v>66</v>
      </c>
      <c r="G24" s="356">
        <f>SUM(G10:G22)</f>
        <v>1544430</v>
      </c>
      <c r="H24" s="356">
        <f>SUM(H10:H22)</f>
        <v>1375712</v>
      </c>
      <c r="I24" s="468">
        <f>SUM(I10:I22)</f>
        <v>2920142</v>
      </c>
      <c r="J24" s="158" t="e">
        <f>'pü.mérleg Önkorm.'!#REF!+'pü.mérleg Hivatal'!#REF!+'püm. GAMESZ. '!#REF!+püm.Brunszvik!#REF!+'püm-TASZII.'!#REF!</f>
        <v>#REF!</v>
      </c>
      <c r="K24" s="158" t="e">
        <f>'pü.mérleg Önkorm.'!#REF!+'pü.mérleg Hivatal'!#REF!+'püm. GAMESZ. '!#REF!+püm.Brunszvik!#REF!+'püm-TASZII.'!#REF!</f>
        <v>#REF!</v>
      </c>
      <c r="L24" s="158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64">
        <f t="shared" si="0"/>
        <v>17</v>
      </c>
      <c r="B25" s="167" t="s">
        <v>200</v>
      </c>
      <c r="C25" s="355">
        <f>'felh. bev.  '!D13</f>
        <v>0</v>
      </c>
      <c r="D25" s="355">
        <f>'felh. bev.  '!E13+'felh. bev.  '!E14+'felh. bev.  '!E42</f>
        <v>1289</v>
      </c>
      <c r="E25" s="355">
        <f>'felh. bev.  '!F13+'felh. bev.  '!F14+'felh. bev.  '!F42</f>
        <v>1289</v>
      </c>
      <c r="F25" s="603"/>
      <c r="G25" s="290"/>
      <c r="H25" s="290"/>
      <c r="I25" s="467"/>
      <c r="J25" s="18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16" t="s">
        <v>201</v>
      </c>
      <c r="C26" s="629"/>
      <c r="D26" s="283">
        <f>'pü.mérleg Önkorm.'!D26</f>
        <v>180</v>
      </c>
      <c r="E26" s="355">
        <f>SUM(C26:D26)</f>
        <v>180</v>
      </c>
      <c r="F26" s="862" t="s">
        <v>226</v>
      </c>
      <c r="G26" s="358"/>
      <c r="H26" s="358"/>
      <c r="I26" s="467"/>
      <c r="J26" s="18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67" t="s">
        <v>202</v>
      </c>
      <c r="C27" s="283"/>
      <c r="D27" s="283"/>
      <c r="E27" s="283"/>
      <c r="F27" s="497" t="s">
        <v>227</v>
      </c>
      <c r="G27" s="290">
        <f>'pü.mérleg Önkorm.'!G27+'pü.mérleg Hivatal'!H27+'püm. GAMESZ. '!G27+'püm-TASZII.'!G27+püm.Brunszvik!G27+'püm Festetics'!G27</f>
        <v>977752</v>
      </c>
      <c r="H27" s="290">
        <f>'pü.mérleg Önkorm.'!H27+'pü.mérleg Hivatal'!I27+'püm. GAMESZ. '!H27+'püm-TASZII.'!H27+'püm Festetics'!H27</f>
        <v>202065</v>
      </c>
      <c r="I27" s="467">
        <f>SUM(G27:H27)</f>
        <v>1179817</v>
      </c>
      <c r="J27" s="158" t="e">
        <f>'pü.mérleg Önkorm.'!#REF!+'pü.mérleg Hivatal'!#REF!+'püm. GAMESZ. '!#REF!+püm.Brunszvik!#REF!+'püm-TASZII.'!#REF!</f>
        <v>#REF!</v>
      </c>
      <c r="K27" s="158" t="e">
        <f>'pü.mérleg Önkorm.'!#REF!+'pü.mérleg Hivatal'!#REF!+'püm. GAMESZ. '!#REF!+püm.Brunszvik!#REF!+'püm-TASZII.'!#REF!</f>
        <v>#REF!</v>
      </c>
      <c r="L27" s="158" t="e">
        <f>'pü.mérleg Önkorm.'!#REF!+'pü.mérleg Hivatal'!#REF!+'püm. GAMESZ. '!#REF!+püm.Brunszvik!#REF!+'püm-TASZII.'!#REF!</f>
        <v>#REF!</v>
      </c>
      <c r="M27" s="158"/>
      <c r="N27" s="158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67"/>
      <c r="C28" s="283"/>
      <c r="D28" s="283"/>
      <c r="E28" s="283"/>
      <c r="F28" s="497" t="s">
        <v>228</v>
      </c>
      <c r="G28" s="290">
        <f>'felhalm. kiad.  '!G26</f>
        <v>49715</v>
      </c>
      <c r="H28" s="290">
        <f>'felhalm. kiad.  '!H26</f>
        <v>2500</v>
      </c>
      <c r="I28" s="467">
        <f>SUM(G28:H28)</f>
        <v>52215</v>
      </c>
      <c r="J28" s="180"/>
      <c r="Q28" s="10"/>
      <c r="R28" s="10"/>
      <c r="S28" s="10"/>
      <c r="T28" s="10"/>
      <c r="U28" s="10"/>
      <c r="V28" s="10"/>
    </row>
    <row r="29" spans="1:22" x14ac:dyDescent="0.2">
      <c r="A29" s="164">
        <f t="shared" si="0"/>
        <v>21</v>
      </c>
      <c r="B29" s="116" t="s">
        <v>203</v>
      </c>
      <c r="C29" s="283">
        <f>'tám, végl. pe.átv  '!C41+'tám, végl. pe.átv  '!C60</f>
        <v>0</v>
      </c>
      <c r="D29" s="283">
        <f>'tám, végl. pe.átv  '!D41+'tám, végl. pe.átv  '!D60</f>
        <v>203</v>
      </c>
      <c r="E29" s="283">
        <f>'tám, végl. pe.átv  '!E41+'tám, végl. pe.átv  '!E60</f>
        <v>203</v>
      </c>
      <c r="F29" s="497" t="s">
        <v>229</v>
      </c>
      <c r="G29" s="290"/>
      <c r="H29" s="290"/>
      <c r="I29" s="467"/>
      <c r="J29" s="180"/>
      <c r="Q29" s="10"/>
      <c r="R29" s="10"/>
      <c r="S29" s="10"/>
      <c r="T29" s="10"/>
      <c r="U29" s="10"/>
      <c r="V29" s="10"/>
    </row>
    <row r="30" spans="1:22" s="124" customFormat="1" x14ac:dyDescent="0.2">
      <c r="A30" s="164">
        <f t="shared" si="0"/>
        <v>22</v>
      </c>
      <c r="B30" s="116" t="s">
        <v>204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859" t="s">
        <v>230</v>
      </c>
      <c r="G30" s="290">
        <f>'felhalm. kiad.  '!G80</f>
        <v>12004</v>
      </c>
      <c r="H30" s="290">
        <f>'felhalm. kiad.  '!H80</f>
        <v>78232</v>
      </c>
      <c r="I30" s="467">
        <f>SUM(G30:H30)</f>
        <v>90236</v>
      </c>
      <c r="J30" s="626"/>
      <c r="K30" s="188"/>
      <c r="L30" s="188"/>
      <c r="M30" s="188"/>
      <c r="N30" s="188"/>
      <c r="O30" s="188"/>
      <c r="P30" s="188"/>
    </row>
    <row r="31" spans="1:22" s="124" customFormat="1" x14ac:dyDescent="0.2">
      <c r="A31" s="164">
        <f t="shared" si="0"/>
        <v>23</v>
      </c>
      <c r="B31" s="116"/>
      <c r="C31" s="283"/>
      <c r="D31" s="283"/>
      <c r="E31" s="283"/>
      <c r="F31" s="859" t="s">
        <v>1134</v>
      </c>
      <c r="G31" s="290">
        <f>'pü.mérleg Önkorm.'!G31</f>
        <v>0</v>
      </c>
      <c r="H31" s="290">
        <f>'pü.mérleg Önkorm.'!H31</f>
        <v>5000</v>
      </c>
      <c r="I31" s="290">
        <f>'pü.mérleg Önkorm.'!I31</f>
        <v>5000</v>
      </c>
      <c r="J31" s="290">
        <f>'pü.mérleg Önkorm.'!J31</f>
        <v>0</v>
      </c>
      <c r="K31" s="290">
        <f>'pü.mérleg Önkorm.'!K31</f>
        <v>0</v>
      </c>
      <c r="L31" s="290">
        <f>'pü.mérleg Önkorm.'!L31</f>
        <v>0</v>
      </c>
      <c r="M31" s="532"/>
      <c r="N31" s="188"/>
      <c r="O31" s="188"/>
      <c r="P31" s="188"/>
    </row>
    <row r="32" spans="1:22" x14ac:dyDescent="0.2">
      <c r="A32" s="164">
        <f t="shared" si="0"/>
        <v>24</v>
      </c>
      <c r="C32" s="283"/>
      <c r="D32" s="283"/>
      <c r="E32" s="283"/>
      <c r="F32" s="859" t="s">
        <v>280</v>
      </c>
      <c r="G32" s="290">
        <f>'pü.mérleg Önkorm.'!G32+'pü.mérleg Hivatal'!H31+'püm. GAMESZ. '!G31+'püm-TASZII.'!G31</f>
        <v>49688</v>
      </c>
      <c r="H32" s="290">
        <f>'pü.mérleg Önkorm.'!H32+'pü.mérleg Hivatal'!I31+'püm. GAMESZ. '!H31+'püm-TASZII.'!H31</f>
        <v>4350</v>
      </c>
      <c r="I32" s="467">
        <f>SUM(G32:H32)</f>
        <v>54038</v>
      </c>
      <c r="J32" s="158" t="e">
        <f>'pü.mérleg Önkorm.'!#REF!+'pü.mérleg Hivatal'!#REF!+'püm. GAMESZ. '!#REF!</f>
        <v>#REF!</v>
      </c>
      <c r="K32" s="158" t="e">
        <f>'pü.mérleg Önkorm.'!#REF!+'pü.mérleg Hivatal'!#REF!+'püm. GAMESZ. '!#REF!</f>
        <v>#REF!</v>
      </c>
      <c r="L32" s="158" t="e">
        <f>'pü.mérleg Önkorm.'!#REF!+'pü.mérleg Hivatal'!#REF!+'püm. GAMESZ. '!#REF!</f>
        <v>#REF!</v>
      </c>
      <c r="Q32" s="10"/>
      <c r="R32" s="10"/>
      <c r="S32" s="10"/>
      <c r="T32" s="10"/>
      <c r="U32" s="10"/>
      <c r="V32" s="10"/>
    </row>
    <row r="33" spans="1:22" s="11" customFormat="1" x14ac:dyDescent="0.2">
      <c r="A33" s="164">
        <f t="shared" si="0"/>
        <v>25</v>
      </c>
      <c r="B33" s="174" t="s">
        <v>52</v>
      </c>
      <c r="C33" s="355">
        <f>C12+C20+C11+C17+C13+C29</f>
        <v>1523741</v>
      </c>
      <c r="D33" s="355">
        <f>D12+D20+D11+D17+D13+D29</f>
        <v>1272514</v>
      </c>
      <c r="E33" s="355">
        <f>E12+E20+E11+E17+E13+E29</f>
        <v>2796255</v>
      </c>
      <c r="F33" s="497" t="s">
        <v>281</v>
      </c>
      <c r="G33" s="288">
        <f>tartalék!C18</f>
        <v>24882</v>
      </c>
      <c r="H33" s="288">
        <f>tartalék!D18</f>
        <v>12718</v>
      </c>
      <c r="I33" s="467">
        <f>tartalék!E18</f>
        <v>37600</v>
      </c>
      <c r="J33" s="178"/>
      <c r="K33" s="183"/>
      <c r="L33" s="183"/>
      <c r="M33" s="183"/>
      <c r="N33" s="183"/>
      <c r="O33" s="183"/>
      <c r="P33" s="183"/>
    </row>
    <row r="34" spans="1:22" x14ac:dyDescent="0.2">
      <c r="A34" s="164">
        <f t="shared" si="0"/>
        <v>26</v>
      </c>
      <c r="B34" s="170" t="s">
        <v>67</v>
      </c>
      <c r="C34" s="863">
        <f>C15+C16+C23+C24+C25+C26+C27+C30</f>
        <v>1447</v>
      </c>
      <c r="D34" s="863">
        <f t="shared" ref="D34" si="1">D15+D16+D23+D24+D25+D26+D27+D30</f>
        <v>48179</v>
      </c>
      <c r="E34" s="863">
        <f>E15+E16+E23+E24+E25+E26+E27+E30</f>
        <v>49626</v>
      </c>
      <c r="F34" s="835" t="s">
        <v>68</v>
      </c>
      <c r="G34" s="356">
        <f>SUM(G27:G33)</f>
        <v>1114041</v>
      </c>
      <c r="H34" s="356">
        <f>SUM(H27:H33)</f>
        <v>304865</v>
      </c>
      <c r="I34" s="468">
        <f>SUM(I27:I33)</f>
        <v>1418906</v>
      </c>
      <c r="J34" s="158" t="e">
        <f>'pü.mérleg Önkorm.'!#REF!+'pü.mérleg Hivatal'!#REF!+'püm. GAMESZ. '!#REF!+püm.Brunszvik!#REF!+'püm-TASZII.'!#REF!</f>
        <v>#REF!</v>
      </c>
      <c r="K34" s="158" t="e">
        <f>'pü.mérleg Önkorm.'!#REF!+'pü.mérleg Hivatal'!#REF!+'püm. GAMESZ. '!#REF!+püm.Brunszvik!#REF!+'püm-TASZII.'!#REF!</f>
        <v>#REF!</v>
      </c>
      <c r="L34" s="158" t="e">
        <f>'pü.mérleg Önkorm.'!#REF!+'pü.mérleg Hivatal'!#REF!+'püm. GAMESZ. '!#REF!+püm.Brunszvik!#REF!+'püm-TASZII.'!#REF!</f>
        <v>#REF!</v>
      </c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78" t="s">
        <v>51</v>
      </c>
      <c r="C35" s="629">
        <f>SUM(C33:C34)</f>
        <v>1525188</v>
      </c>
      <c r="D35" s="629">
        <f>SUM(D33:D34)</f>
        <v>1320693</v>
      </c>
      <c r="E35" s="629">
        <f>SUM(C35:D35)</f>
        <v>2845881</v>
      </c>
      <c r="F35" s="864" t="s">
        <v>69</v>
      </c>
      <c r="G35" s="358">
        <f>G24+G34</f>
        <v>2658471</v>
      </c>
      <c r="H35" s="358">
        <f>H24+H34</f>
        <v>1680577</v>
      </c>
      <c r="I35" s="444">
        <f>I24+I34</f>
        <v>4339048</v>
      </c>
      <c r="J35" s="180"/>
      <c r="Q35" s="10"/>
      <c r="R35" s="10"/>
      <c r="S35" s="10"/>
      <c r="T35" s="10"/>
      <c r="U35" s="10"/>
      <c r="V35" s="10"/>
    </row>
    <row r="36" spans="1:22" ht="12" thickBot="1" x14ac:dyDescent="0.25">
      <c r="A36" s="164">
        <f t="shared" si="0"/>
        <v>28</v>
      </c>
      <c r="B36" s="180"/>
      <c r="C36" s="283"/>
      <c r="D36" s="283"/>
      <c r="E36" s="283"/>
      <c r="F36" s="603"/>
      <c r="G36" s="290"/>
      <c r="H36" s="290"/>
      <c r="I36" s="467"/>
      <c r="J36" s="180"/>
      <c r="Q36" s="10"/>
      <c r="R36" s="10"/>
      <c r="S36" s="10"/>
      <c r="T36" s="10"/>
      <c r="U36" s="10"/>
      <c r="V36" s="10"/>
    </row>
    <row r="37" spans="1:22" ht="12" thickBot="1" x14ac:dyDescent="0.25">
      <c r="A37" s="164">
        <f t="shared" si="0"/>
        <v>29</v>
      </c>
      <c r="B37" s="1167" t="s">
        <v>23</v>
      </c>
      <c r="C37" s="927">
        <f>C35-G35</f>
        <v>-1133283</v>
      </c>
      <c r="D37" s="927">
        <f t="shared" ref="D37:E37" si="2">D35-H35</f>
        <v>-359884</v>
      </c>
      <c r="E37" s="928">
        <f t="shared" si="2"/>
        <v>-1493167</v>
      </c>
      <c r="F37" s="356"/>
      <c r="G37" s="356"/>
      <c r="H37" s="356"/>
      <c r="I37" s="468"/>
      <c r="J37" s="180"/>
      <c r="Q37" s="10"/>
      <c r="R37" s="10"/>
      <c r="S37" s="10"/>
      <c r="T37" s="10"/>
      <c r="U37" s="10"/>
      <c r="V37" s="10"/>
    </row>
    <row r="38" spans="1:22" s="11" customFormat="1" x14ac:dyDescent="0.2">
      <c r="A38" s="164">
        <f t="shared" si="0"/>
        <v>30</v>
      </c>
      <c r="B38" s="180"/>
      <c r="C38" s="283"/>
      <c r="D38" s="283"/>
      <c r="E38" s="283"/>
      <c r="F38" s="603"/>
      <c r="G38" s="290"/>
      <c r="H38" s="290"/>
      <c r="I38" s="467"/>
      <c r="J38" s="178"/>
      <c r="K38" s="183"/>
      <c r="L38" s="183"/>
      <c r="M38" s="183"/>
      <c r="N38" s="183"/>
      <c r="O38" s="183"/>
      <c r="P38" s="183"/>
    </row>
    <row r="39" spans="1:22" s="11" customFormat="1" x14ac:dyDescent="0.2">
      <c r="A39" s="164">
        <f t="shared" si="0"/>
        <v>31</v>
      </c>
      <c r="B39" s="126" t="s">
        <v>205</v>
      </c>
      <c r="C39" s="629"/>
      <c r="D39" s="629"/>
      <c r="E39" s="629"/>
      <c r="F39" s="862" t="s">
        <v>231</v>
      </c>
      <c r="G39" s="358"/>
      <c r="H39" s="358"/>
      <c r="I39" s="444"/>
      <c r="J39" s="178"/>
      <c r="K39" s="183"/>
      <c r="L39" s="183"/>
      <c r="M39" s="183"/>
      <c r="N39" s="183"/>
      <c r="O39" s="183"/>
      <c r="P39" s="183"/>
    </row>
    <row r="40" spans="1:22" s="11" customFormat="1" x14ac:dyDescent="0.2">
      <c r="A40" s="164">
        <f t="shared" si="0"/>
        <v>32</v>
      </c>
      <c r="B40" s="136" t="s">
        <v>206</v>
      </c>
      <c r="C40" s="629"/>
      <c r="D40" s="629"/>
      <c r="E40" s="629"/>
      <c r="F40" s="865" t="s">
        <v>232</v>
      </c>
      <c r="G40" s="189"/>
      <c r="I40" s="470"/>
      <c r="J40" s="178"/>
      <c r="K40" s="183"/>
      <c r="L40" s="183"/>
      <c r="M40" s="183"/>
      <c r="N40" s="183"/>
      <c r="O40" s="183"/>
      <c r="P40" s="183"/>
    </row>
    <row r="41" spans="1:22" s="11" customFormat="1" ht="21.75" x14ac:dyDescent="0.2">
      <c r="A41" s="329">
        <f t="shared" si="0"/>
        <v>33</v>
      </c>
      <c r="B41" s="1125" t="s">
        <v>1202</v>
      </c>
      <c r="C41" s="806">
        <f>'pü.mérleg Önkorm.'!C41</f>
        <v>634227</v>
      </c>
      <c r="D41" s="806">
        <f>'pü.mérleg Önkorm.'!D41</f>
        <v>0</v>
      </c>
      <c r="E41" s="806">
        <f>'pü.mérleg Önkorm.'!E41</f>
        <v>634227</v>
      </c>
      <c r="F41" s="190" t="s">
        <v>958</v>
      </c>
      <c r="G41" s="358"/>
      <c r="H41" s="358"/>
      <c r="I41" s="444"/>
      <c r="J41" s="178"/>
      <c r="K41" s="183"/>
      <c r="L41" s="183"/>
      <c r="M41" s="183"/>
      <c r="N41" s="183"/>
      <c r="O41" s="183"/>
      <c r="P41" s="183"/>
    </row>
    <row r="42" spans="1:22" x14ac:dyDescent="0.2">
      <c r="A42" s="164">
        <f t="shared" si="0"/>
        <v>34</v>
      </c>
      <c r="B42" s="118" t="s">
        <v>207</v>
      </c>
      <c r="C42" s="866"/>
      <c r="D42" s="867">
        <f>'pü.mérleg Önkorm.'!D42</f>
        <v>0</v>
      </c>
      <c r="E42" s="867">
        <f>SUM(C42:D42)</f>
        <v>0</v>
      </c>
      <c r="F42" s="497" t="s">
        <v>233</v>
      </c>
      <c r="G42" s="358"/>
      <c r="H42" s="358"/>
      <c r="I42" s="444"/>
      <c r="J42" s="18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208</v>
      </c>
      <c r="C43" s="283"/>
      <c r="D43" s="283"/>
      <c r="E43" s="283"/>
      <c r="F43" s="497" t="s">
        <v>234</v>
      </c>
      <c r="G43" s="189"/>
      <c r="H43" s="189"/>
      <c r="I43" s="444"/>
      <c r="J43" s="180"/>
      <c r="Q43" s="10"/>
      <c r="R43" s="10"/>
      <c r="S43" s="10"/>
      <c r="T43" s="10"/>
      <c r="U43" s="10"/>
      <c r="V43" s="10"/>
    </row>
    <row r="44" spans="1:22" ht="21.75" x14ac:dyDescent="0.2">
      <c r="A44" s="164">
        <f t="shared" si="0"/>
        <v>36</v>
      </c>
      <c r="B44" s="1175" t="s">
        <v>934</v>
      </c>
      <c r="C44" s="358">
        <f>'pü.mérleg Önkorm.'!C44+'pü.mérleg Hivatal'!D43+'püm. GAMESZ. '!C43+püm.Brunszvik!C43+'püm-TASZII.'!C43+'püm Festetics'!C43</f>
        <v>528926</v>
      </c>
      <c r="D44" s="358">
        <f>'pü.mérleg Önkorm.'!D44+'pü.mérleg Hivatal'!E43+'püm. GAMESZ. '!D43+püm.Brunszvik!D43+'püm-TASZII.'!D43+'püm Festetics'!D43</f>
        <v>364144</v>
      </c>
      <c r="E44" s="444">
        <f>'pü.mérleg Önkorm.'!E44+'pü.mérleg Hivatal'!F43+'püm. GAMESZ. '!E43+püm.Brunszvik!E43+'püm-TASZII.'!E43+'püm Festetics'!E43</f>
        <v>893070</v>
      </c>
      <c r="F44" s="283" t="s">
        <v>235</v>
      </c>
      <c r="G44" s="189"/>
      <c r="H44" s="189"/>
      <c r="I44" s="444"/>
      <c r="J44" s="180"/>
      <c r="Q44" s="10"/>
      <c r="R44" s="10"/>
      <c r="S44" s="10"/>
      <c r="T44" s="10"/>
      <c r="U44" s="10"/>
      <c r="V44" s="10"/>
    </row>
    <row r="45" spans="1:22" x14ac:dyDescent="0.2">
      <c r="A45" s="164">
        <f t="shared" si="0"/>
        <v>37</v>
      </c>
      <c r="B45" s="570" t="s">
        <v>960</v>
      </c>
      <c r="C45" s="283">
        <f>'püm Festetics'!C44</f>
        <v>0</v>
      </c>
      <c r="D45" s="283">
        <f>'püm Festetics'!D44</f>
        <v>0</v>
      </c>
      <c r="E45" s="283">
        <f>'püm Festetics'!E44</f>
        <v>0</v>
      </c>
      <c r="F45" s="497"/>
      <c r="G45" s="189"/>
      <c r="H45" s="189"/>
      <c r="I45" s="444"/>
      <c r="J45" s="180"/>
      <c r="Q45" s="10"/>
      <c r="R45" s="10"/>
      <c r="S45" s="10"/>
      <c r="T45" s="10"/>
      <c r="U45" s="10"/>
      <c r="V45" s="10"/>
    </row>
    <row r="46" spans="1:22" x14ac:dyDescent="0.2">
      <c r="A46" s="164">
        <f t="shared" si="0"/>
        <v>38</v>
      </c>
      <c r="B46" s="119" t="s">
        <v>210</v>
      </c>
      <c r="C46" s="283">
        <f>'pü.mérleg Önkorm.'!C46</f>
        <v>1506</v>
      </c>
      <c r="D46" s="283">
        <f>'pü.mérleg Önkorm.'!D46</f>
        <v>0</v>
      </c>
      <c r="E46" s="283">
        <f>'pü.mérleg Önkorm.'!E46</f>
        <v>1506</v>
      </c>
      <c r="F46" s="497" t="s">
        <v>236</v>
      </c>
      <c r="G46" s="358"/>
      <c r="H46" s="358"/>
      <c r="I46" s="467"/>
      <c r="J46" s="180"/>
      <c r="Q46" s="10"/>
      <c r="R46" s="10"/>
      <c r="S46" s="10"/>
      <c r="T46" s="10"/>
      <c r="U46" s="10"/>
      <c r="V46" s="10"/>
    </row>
    <row r="47" spans="1:22" x14ac:dyDescent="0.2">
      <c r="A47" s="164">
        <f t="shared" si="0"/>
        <v>39</v>
      </c>
      <c r="B47" s="119" t="s">
        <v>211</v>
      </c>
      <c r="C47" s="629"/>
      <c r="D47" s="629"/>
      <c r="E47" s="629"/>
      <c r="F47" s="859" t="s">
        <v>237</v>
      </c>
      <c r="G47" s="290">
        <f>'pü.mérleg Önkorm.'!G47</f>
        <v>31376</v>
      </c>
      <c r="H47" s="290">
        <f>'pü.mérleg Önkorm.'!H47</f>
        <v>4260</v>
      </c>
      <c r="I47" s="467">
        <f>'pü.mérleg Önkorm.'!I47</f>
        <v>35636</v>
      </c>
      <c r="J47" s="180"/>
      <c r="Q47" s="10"/>
      <c r="R47" s="10"/>
      <c r="S47" s="10"/>
      <c r="T47" s="10"/>
      <c r="U47" s="10"/>
      <c r="V47" s="10"/>
    </row>
    <row r="48" spans="1:22" x14ac:dyDescent="0.2">
      <c r="A48" s="164">
        <f t="shared" si="0"/>
        <v>40</v>
      </c>
      <c r="B48" s="118" t="s">
        <v>212</v>
      </c>
      <c r="C48" s="283"/>
      <c r="D48" s="283"/>
      <c r="E48" s="283"/>
      <c r="F48" s="497" t="s">
        <v>238</v>
      </c>
      <c r="G48" s="290"/>
      <c r="H48" s="290"/>
      <c r="I48" s="467"/>
      <c r="J48" s="180"/>
      <c r="Q48" s="10"/>
      <c r="R48" s="10"/>
      <c r="S48" s="10"/>
      <c r="T48" s="10"/>
      <c r="U48" s="10"/>
      <c r="V48" s="10"/>
    </row>
    <row r="49" spans="1:22" x14ac:dyDescent="0.2">
      <c r="A49" s="164">
        <f t="shared" si="0"/>
        <v>41</v>
      </c>
      <c r="B49" s="533" t="s">
        <v>213</v>
      </c>
      <c r="C49" s="283"/>
      <c r="D49" s="283"/>
      <c r="E49" s="283"/>
      <c r="F49" s="497" t="s">
        <v>239</v>
      </c>
      <c r="G49" s="290"/>
      <c r="H49" s="290"/>
      <c r="I49" s="467"/>
      <c r="J49" s="180"/>
      <c r="Q49" s="10"/>
      <c r="R49" s="10"/>
      <c r="S49" s="10"/>
      <c r="T49" s="10"/>
      <c r="U49" s="10"/>
      <c r="V49" s="10"/>
    </row>
    <row r="50" spans="1:22" x14ac:dyDescent="0.2">
      <c r="A50" s="164">
        <f t="shared" si="0"/>
        <v>42</v>
      </c>
      <c r="B50" s="533" t="s">
        <v>214</v>
      </c>
      <c r="C50" s="283"/>
      <c r="D50" s="283"/>
      <c r="E50" s="283"/>
      <c r="F50" s="497" t="s">
        <v>240</v>
      </c>
      <c r="G50" s="290"/>
      <c r="H50" s="290"/>
      <c r="I50" s="467"/>
      <c r="J50" s="180"/>
      <c r="Q50" s="10"/>
      <c r="R50" s="10"/>
      <c r="S50" s="10"/>
      <c r="T50" s="10"/>
      <c r="U50" s="10"/>
      <c r="V50" s="10"/>
    </row>
    <row r="51" spans="1:22" x14ac:dyDescent="0.2">
      <c r="A51" s="164">
        <f t="shared" si="0"/>
        <v>43</v>
      </c>
      <c r="B51" s="118" t="s">
        <v>215</v>
      </c>
      <c r="C51" s="283">
        <f>'pü.mérleg Önkorm.'!C51</f>
        <v>0</v>
      </c>
      <c r="D51" s="283">
        <f>'pü.mérleg Önkorm.'!D51</f>
        <v>0</v>
      </c>
      <c r="E51" s="283">
        <f>SUM(C51:D51)</f>
        <v>0</v>
      </c>
      <c r="F51" s="497" t="s">
        <v>241</v>
      </c>
      <c r="G51" s="290"/>
      <c r="H51" s="290"/>
      <c r="I51" s="467"/>
      <c r="J51" s="180"/>
      <c r="Q51" s="10"/>
      <c r="R51" s="10"/>
      <c r="S51" s="10"/>
      <c r="T51" s="10"/>
      <c r="U51" s="10"/>
      <c r="V51" s="10"/>
    </row>
    <row r="52" spans="1:22" x14ac:dyDescent="0.2">
      <c r="A52" s="164">
        <f t="shared" si="0"/>
        <v>44</v>
      </c>
      <c r="B52" s="118"/>
      <c r="C52" s="283"/>
      <c r="D52" s="283"/>
      <c r="E52" s="283"/>
      <c r="F52" s="497" t="s">
        <v>242</v>
      </c>
      <c r="G52" s="290"/>
      <c r="H52" s="290"/>
      <c r="I52" s="467"/>
      <c r="J52" s="180"/>
      <c r="Q52" s="10"/>
      <c r="R52" s="10"/>
      <c r="S52" s="10"/>
      <c r="T52" s="10"/>
      <c r="U52" s="10"/>
      <c r="V52" s="10"/>
    </row>
    <row r="53" spans="1:22" x14ac:dyDescent="0.2">
      <c r="A53" s="164">
        <f t="shared" si="0"/>
        <v>45</v>
      </c>
      <c r="B53" s="118"/>
      <c r="C53" s="283"/>
      <c r="D53" s="283"/>
      <c r="E53" s="283"/>
      <c r="F53" s="497" t="s">
        <v>243</v>
      </c>
      <c r="G53" s="290"/>
      <c r="H53" s="290"/>
      <c r="I53" s="467"/>
      <c r="J53" s="180"/>
      <c r="Q53" s="10"/>
      <c r="R53" s="10"/>
      <c r="S53" s="10"/>
      <c r="T53" s="10"/>
      <c r="U53" s="10"/>
      <c r="V53" s="10"/>
    </row>
    <row r="54" spans="1:22" ht="12" thickBot="1" x14ac:dyDescent="0.25">
      <c r="A54" s="164">
        <f t="shared" si="0"/>
        <v>46</v>
      </c>
      <c r="B54" s="178" t="s">
        <v>449</v>
      </c>
      <c r="C54" s="629">
        <f>SUM(C40:C52)</f>
        <v>1164659</v>
      </c>
      <c r="D54" s="629">
        <f>SUM(D40:D52)</f>
        <v>364144</v>
      </c>
      <c r="E54" s="629">
        <f>SUM(E40:E52)</f>
        <v>1528803</v>
      </c>
      <c r="F54" s="862" t="s">
        <v>442</v>
      </c>
      <c r="G54" s="358">
        <f>SUM(G40:G53)</f>
        <v>31376</v>
      </c>
      <c r="H54" s="358">
        <f>SUM(H40:H53)</f>
        <v>4260</v>
      </c>
      <c r="I54" s="444">
        <f>SUM(I40:I53)</f>
        <v>35636</v>
      </c>
      <c r="J54" s="180"/>
      <c r="Q54" s="10"/>
      <c r="R54" s="10"/>
      <c r="S54" s="10"/>
      <c r="T54" s="10"/>
      <c r="U54" s="10"/>
      <c r="V54" s="10"/>
    </row>
    <row r="55" spans="1:22" ht="12" thickBot="1" x14ac:dyDescent="0.25">
      <c r="A55" s="923">
        <f t="shared" si="0"/>
        <v>47</v>
      </c>
      <c r="B55" s="1106" t="s">
        <v>444</v>
      </c>
      <c r="C55" s="1069">
        <f>C35+C54</f>
        <v>2689847</v>
      </c>
      <c r="D55" s="902">
        <f>D35+D54</f>
        <v>1684837</v>
      </c>
      <c r="E55" s="903">
        <f>E35+E54</f>
        <v>4374684</v>
      </c>
      <c r="F55" s="503" t="s">
        <v>443</v>
      </c>
      <c r="G55" s="802">
        <f>G35+G54</f>
        <v>2689847</v>
      </c>
      <c r="H55" s="802">
        <f>H35+H54</f>
        <v>1684837</v>
      </c>
      <c r="I55" s="1065">
        <f>I35+I54</f>
        <v>4374684</v>
      </c>
      <c r="J55" s="180"/>
      <c r="Q55" s="10"/>
      <c r="R55" s="10"/>
      <c r="S55" s="10"/>
      <c r="T55" s="10"/>
      <c r="U55" s="10"/>
      <c r="V55" s="10"/>
    </row>
    <row r="56" spans="1:22" x14ac:dyDescent="0.2">
      <c r="B56" s="183"/>
      <c r="C56" s="182"/>
      <c r="D56" s="182"/>
      <c r="E56" s="182"/>
      <c r="F56" s="182"/>
      <c r="G56" s="182"/>
      <c r="H56" s="182"/>
      <c r="I56" s="182"/>
      <c r="T56" s="10"/>
      <c r="U56" s="10"/>
      <c r="V56" s="10"/>
    </row>
    <row r="57" spans="1:22" s="11" customFormat="1" ht="12.75" x14ac:dyDescent="0.2">
      <c r="A57" s="183"/>
      <c r="B57" s="178"/>
      <c r="C57" s="182"/>
      <c r="D57" s="182"/>
      <c r="E57" s="440">
        <f>E55-I55</f>
        <v>0</v>
      </c>
      <c r="F57" s="182"/>
      <c r="G57" s="182"/>
      <c r="H57" s="182"/>
      <c r="I57" s="182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41.85546875" style="157" customWidth="1"/>
    <col min="3" max="3" width="10.140625" style="158" customWidth="1"/>
    <col min="4" max="4" width="11.140625" style="158" customWidth="1"/>
    <col min="5" max="5" width="11.28515625" style="158" customWidth="1"/>
    <col min="6" max="6" width="32.42578125" style="158" customWidth="1"/>
    <col min="7" max="7" width="11.5703125" style="158" customWidth="1"/>
    <col min="8" max="8" width="14.7109375" style="158" customWidth="1"/>
    <col min="9" max="9" width="14.5703125" style="158" customWidth="1"/>
    <col min="10" max="25" width="9.140625" style="157"/>
    <col min="26" max="16384" width="9.140625" style="10"/>
  </cols>
  <sheetData>
    <row r="1" spans="1:25" ht="12.75" customHeight="1" x14ac:dyDescent="0.2">
      <c r="B1" s="1244" t="s">
        <v>1353</v>
      </c>
      <c r="C1" s="1244"/>
      <c r="D1" s="1244"/>
      <c r="E1" s="1244"/>
      <c r="F1" s="1244"/>
      <c r="G1" s="1244"/>
      <c r="H1" s="1244"/>
      <c r="I1" s="1244"/>
      <c r="J1" s="732"/>
    </row>
    <row r="2" spans="1:25" x14ac:dyDescent="0.2">
      <c r="B2" s="571"/>
      <c r="I2" s="159"/>
    </row>
    <row r="3" spans="1:25" s="122" customFormat="1" x14ac:dyDescent="0.2">
      <c r="A3" s="160"/>
      <c r="B3" s="1247" t="s">
        <v>54</v>
      </c>
      <c r="C3" s="1247"/>
      <c r="D3" s="1247"/>
      <c r="E3" s="1247"/>
      <c r="F3" s="1247"/>
      <c r="G3" s="1247"/>
      <c r="H3" s="1247"/>
      <c r="I3" s="1247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s="122" customFormat="1" x14ac:dyDescent="0.2">
      <c r="A4" s="160"/>
      <c r="B4" s="1247" t="s">
        <v>1153</v>
      </c>
      <c r="C4" s="1247"/>
      <c r="D4" s="1247"/>
      <c r="E4" s="1247"/>
      <c r="F4" s="1247"/>
      <c r="G4" s="1247"/>
      <c r="H4" s="1247"/>
      <c r="I4" s="1247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s="122" customFormat="1" ht="12.75" customHeight="1" x14ac:dyDescent="0.2">
      <c r="A5" s="1260" t="s">
        <v>306</v>
      </c>
      <c r="B5" s="1260"/>
      <c r="C5" s="1260"/>
      <c r="D5" s="1260"/>
      <c r="E5" s="1260"/>
      <c r="F5" s="1260"/>
      <c r="G5" s="1260"/>
      <c r="H5" s="1260"/>
      <c r="I5" s="12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s="122" customFormat="1" ht="12.75" customHeight="1" x14ac:dyDescent="0.2">
      <c r="A6" s="1261" t="s">
        <v>56</v>
      </c>
      <c r="B6" s="1262" t="s">
        <v>57</v>
      </c>
      <c r="C6" s="1263" t="s">
        <v>58</v>
      </c>
      <c r="D6" s="1263"/>
      <c r="E6" s="1264"/>
      <c r="F6" s="1265" t="s">
        <v>59</v>
      </c>
      <c r="G6" s="1266" t="s">
        <v>60</v>
      </c>
      <c r="H6" s="1267"/>
      <c r="I6" s="1267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25" s="122" customFormat="1" ht="12.75" customHeight="1" x14ac:dyDescent="0.2">
      <c r="A7" s="1261"/>
      <c r="B7" s="1262"/>
      <c r="C7" s="1258" t="s">
        <v>1140</v>
      </c>
      <c r="D7" s="1258"/>
      <c r="E7" s="1259"/>
      <c r="F7" s="1265"/>
      <c r="G7" s="1258" t="s">
        <v>1140</v>
      </c>
      <c r="H7" s="1258"/>
      <c r="I7" s="1259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25" s="123" customFormat="1" ht="36.6" customHeight="1" x14ac:dyDescent="0.2">
      <c r="A8" s="1261"/>
      <c r="B8" s="868" t="s">
        <v>61</v>
      </c>
      <c r="C8" s="869" t="s">
        <v>62</v>
      </c>
      <c r="D8" s="869" t="s">
        <v>63</v>
      </c>
      <c r="E8" s="870" t="s">
        <v>64</v>
      </c>
      <c r="F8" s="871" t="s">
        <v>65</v>
      </c>
      <c r="G8" s="354" t="s">
        <v>62</v>
      </c>
      <c r="H8" s="354" t="s">
        <v>63</v>
      </c>
      <c r="I8" s="354" t="s">
        <v>64</v>
      </c>
      <c r="J8" s="587"/>
      <c r="K8" s="187"/>
      <c r="L8" s="187"/>
      <c r="M8" s="187"/>
      <c r="N8" s="187"/>
      <c r="O8" s="187"/>
      <c r="P8" s="187"/>
      <c r="Q8" s="187"/>
      <c r="R8" s="187"/>
      <c r="S8" s="187"/>
    </row>
    <row r="9" spans="1:25" ht="11.45" customHeight="1" x14ac:dyDescent="0.2">
      <c r="A9" s="872">
        <v>1</v>
      </c>
      <c r="B9" s="873" t="s">
        <v>24</v>
      </c>
      <c r="C9" s="874"/>
      <c r="D9" s="874"/>
      <c r="E9" s="874"/>
      <c r="F9" s="875" t="s">
        <v>25</v>
      </c>
      <c r="G9" s="359"/>
      <c r="H9" s="359"/>
      <c r="I9" s="464"/>
      <c r="J9" s="184"/>
      <c r="T9" s="10"/>
      <c r="U9" s="10"/>
      <c r="V9" s="10"/>
      <c r="W9" s="10"/>
      <c r="X9" s="10"/>
      <c r="Y9" s="10"/>
    </row>
    <row r="10" spans="1:25" x14ac:dyDescent="0.2">
      <c r="A10" s="872">
        <f>A9+1</f>
        <v>2</v>
      </c>
      <c r="B10" s="81" t="s">
        <v>35</v>
      </c>
      <c r="C10" s="295"/>
      <c r="D10" s="295"/>
      <c r="E10" s="283">
        <f>SUM(C10:D10)</f>
        <v>0</v>
      </c>
      <c r="F10" s="497" t="s">
        <v>26</v>
      </c>
      <c r="G10" s="283">
        <f>Össz.önkor.mérleg.!G10</f>
        <v>576769</v>
      </c>
      <c r="H10" s="283">
        <f>Össz.önkor.mérleg.!H10</f>
        <v>404462</v>
      </c>
      <c r="I10" s="466">
        <f>Össz.önkor.mérleg.!I10</f>
        <v>981231</v>
      </c>
      <c r="J10" s="184"/>
      <c r="T10" s="10"/>
      <c r="U10" s="10"/>
      <c r="V10" s="10"/>
      <c r="W10" s="10"/>
      <c r="X10" s="10"/>
      <c r="Y10" s="10"/>
    </row>
    <row r="11" spans="1:25" x14ac:dyDescent="0.2">
      <c r="A11" s="872">
        <f t="shared" ref="A11:A45" si="0">A10+1</f>
        <v>3</v>
      </c>
      <c r="B11" s="81" t="s">
        <v>36</v>
      </c>
      <c r="C11" s="295">
        <f>Össz.önkor.mérleg.!C11</f>
        <v>788582</v>
      </c>
      <c r="D11" s="295">
        <f>Össz.önkor.mérleg.!D11</f>
        <v>107996</v>
      </c>
      <c r="E11" s="295">
        <f>Össz.önkor.mérleg.!E11</f>
        <v>896578</v>
      </c>
      <c r="F11" s="497" t="s">
        <v>27</v>
      </c>
      <c r="G11" s="283">
        <f>Össz.önkor.mérleg.!G11</f>
        <v>118077</v>
      </c>
      <c r="H11" s="283">
        <f>Össz.önkor.mérleg.!H11</f>
        <v>89844</v>
      </c>
      <c r="I11" s="466">
        <f>Össz.önkor.mérleg.!I11</f>
        <v>207921</v>
      </c>
      <c r="J11" s="184"/>
      <c r="T11" s="10"/>
      <c r="U11" s="10"/>
      <c r="V11" s="10"/>
      <c r="W11" s="10"/>
      <c r="X11" s="10"/>
      <c r="Y11" s="10"/>
    </row>
    <row r="12" spans="1:25" x14ac:dyDescent="0.2">
      <c r="A12" s="872">
        <f t="shared" si="0"/>
        <v>4</v>
      </c>
      <c r="B12" s="81" t="s">
        <v>933</v>
      </c>
      <c r="C12" s="295">
        <f>Össz.önkor.mérleg.!C12</f>
        <v>0</v>
      </c>
      <c r="D12" s="295">
        <f>Össz.önkor.mérleg.!D12</f>
        <v>0</v>
      </c>
      <c r="E12" s="295">
        <f>Össz.önkor.mérleg.!E12</f>
        <v>0</v>
      </c>
      <c r="F12" s="497" t="s">
        <v>29</v>
      </c>
      <c r="G12" s="283">
        <f>Össz.önkor.mérleg.!G12</f>
        <v>644057</v>
      </c>
      <c r="H12" s="283">
        <f>Össz.önkor.mérleg.!H12</f>
        <v>572652</v>
      </c>
      <c r="I12" s="466">
        <f>Össz.önkor.mérleg.!I12</f>
        <v>1216709</v>
      </c>
      <c r="J12" s="184"/>
      <c r="T12" s="10"/>
      <c r="U12" s="10"/>
      <c r="V12" s="10"/>
      <c r="W12" s="10"/>
      <c r="X12" s="10"/>
      <c r="Y12" s="10"/>
    </row>
    <row r="13" spans="1:25" ht="12" customHeight="1" x14ac:dyDescent="0.2">
      <c r="A13" s="872">
        <f t="shared" si="0"/>
        <v>5</v>
      </c>
      <c r="B13" s="81" t="s">
        <v>37</v>
      </c>
      <c r="C13" s="295">
        <f>Össz.önkor.mérleg.!C13</f>
        <v>31707</v>
      </c>
      <c r="D13" s="295">
        <f>Össz.önkor.mérleg.!D13</f>
        <v>12526</v>
      </c>
      <c r="E13" s="295">
        <f>Össz.önkor.mérleg.!E13</f>
        <v>44233</v>
      </c>
      <c r="F13" s="497"/>
      <c r="G13" s="283"/>
      <c r="H13" s="295"/>
      <c r="I13" s="465"/>
      <c r="J13" s="184"/>
      <c r="T13" s="10"/>
      <c r="U13" s="10"/>
      <c r="V13" s="10"/>
      <c r="W13" s="10"/>
      <c r="X13" s="10"/>
      <c r="Y13" s="10"/>
    </row>
    <row r="14" spans="1:25" x14ac:dyDescent="0.2">
      <c r="A14" s="872">
        <f t="shared" si="0"/>
        <v>6</v>
      </c>
      <c r="B14" s="81" t="s">
        <v>39</v>
      </c>
      <c r="C14" s="295">
        <f>Össz.önkor.mérleg.!C17</f>
        <v>377747</v>
      </c>
      <c r="D14" s="295">
        <f>Össz.önkor.mérleg.!D17</f>
        <v>862657</v>
      </c>
      <c r="E14" s="295">
        <f>Össz.önkor.mérleg.!E17</f>
        <v>1240404</v>
      </c>
      <c r="F14" s="497" t="s">
        <v>28</v>
      </c>
      <c r="G14" s="283">
        <f>Össz.önkor.mérleg.!G14</f>
        <v>3039</v>
      </c>
      <c r="H14" s="283">
        <f>Össz.önkor.mérleg.!H14</f>
        <v>10950</v>
      </c>
      <c r="I14" s="466">
        <f>Össz.önkor.mérleg.!I14</f>
        <v>13989</v>
      </c>
      <c r="J14" s="184"/>
      <c r="T14" s="10"/>
      <c r="U14" s="10"/>
      <c r="V14" s="10"/>
      <c r="W14" s="10"/>
      <c r="X14" s="10"/>
      <c r="Y14" s="10"/>
    </row>
    <row r="15" spans="1:25" x14ac:dyDescent="0.2">
      <c r="A15" s="872">
        <f t="shared" si="0"/>
        <v>7</v>
      </c>
      <c r="B15" s="81"/>
      <c r="C15" s="295"/>
      <c r="D15" s="295"/>
      <c r="E15" s="283"/>
      <c r="F15" s="497" t="s">
        <v>30</v>
      </c>
      <c r="G15" s="283"/>
      <c r="H15" s="290"/>
      <c r="I15" s="465"/>
      <c r="J15" s="184"/>
      <c r="T15" s="10"/>
      <c r="U15" s="10"/>
      <c r="V15" s="10"/>
      <c r="W15" s="10"/>
      <c r="X15" s="10"/>
      <c r="Y15" s="10"/>
    </row>
    <row r="16" spans="1:25" x14ac:dyDescent="0.2">
      <c r="A16" s="872">
        <f t="shared" si="0"/>
        <v>8</v>
      </c>
      <c r="B16" s="80" t="s">
        <v>41</v>
      </c>
      <c r="C16" s="355">
        <f>Össz.önkor.mérleg.!C20</f>
        <v>325705</v>
      </c>
      <c r="D16" s="355">
        <f>Össz.önkor.mérleg.!D20</f>
        <v>289132</v>
      </c>
      <c r="E16" s="355">
        <f>Össz.önkor.mérleg.!E20</f>
        <v>614837</v>
      </c>
      <c r="F16" s="497" t="s">
        <v>447</v>
      </c>
      <c r="G16" s="283">
        <f>Össz.önkor.mérleg.!G17</f>
        <v>5863</v>
      </c>
      <c r="H16" s="283">
        <f>Össz.önkor.mérleg.!H17</f>
        <v>58841</v>
      </c>
      <c r="I16" s="466">
        <f>Össz.önkor.mérleg.!I17</f>
        <v>64704</v>
      </c>
      <c r="J16" s="184"/>
      <c r="T16" s="10"/>
      <c r="U16" s="10"/>
      <c r="V16" s="10"/>
      <c r="W16" s="10"/>
      <c r="X16" s="10"/>
      <c r="Y16" s="10"/>
    </row>
    <row r="17" spans="1:25" x14ac:dyDescent="0.2">
      <c r="A17" s="872">
        <f t="shared" si="0"/>
        <v>9</v>
      </c>
      <c r="B17" s="834" t="s">
        <v>40</v>
      </c>
      <c r="C17" s="355"/>
      <c r="D17" s="355"/>
      <c r="E17" s="355"/>
      <c r="F17" s="497" t="s">
        <v>446</v>
      </c>
      <c r="G17" s="283">
        <f>Össz.önkor.mérleg.!G18</f>
        <v>115421</v>
      </c>
      <c r="H17" s="283">
        <f>Össz.önkor.mérleg.!H18</f>
        <v>176606</v>
      </c>
      <c r="I17" s="466">
        <f>Össz.önkor.mérleg.!I18</f>
        <v>292027</v>
      </c>
      <c r="J17" s="184"/>
      <c r="T17" s="10"/>
      <c r="U17" s="10"/>
      <c r="V17" s="10"/>
      <c r="W17" s="10"/>
      <c r="X17" s="10"/>
      <c r="Y17" s="10"/>
    </row>
    <row r="18" spans="1:25" x14ac:dyDescent="0.2">
      <c r="A18" s="872">
        <f t="shared" si="0"/>
        <v>10</v>
      </c>
      <c r="B18" s="834"/>
      <c r="C18" s="355"/>
      <c r="D18" s="355"/>
      <c r="E18" s="355"/>
      <c r="F18" s="497" t="s">
        <v>191</v>
      </c>
      <c r="G18" s="283">
        <f>Össz.önkor.mérleg.!G19</f>
        <v>0</v>
      </c>
      <c r="H18" s="283">
        <f>Össz.önkor.mérleg.!H19</f>
        <v>0</v>
      </c>
      <c r="I18" s="283">
        <f>Össz.önkor.mérleg.!I19</f>
        <v>0</v>
      </c>
      <c r="J18" s="184"/>
      <c r="T18" s="10"/>
      <c r="U18" s="10"/>
      <c r="V18" s="10"/>
      <c r="W18" s="10"/>
      <c r="X18" s="10"/>
      <c r="Y18" s="10"/>
    </row>
    <row r="19" spans="1:25" x14ac:dyDescent="0.2">
      <c r="A19" s="872">
        <f t="shared" si="0"/>
        <v>11</v>
      </c>
      <c r="B19" s="80" t="s">
        <v>1121</v>
      </c>
      <c r="C19" s="295">
        <f>Össz.önkor.mérleg.!C29</f>
        <v>0</v>
      </c>
      <c r="D19" s="295">
        <f>Össz.önkor.mérleg.!D29</f>
        <v>203</v>
      </c>
      <c r="E19" s="295">
        <f>Össz.önkor.mérleg.!E29</f>
        <v>203</v>
      </c>
      <c r="F19" s="497" t="s">
        <v>439</v>
      </c>
      <c r="G19" s="283">
        <f>Össz.önkor.mérleg.!G20</f>
        <v>0</v>
      </c>
      <c r="H19" s="283">
        <f>Össz.önkor.mérleg.!H20</f>
        <v>33792</v>
      </c>
      <c r="I19" s="466">
        <f>Össz.önkor.mérleg.!I20</f>
        <v>33792</v>
      </c>
      <c r="J19" s="184"/>
      <c r="T19" s="10"/>
      <c r="U19" s="10"/>
      <c r="V19" s="10"/>
      <c r="W19" s="10"/>
      <c r="X19" s="10"/>
      <c r="Y19" s="10"/>
    </row>
    <row r="20" spans="1:25" x14ac:dyDescent="0.2">
      <c r="A20" s="872">
        <f t="shared" si="0"/>
        <v>12</v>
      </c>
      <c r="B20" s="10"/>
      <c r="C20" s="355"/>
      <c r="D20" s="355"/>
      <c r="E20" s="355"/>
      <c r="F20" s="497" t="s">
        <v>440</v>
      </c>
      <c r="G20" s="283">
        <f>Össz.önkor.mérleg.!G21</f>
        <v>81204</v>
      </c>
      <c r="H20" s="283">
        <f>Össz.önkor.mérleg.!H21</f>
        <v>28565</v>
      </c>
      <c r="I20" s="466">
        <f>Össz.önkor.mérleg.!I21</f>
        <v>109769</v>
      </c>
      <c r="J20" s="184"/>
      <c r="T20" s="10"/>
      <c r="U20" s="10"/>
      <c r="V20" s="10"/>
      <c r="W20" s="10"/>
      <c r="X20" s="10"/>
      <c r="Y20" s="10"/>
    </row>
    <row r="21" spans="1:25" x14ac:dyDescent="0.2">
      <c r="A21" s="872">
        <f t="shared" si="0"/>
        <v>13</v>
      </c>
      <c r="B21" s="10"/>
      <c r="C21" s="355"/>
      <c r="D21" s="355"/>
      <c r="E21" s="355"/>
      <c r="F21" s="497"/>
      <c r="G21" s="283"/>
      <c r="H21" s="290"/>
      <c r="I21" s="465"/>
      <c r="J21" s="184"/>
      <c r="T21" s="10"/>
      <c r="U21" s="10"/>
      <c r="V21" s="10"/>
      <c r="W21" s="10"/>
      <c r="X21" s="10"/>
      <c r="Y21" s="10"/>
    </row>
    <row r="22" spans="1:25" s="124" customFormat="1" x14ac:dyDescent="0.2">
      <c r="A22" s="872">
        <f t="shared" si="0"/>
        <v>14</v>
      </c>
      <c r="B22" s="12" t="s">
        <v>52</v>
      </c>
      <c r="C22" s="876">
        <f>SUM(C11:C20)</f>
        <v>1523741</v>
      </c>
      <c r="D22" s="876">
        <f>SUM(D11:D20)</f>
        <v>1272514</v>
      </c>
      <c r="E22" s="876">
        <f>SUM(E11:E20)</f>
        <v>2796255</v>
      </c>
      <c r="F22" s="861" t="s">
        <v>66</v>
      </c>
      <c r="G22" s="356">
        <f>SUM(G10:G21)</f>
        <v>1544430</v>
      </c>
      <c r="H22" s="356">
        <f>SUM(H10:H21)</f>
        <v>1375712</v>
      </c>
      <c r="I22" s="468">
        <f>SUM(I10:I21)</f>
        <v>2920142</v>
      </c>
      <c r="J22" s="532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25" s="124" customFormat="1" x14ac:dyDescent="0.2">
      <c r="A23" s="872">
        <f t="shared" si="0"/>
        <v>15</v>
      </c>
      <c r="B23" s="10"/>
      <c r="C23" s="355"/>
      <c r="D23" s="355"/>
      <c r="E23" s="355"/>
      <c r="F23" s="603"/>
      <c r="G23" s="290"/>
      <c r="H23" s="290"/>
      <c r="I23" s="467"/>
      <c r="J23" s="532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25" x14ac:dyDescent="0.2">
      <c r="A24" s="872">
        <f t="shared" si="0"/>
        <v>16</v>
      </c>
      <c r="B24" s="877" t="s">
        <v>51</v>
      </c>
      <c r="C24" s="860">
        <f>SUM(C22:C23)</f>
        <v>1523741</v>
      </c>
      <c r="D24" s="860">
        <f>SUM(D22:D23)</f>
        <v>1272514</v>
      </c>
      <c r="E24" s="860">
        <f>SUM(E22:E23)</f>
        <v>2796255</v>
      </c>
      <c r="F24" s="864" t="s">
        <v>69</v>
      </c>
      <c r="G24" s="189">
        <f>SUM(G22:G23)</f>
        <v>1544430</v>
      </c>
      <c r="H24" s="189">
        <f>SUM(H22:H23)</f>
        <v>1375712</v>
      </c>
      <c r="I24" s="444">
        <f>SUM(I22:I23)</f>
        <v>2920142</v>
      </c>
      <c r="J24" s="184"/>
      <c r="T24" s="10"/>
      <c r="U24" s="10"/>
      <c r="V24" s="10"/>
      <c r="W24" s="10"/>
      <c r="X24" s="10"/>
      <c r="Y24" s="10"/>
    </row>
    <row r="25" spans="1:25" ht="12" thickBot="1" x14ac:dyDescent="0.25">
      <c r="A25" s="878">
        <f t="shared" si="0"/>
        <v>17</v>
      </c>
      <c r="B25" s="836"/>
      <c r="C25" s="1124"/>
      <c r="D25" s="1124"/>
      <c r="E25" s="1124"/>
      <c r="F25" s="603"/>
      <c r="G25" s="290"/>
      <c r="H25" s="290"/>
      <c r="I25" s="467"/>
      <c r="J25" s="184"/>
      <c r="T25" s="10"/>
      <c r="U25" s="10"/>
      <c r="V25" s="10"/>
      <c r="W25" s="10"/>
      <c r="X25" s="10"/>
      <c r="Y25" s="10"/>
    </row>
    <row r="26" spans="1:25" ht="12" thickBot="1" x14ac:dyDescent="0.25">
      <c r="A26" s="878">
        <f t="shared" si="0"/>
        <v>18</v>
      </c>
      <c r="B26" s="1170" t="s">
        <v>631</v>
      </c>
      <c r="C26" s="1168">
        <f>C24-G24</f>
        <v>-20689</v>
      </c>
      <c r="D26" s="1168">
        <f t="shared" ref="D26:E26" si="1">D24-H24</f>
        <v>-103198</v>
      </c>
      <c r="E26" s="1169">
        <f t="shared" si="1"/>
        <v>-123887</v>
      </c>
      <c r="F26" s="629"/>
      <c r="G26" s="358"/>
      <c r="H26" s="358"/>
      <c r="I26" s="467"/>
      <c r="J26" s="184"/>
      <c r="T26" s="10"/>
      <c r="U26" s="10"/>
      <c r="V26" s="10"/>
      <c r="W26" s="10"/>
      <c r="X26" s="10"/>
      <c r="Y26" s="10"/>
    </row>
    <row r="27" spans="1:25" x14ac:dyDescent="0.2">
      <c r="A27" s="878">
        <f t="shared" si="0"/>
        <v>19</v>
      </c>
      <c r="B27" s="829" t="s">
        <v>1208</v>
      </c>
      <c r="C27" s="283"/>
      <c r="D27" s="283"/>
      <c r="E27" s="629">
        <f>C27+D27</f>
        <v>0</v>
      </c>
      <c r="F27" s="497"/>
      <c r="G27" s="290"/>
      <c r="H27" s="290"/>
      <c r="I27" s="467"/>
      <c r="J27" s="184"/>
      <c r="T27" s="10"/>
      <c r="U27" s="10"/>
      <c r="V27" s="10"/>
      <c r="W27" s="10"/>
      <c r="X27" s="10"/>
      <c r="Y27" s="10"/>
    </row>
    <row r="28" spans="1:25" x14ac:dyDescent="0.2">
      <c r="A28" s="878">
        <f t="shared" si="0"/>
        <v>20</v>
      </c>
      <c r="B28" s="629" t="s">
        <v>53</v>
      </c>
      <c r="C28" s="629"/>
      <c r="D28" s="629"/>
      <c r="E28" s="629"/>
      <c r="F28" s="862" t="s">
        <v>33</v>
      </c>
      <c r="G28" s="290"/>
      <c r="H28" s="290"/>
      <c r="I28" s="467"/>
      <c r="J28" s="184"/>
      <c r="T28" s="10"/>
      <c r="U28" s="10"/>
      <c r="V28" s="10"/>
      <c r="W28" s="10"/>
      <c r="X28" s="10"/>
      <c r="Y28" s="10"/>
    </row>
    <row r="29" spans="1:25" s="124" customFormat="1" x14ac:dyDescent="0.2">
      <c r="A29" s="878">
        <f t="shared" si="0"/>
        <v>21</v>
      </c>
      <c r="B29" s="879" t="s">
        <v>684</v>
      </c>
      <c r="C29" s="629"/>
      <c r="D29" s="629"/>
      <c r="E29" s="629"/>
      <c r="F29" s="865" t="s">
        <v>4</v>
      </c>
      <c r="G29" s="290"/>
      <c r="H29" s="290"/>
      <c r="I29" s="467"/>
      <c r="J29" s="532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25" ht="21.75" x14ac:dyDescent="0.2">
      <c r="A30" s="878">
        <f t="shared" si="0"/>
        <v>22</v>
      </c>
      <c r="B30" s="922" t="s">
        <v>999</v>
      </c>
      <c r="C30" s="498">
        <f>Össz.önkor.mérleg.!C41</f>
        <v>634227</v>
      </c>
      <c r="D30" s="498">
        <f>Össz.önkor.mérleg.!D41</f>
        <v>0</v>
      </c>
      <c r="E30" s="498">
        <f>Össz.önkor.mérleg.!E41</f>
        <v>634227</v>
      </c>
      <c r="F30" s="190" t="s">
        <v>3</v>
      </c>
      <c r="G30" s="290"/>
      <c r="H30" s="290"/>
      <c r="I30" s="467"/>
      <c r="J30" s="184"/>
      <c r="T30" s="10"/>
      <c r="U30" s="10"/>
      <c r="V30" s="10"/>
      <c r="W30" s="10"/>
      <c r="X30" s="10"/>
      <c r="Y30" s="10"/>
    </row>
    <row r="31" spans="1:25" x14ac:dyDescent="0.2">
      <c r="A31" s="878">
        <f t="shared" si="0"/>
        <v>23</v>
      </c>
      <c r="B31" s="10" t="s">
        <v>998</v>
      </c>
      <c r="C31" s="1131">
        <f>-'felhalm. mérleg'!C33</f>
        <v>-634227</v>
      </c>
      <c r="D31" s="1131">
        <v>0</v>
      </c>
      <c r="E31" s="498">
        <f>C31+D31</f>
        <v>-634227</v>
      </c>
      <c r="F31" s="190"/>
      <c r="G31" s="290"/>
      <c r="H31" s="290"/>
      <c r="I31" s="467"/>
      <c r="J31" s="184"/>
      <c r="T31" s="10"/>
      <c r="U31" s="10"/>
      <c r="V31" s="10"/>
      <c r="W31" s="10"/>
      <c r="X31" s="10"/>
      <c r="Y31" s="10"/>
    </row>
    <row r="32" spans="1:25" s="11" customFormat="1" x14ac:dyDescent="0.2">
      <c r="A32" s="878">
        <f t="shared" si="0"/>
        <v>24</v>
      </c>
      <c r="B32" s="295" t="s">
        <v>638</v>
      </c>
      <c r="C32" s="866"/>
      <c r="D32" s="867"/>
      <c r="E32" s="867">
        <f>SUM(C32:D32)</f>
        <v>0</v>
      </c>
      <c r="F32" s="497" t="s">
        <v>5</v>
      </c>
      <c r="G32" s="288"/>
      <c r="H32" s="288"/>
      <c r="I32" s="467"/>
      <c r="J32" s="510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25" x14ac:dyDescent="0.2">
      <c r="A33" s="878">
        <f t="shared" si="0"/>
        <v>25</v>
      </c>
      <c r="B33" s="295" t="s">
        <v>685</v>
      </c>
      <c r="C33" s="283"/>
      <c r="D33" s="283"/>
      <c r="E33" s="283"/>
      <c r="F33" s="497" t="s">
        <v>6</v>
      </c>
      <c r="G33" s="357"/>
      <c r="H33" s="357"/>
      <c r="I33" s="469"/>
      <c r="J33" s="184"/>
      <c r="T33" s="10"/>
      <c r="U33" s="10"/>
      <c r="V33" s="10"/>
      <c r="W33" s="10"/>
      <c r="X33" s="10"/>
      <c r="Y33" s="10"/>
    </row>
    <row r="34" spans="1:25" x14ac:dyDescent="0.2">
      <c r="A34" s="878">
        <f t="shared" si="0"/>
        <v>26</v>
      </c>
      <c r="B34" s="295" t="s">
        <v>640</v>
      </c>
      <c r="C34" s="283">
        <f>Össz.önkor.mérleg.!C44</f>
        <v>528926</v>
      </c>
      <c r="D34" s="283">
        <f>Össz.önkor.mérleg.!D44</f>
        <v>364144</v>
      </c>
      <c r="E34" s="283">
        <f>SUM(C34:D34)</f>
        <v>893070</v>
      </c>
      <c r="F34" s="497" t="s">
        <v>7</v>
      </c>
      <c r="G34" s="358"/>
      <c r="H34" s="358"/>
      <c r="I34" s="444"/>
      <c r="J34" s="184"/>
      <c r="T34" s="10"/>
      <c r="U34" s="10"/>
      <c r="V34" s="10"/>
      <c r="W34" s="10"/>
      <c r="X34" s="10"/>
      <c r="Y34" s="10"/>
    </row>
    <row r="35" spans="1:25" x14ac:dyDescent="0.2">
      <c r="A35" s="878">
        <f t="shared" si="0"/>
        <v>27</v>
      </c>
      <c r="B35" s="295" t="s">
        <v>960</v>
      </c>
      <c r="C35" s="283">
        <f>Össz.önkor.mérleg.!C45</f>
        <v>0</v>
      </c>
      <c r="D35" s="283">
        <f>Össz.önkor.mérleg.!D45</f>
        <v>0</v>
      </c>
      <c r="E35" s="283">
        <f>Össz.önkor.mérleg.!E45</f>
        <v>0</v>
      </c>
      <c r="F35" s="497"/>
      <c r="G35" s="358"/>
      <c r="H35" s="358"/>
      <c r="I35" s="444"/>
      <c r="J35" s="184"/>
      <c r="T35" s="10"/>
      <c r="U35" s="10"/>
      <c r="V35" s="10"/>
      <c r="W35" s="10"/>
      <c r="X35" s="10"/>
      <c r="Y35" s="10"/>
    </row>
    <row r="36" spans="1:25" x14ac:dyDescent="0.2">
      <c r="A36" s="878">
        <f t="shared" si="0"/>
        <v>28</v>
      </c>
      <c r="B36" s="80" t="s">
        <v>639</v>
      </c>
      <c r="C36" s="283">
        <f t="shared" ref="C36:D36" si="2">-(C26+C34-G44)-C27-C37</f>
        <v>-478367</v>
      </c>
      <c r="D36" s="283">
        <f t="shared" si="2"/>
        <v>-256686</v>
      </c>
      <c r="E36" s="283">
        <f>-(E26+E34-I44)-E27-E37</f>
        <v>-735053</v>
      </c>
      <c r="F36" s="497" t="s">
        <v>8</v>
      </c>
      <c r="G36" s="290"/>
      <c r="H36" s="290"/>
      <c r="I36" s="467"/>
      <c r="J36" s="184"/>
      <c r="T36" s="10"/>
      <c r="U36" s="10"/>
      <c r="V36" s="10"/>
      <c r="W36" s="10"/>
      <c r="X36" s="10"/>
      <c r="Y36" s="10"/>
    </row>
    <row r="37" spans="1:25" x14ac:dyDescent="0.2">
      <c r="A37" s="878">
        <f t="shared" si="0"/>
        <v>29</v>
      </c>
      <c r="B37" s="283" t="s">
        <v>687</v>
      </c>
      <c r="C37" s="283">
        <f>Össz.önkor.mérleg.!C46</f>
        <v>1506</v>
      </c>
      <c r="D37" s="283">
        <f>Össz.önkor.mérleg.!D46</f>
        <v>0</v>
      </c>
      <c r="E37" s="283">
        <f>Össz.önkor.mérleg.!E46</f>
        <v>1506</v>
      </c>
      <c r="F37" s="497" t="s">
        <v>9</v>
      </c>
      <c r="G37" s="356">
        <f>Össz.önkor.mérleg.!G47</f>
        <v>31376</v>
      </c>
      <c r="H37" s="356">
        <f>Össz.önkor.mérleg.!H47</f>
        <v>4260</v>
      </c>
      <c r="I37" s="468">
        <f>Össz.önkor.mérleg.!I47</f>
        <v>35636</v>
      </c>
      <c r="J37" s="184"/>
      <c r="T37" s="10"/>
      <c r="U37" s="10"/>
      <c r="V37" s="10"/>
      <c r="W37" s="10"/>
      <c r="X37" s="10"/>
      <c r="Y37" s="10"/>
    </row>
    <row r="38" spans="1:25" s="11" customFormat="1" x14ac:dyDescent="0.2">
      <c r="A38" s="878">
        <f t="shared" si="0"/>
        <v>30</v>
      </c>
      <c r="B38" s="283" t="s">
        <v>688</v>
      </c>
      <c r="C38" s="283"/>
      <c r="D38" s="283"/>
      <c r="E38" s="283"/>
      <c r="F38" s="497" t="s">
        <v>10</v>
      </c>
      <c r="G38" s="290"/>
      <c r="H38" s="290"/>
      <c r="I38" s="467"/>
      <c r="J38" s="510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25" s="11" customFormat="1" x14ac:dyDescent="0.2">
      <c r="A39" s="878">
        <f t="shared" si="0"/>
        <v>31</v>
      </c>
      <c r="B39" s="295" t="s">
        <v>689</v>
      </c>
      <c r="C39" s="283"/>
      <c r="D39" s="283"/>
      <c r="E39" s="283"/>
      <c r="F39" s="497" t="s">
        <v>11</v>
      </c>
      <c r="G39" s="358"/>
      <c r="H39" s="358"/>
      <c r="I39" s="444"/>
      <c r="J39" s="510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25" s="11" customFormat="1" x14ac:dyDescent="0.2">
      <c r="A40" s="878">
        <f t="shared" si="0"/>
        <v>32</v>
      </c>
      <c r="B40" s="295" t="s">
        <v>690</v>
      </c>
      <c r="C40" s="283"/>
      <c r="D40" s="283"/>
      <c r="E40" s="283"/>
      <c r="F40" s="497" t="s">
        <v>12</v>
      </c>
      <c r="G40" s="189"/>
      <c r="I40" s="470"/>
      <c r="J40" s="510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25" s="11" customFormat="1" x14ac:dyDescent="0.2">
      <c r="A41" s="878">
        <f t="shared" si="0"/>
        <v>33</v>
      </c>
      <c r="B41" s="295" t="s">
        <v>0</v>
      </c>
      <c r="C41" s="283"/>
      <c r="D41" s="283"/>
      <c r="E41" s="283"/>
      <c r="F41" s="497" t="s">
        <v>13</v>
      </c>
      <c r="G41" s="358"/>
      <c r="H41" s="358"/>
      <c r="I41" s="444"/>
      <c r="J41" s="510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25" x14ac:dyDescent="0.2">
      <c r="A42" s="878">
        <f t="shared" si="0"/>
        <v>34</v>
      </c>
      <c r="B42" s="295" t="s">
        <v>1</v>
      </c>
      <c r="C42" s="283">
        <f>Össz.önkor.mérleg.!C51</f>
        <v>0</v>
      </c>
      <c r="D42" s="283">
        <f>Össz.önkor.mérleg.!D51</f>
        <v>0</v>
      </c>
      <c r="E42" s="283">
        <f>Össz.önkor.mérleg.!E51</f>
        <v>0</v>
      </c>
      <c r="F42" s="497" t="s">
        <v>14</v>
      </c>
      <c r="G42" s="358"/>
      <c r="H42" s="358"/>
      <c r="I42" s="444"/>
      <c r="J42" s="184"/>
      <c r="T42" s="10"/>
      <c r="U42" s="10"/>
      <c r="V42" s="10"/>
      <c r="W42" s="10"/>
      <c r="X42" s="10"/>
      <c r="Y42" s="10"/>
    </row>
    <row r="43" spans="1:25" x14ac:dyDescent="0.2">
      <c r="A43" s="878">
        <f t="shared" si="0"/>
        <v>35</v>
      </c>
      <c r="B43" s="295" t="s">
        <v>2</v>
      </c>
      <c r="C43" s="283"/>
      <c r="D43" s="283"/>
      <c r="E43" s="283"/>
      <c r="F43" s="497" t="s">
        <v>15</v>
      </c>
      <c r="G43" s="189"/>
      <c r="H43" s="189"/>
      <c r="I43" s="444"/>
      <c r="J43" s="184"/>
      <c r="T43" s="10"/>
      <c r="U43" s="10"/>
      <c r="V43" s="10"/>
      <c r="W43" s="10"/>
      <c r="X43" s="10"/>
      <c r="Y43" s="10"/>
    </row>
    <row r="44" spans="1:25" ht="12" thickBot="1" x14ac:dyDescent="0.25">
      <c r="A44" s="878">
        <f t="shared" si="0"/>
        <v>36</v>
      </c>
      <c r="B44" s="877" t="s">
        <v>449</v>
      </c>
      <c r="C44" s="629">
        <f>SUM(C29:C42)</f>
        <v>52065</v>
      </c>
      <c r="D44" s="629">
        <f t="shared" ref="D44:E44" si="3">SUM(D29:D42)</f>
        <v>107458</v>
      </c>
      <c r="E44" s="629">
        <f t="shared" si="3"/>
        <v>159523</v>
      </c>
      <c r="F44" s="862" t="s">
        <v>442</v>
      </c>
      <c r="G44" s="189">
        <f>SUM(G29:G43)</f>
        <v>31376</v>
      </c>
      <c r="H44" s="189">
        <f>SUM(H29:H43)</f>
        <v>4260</v>
      </c>
      <c r="I44" s="444">
        <f>SUM(I29:I43)</f>
        <v>35636</v>
      </c>
      <c r="J44" s="184"/>
      <c r="T44" s="10"/>
      <c r="U44" s="10"/>
      <c r="V44" s="10"/>
      <c r="W44" s="10"/>
      <c r="X44" s="10"/>
      <c r="Y44" s="10"/>
    </row>
    <row r="45" spans="1:25" ht="12" thickBot="1" x14ac:dyDescent="0.25">
      <c r="A45" s="1110">
        <f t="shared" si="0"/>
        <v>37</v>
      </c>
      <c r="B45" s="1111" t="s">
        <v>444</v>
      </c>
      <c r="C45" s="902">
        <f>C24+C44+C27</f>
        <v>1575806</v>
      </c>
      <c r="D45" s="902">
        <f t="shared" ref="D45:E45" si="4">D24+D44+D27</f>
        <v>1379972</v>
      </c>
      <c r="E45" s="902">
        <f t="shared" si="4"/>
        <v>2955778</v>
      </c>
      <c r="F45" s="1066" t="s">
        <v>443</v>
      </c>
      <c r="G45" s="1105">
        <f>G24+G44</f>
        <v>1575806</v>
      </c>
      <c r="H45" s="927">
        <f>H24+H44</f>
        <v>1379972</v>
      </c>
      <c r="I45" s="1065">
        <f>I24+I44</f>
        <v>2955778</v>
      </c>
      <c r="J45" s="180"/>
      <c r="T45" s="10"/>
      <c r="U45" s="10"/>
      <c r="V45" s="10"/>
      <c r="W45" s="10"/>
      <c r="X45" s="10"/>
      <c r="Y45" s="10"/>
    </row>
    <row r="46" spans="1:25" x14ac:dyDescent="0.2">
      <c r="B46" s="183"/>
      <c r="C46" s="182"/>
      <c r="D46" s="182"/>
      <c r="E46" s="182"/>
      <c r="F46" s="182"/>
      <c r="G46" s="182"/>
      <c r="H46" s="182"/>
      <c r="I46" s="182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50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7" customWidth="1"/>
    <col min="2" max="2" width="42.85546875" style="157" customWidth="1"/>
    <col min="3" max="3" width="11" style="158" customWidth="1"/>
    <col min="4" max="4" width="11.42578125" style="158" customWidth="1"/>
    <col min="5" max="5" width="12" style="158" customWidth="1"/>
    <col min="6" max="6" width="41.7109375" style="158" customWidth="1"/>
    <col min="7" max="7" width="11.140625" style="158" customWidth="1"/>
    <col min="8" max="8" width="12.85546875" style="158" customWidth="1"/>
    <col min="9" max="9" width="16" style="158" customWidth="1"/>
    <col min="10" max="22" width="9.140625" style="157"/>
    <col min="23" max="16384" width="9.140625" style="10"/>
  </cols>
  <sheetData>
    <row r="1" spans="1:22" ht="12.75" customHeight="1" x14ac:dyDescent="0.2">
      <c r="A1" s="1244" t="s">
        <v>1354</v>
      </c>
      <c r="B1" s="1244"/>
      <c r="C1" s="1244"/>
      <c r="D1" s="1244"/>
      <c r="E1" s="1244"/>
      <c r="F1" s="1244"/>
      <c r="G1" s="1244"/>
      <c r="H1" s="1244"/>
      <c r="I1" s="1244"/>
    </row>
    <row r="2" spans="1:22" x14ac:dyDescent="0.2">
      <c r="B2" s="571"/>
      <c r="I2" s="159"/>
    </row>
    <row r="3" spans="1:22" s="122" customFormat="1" x14ac:dyDescent="0.2">
      <c r="A3" s="160"/>
      <c r="B3" s="1247" t="s">
        <v>54</v>
      </c>
      <c r="C3" s="1247"/>
      <c r="D3" s="1247"/>
      <c r="E3" s="1247"/>
      <c r="F3" s="1247"/>
      <c r="G3" s="1247"/>
      <c r="H3" s="1247"/>
      <c r="I3" s="1247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47" t="s">
        <v>1151</v>
      </c>
      <c r="C4" s="1247"/>
      <c r="D4" s="1247"/>
      <c r="E4" s="1247"/>
      <c r="F4" s="1247"/>
      <c r="G4" s="1247"/>
      <c r="H4" s="1247"/>
      <c r="I4" s="1247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ht="12.75" customHeight="1" x14ac:dyDescent="0.2">
      <c r="A5" s="1248" t="s">
        <v>305</v>
      </c>
      <c r="B5" s="1248"/>
      <c r="C5" s="1248"/>
      <c r="D5" s="1248"/>
      <c r="E5" s="1248"/>
      <c r="F5" s="1248"/>
      <c r="G5" s="1248"/>
      <c r="H5" s="1248"/>
      <c r="I5" s="1248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71" t="s">
        <v>56</v>
      </c>
      <c r="B6" s="1253" t="s">
        <v>57</v>
      </c>
      <c r="C6" s="1268" t="s">
        <v>58</v>
      </c>
      <c r="D6" s="1268"/>
      <c r="E6" s="1269"/>
      <c r="F6" s="1" t="s">
        <v>59</v>
      </c>
      <c r="G6" s="1270" t="s">
        <v>60</v>
      </c>
      <c r="H6" s="1270"/>
      <c r="I6" s="1270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72"/>
      <c r="B7" s="1253"/>
      <c r="C7" s="1245" t="s">
        <v>1140</v>
      </c>
      <c r="D7" s="1245"/>
      <c r="E7" s="1246"/>
      <c r="F7" s="2"/>
      <c r="G7" s="1245" t="s">
        <v>1140</v>
      </c>
      <c r="H7" s="1245"/>
      <c r="I7" s="1245"/>
      <c r="J7" s="160"/>
      <c r="K7" s="160"/>
      <c r="L7" s="160"/>
      <c r="M7" s="160"/>
    </row>
    <row r="8" spans="1:22" s="123" customFormat="1" ht="36.6" customHeight="1" x14ac:dyDescent="0.2">
      <c r="A8" s="1273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587"/>
      <c r="K8" s="187"/>
      <c r="L8" s="187"/>
      <c r="M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4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4">
        <f t="shared" ref="A10:A45" si="0">A9+1</f>
        <v>2</v>
      </c>
      <c r="B10" s="167"/>
      <c r="C10" s="118"/>
      <c r="D10" s="118"/>
      <c r="E10" s="119"/>
      <c r="F10" s="139"/>
      <c r="G10" s="119"/>
      <c r="H10" s="119"/>
      <c r="I10" s="441"/>
      <c r="J10" s="184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38</v>
      </c>
      <c r="C11" s="118">
        <f>Össz.önkor.mérleg.!C14</f>
        <v>0</v>
      </c>
      <c r="D11" s="118">
        <f>Össz.önkor.mérleg.!D14</f>
        <v>0</v>
      </c>
      <c r="E11" s="118">
        <f>Össz.önkor.mérleg.!E14</f>
        <v>0</v>
      </c>
      <c r="F11" s="140" t="s">
        <v>34</v>
      </c>
      <c r="G11" s="173"/>
      <c r="H11" s="173"/>
      <c r="I11" s="443"/>
      <c r="J11" s="184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1118</v>
      </c>
      <c r="C12" s="118">
        <f>Össz.önkor.mérleg.!C15</f>
        <v>0</v>
      </c>
      <c r="D12" s="118">
        <f>Össz.önkor.mérleg.!D15</f>
        <v>0</v>
      </c>
      <c r="E12" s="118">
        <f>Össz.önkor.mérleg.!E15</f>
        <v>0</v>
      </c>
      <c r="F12" s="140"/>
      <c r="G12" s="173"/>
      <c r="H12" s="173"/>
      <c r="I12" s="443"/>
      <c r="J12" s="184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64">
        <f t="shared" si="0"/>
        <v>5</v>
      </c>
      <c r="B13" s="1103" t="s">
        <v>1119</v>
      </c>
      <c r="C13" s="118">
        <f>Össz.önkor.mérleg.!C16</f>
        <v>0</v>
      </c>
      <c r="D13" s="118">
        <f>Össz.önkor.mérleg.!D16</f>
        <v>14540</v>
      </c>
      <c r="E13" s="118">
        <f>Össz.önkor.mérleg.!E16</f>
        <v>14540</v>
      </c>
      <c r="F13" s="140"/>
      <c r="G13" s="173"/>
      <c r="H13" s="173"/>
      <c r="I13" s="443"/>
      <c r="J13" s="184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57" t="s">
        <v>635</v>
      </c>
      <c r="C14" s="118"/>
      <c r="D14" s="168"/>
      <c r="E14" s="168"/>
      <c r="F14" s="139" t="s">
        <v>630</v>
      </c>
      <c r="G14" s="169">
        <f>Össz.önkor.mérleg.!G27</f>
        <v>977752</v>
      </c>
      <c r="H14" s="169">
        <f>Össz.önkor.mérleg.!H27</f>
        <v>202065</v>
      </c>
      <c r="I14" s="443">
        <f>Össz.önkor.mérleg.!I27</f>
        <v>1179817</v>
      </c>
      <c r="J14" s="184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64">
        <f t="shared" si="0"/>
        <v>7</v>
      </c>
      <c r="B15" s="157" t="s">
        <v>43</v>
      </c>
      <c r="C15" s="118"/>
      <c r="D15" s="168"/>
      <c r="E15" s="168"/>
      <c r="F15" s="139" t="s">
        <v>31</v>
      </c>
      <c r="G15" s="169">
        <f>Össz.önkor.mérleg.!G28</f>
        <v>49715</v>
      </c>
      <c r="H15" s="169">
        <f>Össz.önkor.mérleg.!H28</f>
        <v>2500</v>
      </c>
      <c r="I15" s="443">
        <f>SUM(G15:H15)</f>
        <v>52215</v>
      </c>
      <c r="J15" s="184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67" t="s">
        <v>44</v>
      </c>
      <c r="C16" s="129">
        <f>Össz.önkor.mérleg.!C24</f>
        <v>1447</v>
      </c>
      <c r="D16" s="129">
        <f>Össz.önkor.mérleg.!D24</f>
        <v>29300</v>
      </c>
      <c r="E16" s="118">
        <f>Össz.önkor.mérleg.!E24</f>
        <v>30747</v>
      </c>
      <c r="F16" s="139" t="s">
        <v>32</v>
      </c>
      <c r="G16" s="169">
        <f>Össz.önkor.mérleg.!G29</f>
        <v>0</v>
      </c>
      <c r="H16" s="169">
        <f>Össz.önkor.mérleg.!H29</f>
        <v>0</v>
      </c>
      <c r="I16" s="443">
        <f>SUM(G16:H16)</f>
        <v>0</v>
      </c>
      <c r="J16" s="184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45</v>
      </c>
      <c r="C17" s="118">
        <f>Össz.önkor.mérleg.!C25</f>
        <v>0</v>
      </c>
      <c r="D17" s="118">
        <f>Össz.önkor.mérleg.!D25</f>
        <v>1289</v>
      </c>
      <c r="E17" s="118">
        <f>Össz.önkor.mérleg.!E25</f>
        <v>1289</v>
      </c>
      <c r="F17" s="139" t="s">
        <v>448</v>
      </c>
      <c r="G17" s="169">
        <f>Össz.önkor.mérleg.!G30</f>
        <v>12004</v>
      </c>
      <c r="H17" s="169">
        <f>Össz.önkor.mérleg.!H30</f>
        <v>78232</v>
      </c>
      <c r="I17" s="443">
        <f>SUM(G17:H17)</f>
        <v>90236</v>
      </c>
      <c r="J17" s="184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67"/>
      <c r="C18" s="118"/>
      <c r="D18" s="118"/>
      <c r="E18" s="118"/>
      <c r="F18" s="139" t="s">
        <v>1134</v>
      </c>
      <c r="G18" s="169">
        <f>Össz.önkor.mérleg.!G31</f>
        <v>0</v>
      </c>
      <c r="H18" s="169">
        <f>Össz.önkor.mérleg.!H31</f>
        <v>5000</v>
      </c>
      <c r="I18" s="169">
        <f>Össz.önkor.mérleg.!I31</f>
        <v>5000</v>
      </c>
      <c r="J18" s="184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16" t="s">
        <v>46</v>
      </c>
      <c r="C19" s="118">
        <f>Össz.önkor.mérleg.!C21</f>
        <v>0</v>
      </c>
      <c r="D19" s="119">
        <f>Össz.önkor.mérleg.!D26</f>
        <v>180</v>
      </c>
      <c r="E19" s="118">
        <f>Össz.önkor.mérleg.!E26</f>
        <v>180</v>
      </c>
      <c r="F19" s="139" t="s">
        <v>1135</v>
      </c>
      <c r="G19" s="169">
        <f>Össz.önkor.mérleg.!G32</f>
        <v>49688</v>
      </c>
      <c r="H19" s="169">
        <f>Össz.önkor.mérleg.!H32</f>
        <v>4350</v>
      </c>
      <c r="I19" s="443">
        <f>Össz.önkor.mérleg.!I32</f>
        <v>54038</v>
      </c>
      <c r="J19" s="184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67" t="s">
        <v>47</v>
      </c>
      <c r="C20" s="118">
        <f>Össz.önkor.mérleg.!C22</f>
        <v>0</v>
      </c>
      <c r="D20" s="118">
        <f>Össz.önkor.mérleg.!D22</f>
        <v>0</v>
      </c>
      <c r="E20" s="118">
        <f>Össz.önkor.mérleg.!E22</f>
        <v>0</v>
      </c>
      <c r="F20" s="139" t="s">
        <v>1136</v>
      </c>
      <c r="G20" s="169">
        <f>Össz.önkor.mérleg.!G33</f>
        <v>24882</v>
      </c>
      <c r="H20" s="169">
        <f>Össz.önkor.mérleg.!H33</f>
        <v>12718</v>
      </c>
      <c r="I20" s="443">
        <f>Össz.önkor.mérleg.!I33</f>
        <v>37600</v>
      </c>
      <c r="J20" s="184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B21" s="167"/>
      <c r="C21" s="118"/>
      <c r="D21" s="119"/>
      <c r="E21" s="119"/>
      <c r="F21" s="176" t="s">
        <v>68</v>
      </c>
      <c r="G21" s="177">
        <f>SUM(G14:G20)</f>
        <v>1114041</v>
      </c>
      <c r="H21" s="177">
        <f>SUM(H14:H20)</f>
        <v>304865</v>
      </c>
      <c r="I21" s="445">
        <f>SUM(I14:I20)</f>
        <v>1418906</v>
      </c>
      <c r="J21" s="184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64">
        <f t="shared" si="0"/>
        <v>14</v>
      </c>
      <c r="B22" s="157" t="s">
        <v>636</v>
      </c>
      <c r="C22" s="119">
        <f>Össz.önkor.mérleg.!C30</f>
        <v>0</v>
      </c>
      <c r="D22" s="119">
        <f>Össz.önkor.mérleg.!D30</f>
        <v>2870</v>
      </c>
      <c r="E22" s="119">
        <f>Össz.önkor.mérleg.!E30</f>
        <v>2870</v>
      </c>
      <c r="F22" s="139"/>
      <c r="G22" s="169"/>
      <c r="H22" s="169"/>
      <c r="I22" s="441"/>
      <c r="J22" s="184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24" customFormat="1" x14ac:dyDescent="0.2">
      <c r="A23" s="164">
        <f t="shared" si="0"/>
        <v>15</v>
      </c>
      <c r="B23" s="157"/>
      <c r="C23" s="119"/>
      <c r="D23" s="119"/>
      <c r="E23" s="119"/>
      <c r="F23" s="171"/>
      <c r="G23" s="169"/>
      <c r="H23" s="169"/>
      <c r="I23" s="443"/>
      <c r="J23" s="532"/>
      <c r="K23" s="188"/>
      <c r="L23" s="188"/>
      <c r="M23" s="188"/>
    </row>
    <row r="24" spans="1:22" s="124" customFormat="1" x14ac:dyDescent="0.2">
      <c r="A24" s="164">
        <f t="shared" si="0"/>
        <v>16</v>
      </c>
      <c r="B24" s="174"/>
      <c r="C24" s="168"/>
      <c r="D24" s="168"/>
      <c r="E24" s="168"/>
      <c r="F24" s="171"/>
      <c r="G24" s="169"/>
      <c r="H24" s="169"/>
      <c r="I24" s="443"/>
      <c r="J24" s="532"/>
      <c r="K24" s="188"/>
      <c r="L24" s="188"/>
      <c r="M24" s="188"/>
    </row>
    <row r="25" spans="1:22" x14ac:dyDescent="0.2">
      <c r="A25" s="164">
        <f t="shared" si="0"/>
        <v>17</v>
      </c>
      <c r="B25" s="175" t="s">
        <v>67</v>
      </c>
      <c r="C25" s="125">
        <f>C12+C13+C16+C17+C19+C20+C22</f>
        <v>1447</v>
      </c>
      <c r="D25" s="125">
        <f t="shared" ref="D25:E25" si="1">D12+D13+D16+D17+D19+D20+D22</f>
        <v>48179</v>
      </c>
      <c r="E25" s="125">
        <f t="shared" si="1"/>
        <v>49626</v>
      </c>
      <c r="F25" s="172"/>
      <c r="G25" s="125"/>
      <c r="H25" s="125"/>
      <c r="I25" s="442"/>
      <c r="J25" s="184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78" t="s">
        <v>51</v>
      </c>
      <c r="C26" s="173">
        <f>SUM(C24:C25)</f>
        <v>1447</v>
      </c>
      <c r="D26" s="173">
        <f>SUM(D24:D25)</f>
        <v>48179</v>
      </c>
      <c r="E26" s="173">
        <f>SUM(E24:E25)</f>
        <v>49626</v>
      </c>
      <c r="F26" s="179" t="s">
        <v>69</v>
      </c>
      <c r="G26" s="173">
        <f>G25+G21</f>
        <v>1114041</v>
      </c>
      <c r="H26" s="173">
        <f>H25+H21</f>
        <v>304865</v>
      </c>
      <c r="I26" s="446">
        <f>I25+I21</f>
        <v>1418906</v>
      </c>
      <c r="J26" s="184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80"/>
      <c r="C27" s="169"/>
      <c r="D27" s="169"/>
      <c r="E27" s="169"/>
      <c r="F27" s="171"/>
      <c r="I27" s="443"/>
      <c r="J27" s="184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78" t="s">
        <v>637</v>
      </c>
      <c r="C28" s="173">
        <f>C26-G26</f>
        <v>-1112594</v>
      </c>
      <c r="D28" s="173">
        <f>D26-H26</f>
        <v>-256686</v>
      </c>
      <c r="E28" s="586">
        <f>E26-I26</f>
        <v>-1369280</v>
      </c>
      <c r="F28" s="171"/>
      <c r="I28" s="443"/>
      <c r="J28" s="184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6.5" customHeight="1" x14ac:dyDescent="0.2">
      <c r="A29" s="164">
        <f t="shared" si="0"/>
        <v>21</v>
      </c>
      <c r="B29" s="829" t="s">
        <v>1295</v>
      </c>
      <c r="C29" s="288">
        <f>-'működ. mérleg '!C27</f>
        <v>0</v>
      </c>
      <c r="D29" s="288">
        <f>-'működ. mérleg '!D27</f>
        <v>0</v>
      </c>
      <c r="E29" s="288">
        <f>-'működ. mérleg '!E27</f>
        <v>0</v>
      </c>
      <c r="F29" s="171"/>
      <c r="I29" s="443"/>
      <c r="J29" s="184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2">
      <c r="A30" s="164">
        <f t="shared" si="0"/>
        <v>22</v>
      </c>
      <c r="B30" s="127"/>
      <c r="C30" s="169"/>
      <c r="D30" s="169"/>
      <c r="E30" s="169">
        <f>C30+D30</f>
        <v>0</v>
      </c>
      <c r="F30" s="171"/>
      <c r="G30" s="169"/>
      <c r="H30" s="169"/>
      <c r="I30" s="443"/>
      <c r="J30" s="510"/>
      <c r="K30" s="183"/>
      <c r="L30" s="183"/>
      <c r="M30" s="183"/>
    </row>
    <row r="31" spans="1:22" s="11" customFormat="1" x14ac:dyDescent="0.2">
      <c r="A31" s="164">
        <f t="shared" si="0"/>
        <v>23</v>
      </c>
      <c r="B31" s="126" t="s">
        <v>53</v>
      </c>
      <c r="C31" s="126"/>
      <c r="D31" s="126"/>
      <c r="E31" s="126"/>
      <c r="F31" s="140" t="s">
        <v>33</v>
      </c>
      <c r="G31" s="173"/>
      <c r="H31" s="173"/>
      <c r="I31" s="446"/>
      <c r="J31" s="510"/>
      <c r="K31" s="183"/>
      <c r="L31" s="183"/>
      <c r="M31" s="183"/>
    </row>
    <row r="32" spans="1:22" s="11" customFormat="1" x14ac:dyDescent="0.2">
      <c r="A32" s="164">
        <f t="shared" si="0"/>
        <v>24</v>
      </c>
      <c r="B32" s="136" t="s">
        <v>684</v>
      </c>
      <c r="C32" s="126"/>
      <c r="D32" s="126"/>
      <c r="E32" s="126"/>
      <c r="F32" s="181" t="s">
        <v>4</v>
      </c>
      <c r="G32" s="182"/>
      <c r="H32" s="183"/>
      <c r="I32" s="447"/>
      <c r="J32" s="510"/>
      <c r="K32" s="183"/>
      <c r="L32" s="183"/>
      <c r="M32" s="183"/>
    </row>
    <row r="33" spans="1:22" s="11" customFormat="1" x14ac:dyDescent="0.2">
      <c r="A33" s="164">
        <f t="shared" si="0"/>
        <v>25</v>
      </c>
      <c r="B33" s="157" t="s">
        <v>1000</v>
      </c>
      <c r="C33" s="119">
        <f>Össz.önkor.mérleg.!C41</f>
        <v>634227</v>
      </c>
      <c r="D33" s="119">
        <f>Össz.önkor.mérleg.!D41</f>
        <v>0</v>
      </c>
      <c r="E33" s="119">
        <f>Össz.önkor.mérleg.!E41</f>
        <v>634227</v>
      </c>
      <c r="F33" s="184" t="s">
        <v>3</v>
      </c>
      <c r="G33" s="173"/>
      <c r="H33" s="173"/>
      <c r="I33" s="446"/>
      <c r="J33" s="510"/>
      <c r="K33" s="183"/>
      <c r="L33" s="183"/>
      <c r="M33" s="183"/>
    </row>
    <row r="34" spans="1:22" x14ac:dyDescent="0.2">
      <c r="A34" s="164">
        <f t="shared" si="0"/>
        <v>26</v>
      </c>
      <c r="B34" s="118" t="s">
        <v>686</v>
      </c>
      <c r="C34" s="185"/>
      <c r="D34" s="137"/>
      <c r="E34" s="137">
        <f>SUM(C34:D34)</f>
        <v>0</v>
      </c>
      <c r="F34" s="139" t="s">
        <v>5</v>
      </c>
      <c r="G34" s="173"/>
      <c r="H34" s="173"/>
      <c r="I34" s="446"/>
      <c r="J34" s="184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18" t="s">
        <v>685</v>
      </c>
      <c r="C35" s="119"/>
      <c r="D35" s="119"/>
      <c r="E35" s="119"/>
      <c r="F35" s="139" t="s">
        <v>6</v>
      </c>
      <c r="G35" s="182"/>
      <c r="H35" s="182"/>
      <c r="I35" s="446"/>
      <c r="J35" s="184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4">
        <f t="shared" si="0"/>
        <v>28</v>
      </c>
      <c r="B36" s="118" t="s">
        <v>1043</v>
      </c>
      <c r="C36" s="283">
        <f>-(C28+C33)-C30-C29</f>
        <v>478367</v>
      </c>
      <c r="D36" s="283">
        <f t="shared" ref="D36:E36" si="2">-(D28+D33)-D30-D29</f>
        <v>256686</v>
      </c>
      <c r="E36" s="283">
        <f t="shared" si="2"/>
        <v>735053</v>
      </c>
      <c r="F36" s="139" t="s">
        <v>7</v>
      </c>
      <c r="G36" s="182"/>
      <c r="H36" s="182"/>
      <c r="I36" s="446"/>
      <c r="J36" s="184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4">
        <f t="shared" si="0"/>
        <v>29</v>
      </c>
      <c r="B37" s="119" t="s">
        <v>687</v>
      </c>
      <c r="C37" s="126"/>
      <c r="D37" s="126"/>
      <c r="E37" s="519"/>
      <c r="F37" s="139" t="s">
        <v>9</v>
      </c>
      <c r="G37" s="173"/>
      <c r="H37" s="173"/>
      <c r="I37" s="443"/>
      <c r="J37" s="184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4">
        <f t="shared" si="0"/>
        <v>30</v>
      </c>
      <c r="B38" s="119" t="s">
        <v>688</v>
      </c>
      <c r="C38" s="119"/>
      <c r="D38" s="119"/>
      <c r="E38" s="119"/>
      <c r="F38" s="139" t="s">
        <v>10</v>
      </c>
      <c r="G38" s="169"/>
      <c r="H38" s="169"/>
      <c r="I38" s="443"/>
      <c r="J38" s="184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4">
        <f t="shared" si="0"/>
        <v>31</v>
      </c>
      <c r="B39" s="118" t="s">
        <v>689</v>
      </c>
      <c r="C39" s="119"/>
      <c r="D39" s="119"/>
      <c r="E39" s="119"/>
      <c r="F39" s="139" t="s">
        <v>11</v>
      </c>
      <c r="G39" s="169"/>
      <c r="H39" s="169"/>
      <c r="I39" s="443"/>
      <c r="J39" s="184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4">
        <f t="shared" si="0"/>
        <v>32</v>
      </c>
      <c r="B40" s="118" t="s">
        <v>690</v>
      </c>
      <c r="C40" s="119"/>
      <c r="D40" s="119"/>
      <c r="E40" s="119"/>
      <c r="F40" s="139" t="s">
        <v>12</v>
      </c>
      <c r="G40" s="169"/>
      <c r="H40" s="169"/>
      <c r="I40" s="443"/>
      <c r="J40" s="184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64">
        <f t="shared" si="0"/>
        <v>33</v>
      </c>
      <c r="B41" s="118" t="s">
        <v>0</v>
      </c>
      <c r="C41" s="119"/>
      <c r="D41" s="119"/>
      <c r="E41" s="119"/>
      <c r="F41" s="139" t="s">
        <v>13</v>
      </c>
      <c r="G41" s="169"/>
      <c r="H41" s="169"/>
      <c r="I41" s="443"/>
      <c r="J41" s="184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64">
        <f t="shared" si="0"/>
        <v>34</v>
      </c>
      <c r="B42" s="118" t="s">
        <v>1</v>
      </c>
      <c r="C42" s="119"/>
      <c r="D42" s="119"/>
      <c r="E42" s="119"/>
      <c r="F42" s="139" t="s">
        <v>14</v>
      </c>
      <c r="G42" s="169"/>
      <c r="H42" s="169"/>
      <c r="I42" s="443"/>
      <c r="J42" s="184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</v>
      </c>
      <c r="C43" s="119"/>
      <c r="D43" s="119"/>
      <c r="E43" s="119"/>
      <c r="F43" s="139" t="s">
        <v>15</v>
      </c>
      <c r="G43" s="169"/>
      <c r="H43" s="169"/>
      <c r="I43" s="443"/>
      <c r="J43" s="184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64">
        <f t="shared" si="0"/>
        <v>36</v>
      </c>
      <c r="B44" s="178" t="s">
        <v>449</v>
      </c>
      <c r="C44" s="504">
        <f t="shared" ref="C44:D44" si="3">SUM(C31:C42)</f>
        <v>1112594</v>
      </c>
      <c r="D44" s="504">
        <f t="shared" si="3"/>
        <v>256686</v>
      </c>
      <c r="E44" s="504">
        <f>SUM(E31:E42)</f>
        <v>1369280</v>
      </c>
      <c r="F44" s="140" t="s">
        <v>442</v>
      </c>
      <c r="G44" s="173">
        <f>SUM(G32:G43)</f>
        <v>0</v>
      </c>
      <c r="H44" s="173">
        <f>SUM(H32:H43)</f>
        <v>0</v>
      </c>
      <c r="I44" s="450">
        <f>SUM(I32:I43)</f>
        <v>0</v>
      </c>
      <c r="J44" s="184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thickBot="1" x14ac:dyDescent="0.25">
      <c r="A45" s="1108">
        <f t="shared" si="0"/>
        <v>37</v>
      </c>
      <c r="B45" s="1109" t="s">
        <v>444</v>
      </c>
      <c r="C45" s="186">
        <f t="shared" ref="C45:D45" si="4">C26+C29+C44</f>
        <v>1114041</v>
      </c>
      <c r="D45" s="186">
        <f t="shared" si="4"/>
        <v>304865</v>
      </c>
      <c r="E45" s="186">
        <f>E26+E29+E44</f>
        <v>1418906</v>
      </c>
      <c r="F45" s="503" t="s">
        <v>443</v>
      </c>
      <c r="G45" s="1067">
        <f>G26+G44</f>
        <v>1114041</v>
      </c>
      <c r="H45" s="1067">
        <f>H26+H44</f>
        <v>304865</v>
      </c>
      <c r="I45" s="1068">
        <f>I26+I44</f>
        <v>1418906</v>
      </c>
      <c r="J45" s="184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B46" s="183"/>
      <c r="C46" s="182"/>
      <c r="D46" s="182"/>
      <c r="E46" s="182"/>
      <c r="F46" s="182"/>
      <c r="G46" s="182"/>
      <c r="H46" s="182"/>
      <c r="I46" s="182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">
      <c r="T47" s="10"/>
      <c r="U47" s="10"/>
      <c r="V47" s="10"/>
    </row>
    <row r="50" spans="4:4" x14ac:dyDescent="0.2">
      <c r="D50" s="169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97"/>
  <sheetViews>
    <sheetView workbookViewId="0">
      <selection sqref="A1:I1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3" width="4.140625" style="6" customWidth="1"/>
    <col min="14" max="14" width="11.140625" style="6" customWidth="1"/>
    <col min="15" max="15" width="10.85546875" style="6" bestFit="1" customWidth="1"/>
    <col min="16" max="16" width="10.85546875" style="6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276" t="s">
        <v>1253</v>
      </c>
      <c r="B1" s="1276"/>
      <c r="C1" s="1276"/>
      <c r="D1" s="1276"/>
      <c r="E1" s="1276"/>
      <c r="F1" s="1276"/>
      <c r="G1" s="1276"/>
      <c r="H1" s="1276"/>
      <c r="I1" s="1276"/>
      <c r="J1" s="1133"/>
      <c r="K1" s="1133"/>
      <c r="L1" s="1133"/>
      <c r="M1" s="1133"/>
      <c r="N1" s="1133"/>
      <c r="O1" s="1133"/>
      <c r="P1" s="1133"/>
      <c r="Q1" s="1133"/>
      <c r="R1" s="1133"/>
    </row>
    <row r="2" spans="1:257" x14ac:dyDescent="0.2">
      <c r="A2" s="1134"/>
      <c r="B2" s="1134"/>
      <c r="C2" s="1134"/>
      <c r="D2" s="1134"/>
      <c r="E2" s="1135"/>
      <c r="F2" s="1277"/>
      <c r="G2" s="1277"/>
      <c r="H2" s="1277"/>
      <c r="I2" s="1277"/>
      <c r="J2" s="1133"/>
      <c r="K2" s="1133"/>
      <c r="L2" s="1133"/>
      <c r="M2" s="1133"/>
      <c r="N2" s="1133"/>
      <c r="O2" s="1133"/>
      <c r="P2" s="1133"/>
      <c r="Q2" s="1133"/>
      <c r="R2" s="1133"/>
    </row>
    <row r="3" spans="1:257" ht="30" customHeight="1" x14ac:dyDescent="0.2">
      <c r="A3" s="1278" t="s">
        <v>77</v>
      </c>
      <c r="B3" s="1278"/>
      <c r="C3" s="1278"/>
      <c r="D3" s="1278"/>
      <c r="E3" s="1278"/>
      <c r="F3" s="1279"/>
      <c r="G3" s="1279"/>
      <c r="H3" s="1279"/>
      <c r="I3" s="1279"/>
      <c r="J3" s="1133"/>
      <c r="K3" s="1133"/>
      <c r="L3" s="1133"/>
      <c r="M3" s="1133"/>
      <c r="N3" s="1133"/>
      <c r="O3" s="1133"/>
      <c r="P3" s="1133"/>
      <c r="Q3" s="1133"/>
      <c r="R3" s="1133"/>
    </row>
    <row r="4" spans="1:257" ht="33" customHeight="1" thickBot="1" x14ac:dyDescent="0.25">
      <c r="A4" s="1278" t="s">
        <v>1210</v>
      </c>
      <c r="B4" s="1278"/>
      <c r="C4" s="1278"/>
      <c r="D4" s="1278"/>
      <c r="E4" s="1278"/>
      <c r="F4" s="1279"/>
      <c r="G4" s="1279"/>
      <c r="H4" s="1279"/>
      <c r="I4" s="1279"/>
      <c r="J4" s="1133"/>
      <c r="K4" s="1133"/>
      <c r="L4" s="1133"/>
      <c r="M4" s="1133"/>
      <c r="N4" s="1133"/>
      <c r="O4" s="1133"/>
      <c r="P4" s="1133"/>
      <c r="Q4" s="1133"/>
      <c r="R4" s="1133"/>
    </row>
    <row r="5" spans="1:257" ht="30.75" customHeight="1" thickBot="1" x14ac:dyDescent="0.25">
      <c r="A5" s="1280" t="s">
        <v>78</v>
      </c>
      <c r="B5" s="1282" t="s">
        <v>107</v>
      </c>
      <c r="C5" s="1283"/>
      <c r="D5" s="1283"/>
      <c r="E5" s="1283"/>
      <c r="F5" s="1284" t="s">
        <v>1168</v>
      </c>
      <c r="G5" s="1285"/>
      <c r="H5" s="1285"/>
      <c r="I5" s="1286"/>
      <c r="J5" s="1133"/>
      <c r="K5" s="1133"/>
      <c r="L5" s="1133"/>
      <c r="M5" s="1133"/>
      <c r="N5" s="1133"/>
      <c r="O5" s="1133"/>
      <c r="P5" s="1133"/>
      <c r="Q5" s="1133"/>
      <c r="R5" s="1133"/>
    </row>
    <row r="6" spans="1:257" ht="36.75" thickBot="1" x14ac:dyDescent="0.25">
      <c r="A6" s="1281"/>
      <c r="B6" s="1136" t="s">
        <v>79</v>
      </c>
      <c r="C6" s="1137" t="s">
        <v>80</v>
      </c>
      <c r="D6" s="1137" t="s">
        <v>681</v>
      </c>
      <c r="E6" s="1138" t="s">
        <v>81</v>
      </c>
      <c r="F6" s="1136" t="s">
        <v>79</v>
      </c>
      <c r="G6" s="1137" t="s">
        <v>80</v>
      </c>
      <c r="H6" s="1137" t="s">
        <v>681</v>
      </c>
      <c r="I6" s="1138" t="s">
        <v>81</v>
      </c>
      <c r="J6" s="1139"/>
      <c r="K6" s="1139"/>
      <c r="L6" s="1139"/>
      <c r="M6" s="1139"/>
      <c r="N6" s="1139"/>
      <c r="O6" s="1139"/>
      <c r="P6" s="1139"/>
      <c r="Q6" s="1139"/>
      <c r="R6" s="113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2.75" x14ac:dyDescent="0.2">
      <c r="A7" s="1140" t="s">
        <v>82</v>
      </c>
      <c r="B7" s="1141"/>
      <c r="C7" s="1141"/>
      <c r="D7" s="1141"/>
      <c r="E7" s="1141"/>
      <c r="F7" s="1142"/>
      <c r="G7" s="1142"/>
      <c r="H7" s="1142"/>
      <c r="I7" s="1142"/>
      <c r="J7" s="1143"/>
      <c r="K7" s="1133"/>
      <c r="L7" s="1133"/>
      <c r="M7" s="1133"/>
      <c r="N7" s="1133"/>
      <c r="O7" s="1133"/>
      <c r="P7" s="1133"/>
      <c r="Q7" s="1133"/>
      <c r="R7" s="1133"/>
    </row>
    <row r="8" spans="1:257" ht="12.75" x14ac:dyDescent="0.2">
      <c r="A8" s="1144" t="s">
        <v>819</v>
      </c>
      <c r="B8" s="682"/>
      <c r="C8" s="682"/>
      <c r="D8" s="682"/>
      <c r="E8" s="682"/>
      <c r="F8" s="746"/>
      <c r="G8" s="746"/>
      <c r="H8" s="746"/>
      <c r="I8" s="746"/>
      <c r="J8" s="1143"/>
      <c r="K8" s="1133"/>
      <c r="L8" s="1133"/>
      <c r="M8" s="1133"/>
      <c r="N8" s="1133"/>
      <c r="O8" s="1133"/>
      <c r="P8" s="1133"/>
      <c r="Q8" s="1133"/>
      <c r="R8" s="1133"/>
    </row>
    <row r="9" spans="1:257" ht="36" x14ac:dyDescent="0.2">
      <c r="A9" s="679" t="s">
        <v>820</v>
      </c>
      <c r="B9" s="548">
        <v>4865</v>
      </c>
      <c r="C9" s="680">
        <v>18.690000000000001</v>
      </c>
      <c r="D9" s="548">
        <v>4580000</v>
      </c>
      <c r="E9" s="548">
        <f>C9*D9</f>
        <v>85600200</v>
      </c>
      <c r="F9" s="794" t="s">
        <v>1169</v>
      </c>
      <c r="G9" s="546">
        <v>18.420000000000002</v>
      </c>
      <c r="H9" s="546">
        <v>4580000</v>
      </c>
      <c r="I9" s="547">
        <f>G9*H9</f>
        <v>84363600.000000015</v>
      </c>
      <c r="J9" s="1143"/>
      <c r="K9" s="1133"/>
      <c r="L9" s="1133"/>
      <c r="M9" s="1133"/>
      <c r="N9" s="1133"/>
      <c r="O9" s="1133"/>
      <c r="P9" s="1133"/>
      <c r="Q9" s="1133"/>
      <c r="R9" s="1133"/>
    </row>
    <row r="10" spans="1:257" ht="12.75" x14ac:dyDescent="0.2">
      <c r="A10" s="551" t="s">
        <v>1170</v>
      </c>
      <c r="B10" s="682"/>
      <c r="C10" s="682"/>
      <c r="D10" s="682"/>
      <c r="E10" s="682"/>
      <c r="F10" s="638"/>
      <c r="G10" s="687"/>
      <c r="H10" s="687"/>
      <c r="I10" s="638"/>
      <c r="J10" s="1143"/>
      <c r="K10" s="1133"/>
      <c r="L10" s="1133"/>
      <c r="M10" s="1133"/>
      <c r="N10" s="1133"/>
      <c r="O10" s="1133"/>
      <c r="P10" s="1133"/>
      <c r="Q10" s="1133"/>
      <c r="R10" s="1133"/>
    </row>
    <row r="11" spans="1:257" ht="12.75" x14ac:dyDescent="0.2">
      <c r="A11" s="679" t="s">
        <v>822</v>
      </c>
      <c r="B11" s="682"/>
      <c r="C11" s="691"/>
      <c r="D11" s="682" t="s">
        <v>295</v>
      </c>
      <c r="E11" s="682">
        <v>8328800</v>
      </c>
      <c r="F11" s="1145"/>
      <c r="G11" s="687"/>
      <c r="H11" s="546" t="s">
        <v>295</v>
      </c>
      <c r="I11" s="547">
        <v>8329050</v>
      </c>
      <c r="J11" s="1143"/>
      <c r="K11" s="1133"/>
      <c r="L11" s="1133"/>
      <c r="M11" s="1133"/>
      <c r="N11" s="1133"/>
      <c r="O11" s="1133"/>
      <c r="P11" s="1133"/>
      <c r="Q11" s="1133"/>
      <c r="R11" s="1133"/>
    </row>
    <row r="12" spans="1:257" ht="12.75" x14ac:dyDescent="0.2">
      <c r="A12" s="679" t="s">
        <v>1211</v>
      </c>
      <c r="B12" s="548"/>
      <c r="C12" s="549"/>
      <c r="D12" s="548"/>
      <c r="E12" s="548"/>
      <c r="F12" s="547"/>
      <c r="G12" s="546"/>
      <c r="H12" s="546"/>
      <c r="I12" s="547">
        <v>-8329050</v>
      </c>
      <c r="J12" s="1143"/>
      <c r="K12" s="1133"/>
      <c r="L12" s="1133"/>
      <c r="M12" s="1133"/>
      <c r="N12" s="1133"/>
      <c r="O12" s="1133"/>
      <c r="P12" s="1133"/>
      <c r="Q12" s="1133"/>
      <c r="R12" s="1133"/>
    </row>
    <row r="13" spans="1:257" ht="24" x14ac:dyDescent="0.2">
      <c r="A13" s="679" t="s">
        <v>1212</v>
      </c>
      <c r="B13" s="548"/>
      <c r="C13" s="549"/>
      <c r="D13" s="548"/>
      <c r="E13" s="548"/>
      <c r="F13" s="547"/>
      <c r="G13" s="546"/>
      <c r="H13" s="546"/>
      <c r="I13" s="547">
        <f>I11+I12</f>
        <v>0</v>
      </c>
      <c r="J13" s="1143"/>
      <c r="K13" s="1133"/>
      <c r="L13" s="1133"/>
      <c r="M13" s="1133"/>
      <c r="N13" s="1133"/>
      <c r="O13" s="1133"/>
      <c r="P13" s="1133"/>
      <c r="Q13" s="1133"/>
      <c r="R13" s="1133"/>
    </row>
    <row r="14" spans="1:257" ht="12.75" x14ac:dyDescent="0.2">
      <c r="A14" s="551" t="s">
        <v>825</v>
      </c>
      <c r="B14" s="682"/>
      <c r="C14" s="682"/>
      <c r="D14" s="750" t="s">
        <v>296</v>
      </c>
      <c r="E14" s="682">
        <v>18272000</v>
      </c>
      <c r="F14" s="1145"/>
      <c r="G14" s="687"/>
      <c r="H14" s="1146" t="s">
        <v>296</v>
      </c>
      <c r="I14" s="547">
        <v>18304000</v>
      </c>
      <c r="J14" s="1143"/>
      <c r="K14" s="1133"/>
      <c r="L14" s="1133"/>
      <c r="M14" s="1133"/>
      <c r="N14" s="1133"/>
      <c r="O14" s="1133"/>
      <c r="P14" s="1133"/>
      <c r="Q14" s="1133"/>
      <c r="R14" s="1133"/>
    </row>
    <row r="15" spans="1:257" ht="12.75" x14ac:dyDescent="0.2">
      <c r="A15" s="551" t="s">
        <v>1211</v>
      </c>
      <c r="B15" s="682"/>
      <c r="C15" s="682"/>
      <c r="D15" s="750"/>
      <c r="E15" s="682"/>
      <c r="F15" s="638"/>
      <c r="G15" s="687"/>
      <c r="H15" s="687"/>
      <c r="I15" s="547">
        <v>-18304000</v>
      </c>
      <c r="J15" s="1143"/>
      <c r="K15" s="1133"/>
      <c r="L15" s="1133"/>
      <c r="M15" s="1133"/>
      <c r="N15" s="1133"/>
      <c r="O15" s="1133"/>
      <c r="P15" s="1133"/>
      <c r="Q15" s="1133"/>
      <c r="R15" s="1133"/>
    </row>
    <row r="16" spans="1:257" ht="12.75" x14ac:dyDescent="0.2">
      <c r="A16" s="551" t="s">
        <v>1213</v>
      </c>
      <c r="B16" s="682"/>
      <c r="C16" s="682"/>
      <c r="D16" s="750"/>
      <c r="E16" s="682"/>
      <c r="F16" s="638"/>
      <c r="G16" s="687"/>
      <c r="H16" s="687"/>
      <c r="I16" s="547">
        <f>I14+I15</f>
        <v>0</v>
      </c>
      <c r="J16" s="1143"/>
      <c r="K16" s="1133"/>
      <c r="L16" s="1133"/>
      <c r="M16" s="1133"/>
      <c r="N16" s="1133"/>
      <c r="O16" s="1133"/>
      <c r="P16" s="1133"/>
      <c r="Q16" s="1133"/>
      <c r="R16" s="1133"/>
    </row>
    <row r="17" spans="1:18" ht="12.75" x14ac:dyDescent="0.2">
      <c r="A17" s="551" t="s">
        <v>827</v>
      </c>
      <c r="B17" s="682"/>
      <c r="C17" s="682" t="s">
        <v>1171</v>
      </c>
      <c r="D17" s="683" t="s">
        <v>682</v>
      </c>
      <c r="E17" s="682">
        <v>1355022</v>
      </c>
      <c r="F17" s="1145"/>
      <c r="G17" s="682"/>
      <c r="H17" s="683"/>
      <c r="I17" s="547">
        <v>100000</v>
      </c>
      <c r="J17" s="1143"/>
      <c r="K17" s="1133"/>
      <c r="L17" s="1133"/>
      <c r="M17" s="1133"/>
      <c r="N17" s="1133"/>
      <c r="O17" s="1133"/>
      <c r="P17" s="1133"/>
      <c r="Q17" s="1133"/>
      <c r="R17" s="1133"/>
    </row>
    <row r="18" spans="1:18" ht="12.75" x14ac:dyDescent="0.2">
      <c r="A18" s="551" t="s">
        <v>1211</v>
      </c>
      <c r="B18" s="682"/>
      <c r="C18" s="682"/>
      <c r="D18" s="683"/>
      <c r="E18" s="682"/>
      <c r="F18" s="638"/>
      <c r="G18" s="682"/>
      <c r="H18" s="683"/>
      <c r="I18" s="547">
        <v>-100000</v>
      </c>
      <c r="J18" s="1143"/>
      <c r="K18" s="1133"/>
      <c r="L18" s="1133"/>
      <c r="M18" s="1133"/>
      <c r="N18" s="1133"/>
      <c r="O18" s="1133"/>
      <c r="P18" s="1133"/>
      <c r="Q18" s="1133"/>
      <c r="R18" s="1133"/>
    </row>
    <row r="19" spans="1:18" ht="12.75" x14ac:dyDescent="0.2">
      <c r="A19" s="551" t="s">
        <v>1214</v>
      </c>
      <c r="B19" s="682"/>
      <c r="C19" s="682"/>
      <c r="D19" s="683"/>
      <c r="E19" s="682"/>
      <c r="F19" s="638"/>
      <c r="G19" s="682"/>
      <c r="H19" s="683"/>
      <c r="I19" s="547">
        <f>I17+I18</f>
        <v>0</v>
      </c>
      <c r="J19" s="1143"/>
      <c r="K19" s="1133"/>
      <c r="L19" s="1133"/>
      <c r="M19" s="1133"/>
      <c r="N19" s="1133"/>
      <c r="O19" s="1133"/>
      <c r="P19" s="1133"/>
      <c r="Q19" s="1133"/>
      <c r="R19" s="1133"/>
    </row>
    <row r="20" spans="1:18" ht="12.75" x14ac:dyDescent="0.2">
      <c r="A20" s="551" t="s">
        <v>831</v>
      </c>
      <c r="B20" s="682"/>
      <c r="C20" s="691"/>
      <c r="D20" s="750" t="s">
        <v>683</v>
      </c>
      <c r="E20" s="682">
        <v>6369620</v>
      </c>
      <c r="F20" s="1145"/>
      <c r="G20" s="687"/>
      <c r="H20" s="681" t="s">
        <v>683</v>
      </c>
      <c r="I20" s="547">
        <v>6212990</v>
      </c>
      <c r="J20" s="1143"/>
      <c r="K20" s="1133"/>
      <c r="L20" s="1133"/>
      <c r="M20" s="1133"/>
      <c r="N20" s="1133"/>
      <c r="O20" s="1133"/>
      <c r="P20" s="1133"/>
      <c r="Q20" s="1133"/>
      <c r="R20" s="1133"/>
    </row>
    <row r="21" spans="1:18" ht="12.75" x14ac:dyDescent="0.2">
      <c r="A21" s="551" t="s">
        <v>1211</v>
      </c>
      <c r="B21" s="682"/>
      <c r="C21" s="691"/>
      <c r="D21" s="750"/>
      <c r="E21" s="682"/>
      <c r="F21" s="638"/>
      <c r="G21" s="687"/>
      <c r="H21" s="750"/>
      <c r="I21" s="547">
        <v>-6212990</v>
      </c>
      <c r="J21" s="1143"/>
      <c r="K21" s="1133"/>
      <c r="L21" s="1133"/>
      <c r="M21" s="1133"/>
      <c r="N21" s="1133"/>
      <c r="O21" s="1133"/>
      <c r="P21" s="1133"/>
      <c r="Q21" s="1133"/>
      <c r="R21" s="1133"/>
    </row>
    <row r="22" spans="1:18" ht="12.75" x14ac:dyDescent="0.2">
      <c r="A22" s="551" t="s">
        <v>1215</v>
      </c>
      <c r="B22" s="682"/>
      <c r="C22" s="691"/>
      <c r="D22" s="750"/>
      <c r="E22" s="682"/>
      <c r="F22" s="638"/>
      <c r="G22" s="687"/>
      <c r="H22" s="750"/>
      <c r="I22" s="547">
        <f>I20+I21</f>
        <v>0</v>
      </c>
      <c r="J22" s="1143"/>
      <c r="K22" s="1133"/>
      <c r="L22" s="1133"/>
      <c r="M22" s="1133"/>
      <c r="N22" s="1133"/>
      <c r="O22" s="1133"/>
      <c r="P22" s="1133"/>
      <c r="Q22" s="1133"/>
      <c r="R22" s="1133"/>
    </row>
    <row r="23" spans="1:18" ht="12.75" x14ac:dyDescent="0.2">
      <c r="A23" s="551" t="s">
        <v>833</v>
      </c>
      <c r="B23" s="682">
        <v>4865</v>
      </c>
      <c r="C23" s="682"/>
      <c r="D23" s="682">
        <v>2700</v>
      </c>
      <c r="E23" s="682">
        <f>B23*D23</f>
        <v>13135500</v>
      </c>
      <c r="F23" s="547">
        <v>4747</v>
      </c>
      <c r="G23" s="546"/>
      <c r="H23" s="548">
        <v>2700</v>
      </c>
      <c r="I23" s="547">
        <f>F23*H23</f>
        <v>12816900</v>
      </c>
      <c r="J23" s="588"/>
      <c r="K23" s="1133"/>
      <c r="L23" s="1133"/>
      <c r="M23" s="1133"/>
      <c r="N23" s="1133"/>
      <c r="O23" s="1133"/>
      <c r="P23" s="1133"/>
      <c r="Q23" s="1133"/>
      <c r="R23" s="1133"/>
    </row>
    <row r="24" spans="1:18" ht="12.75" x14ac:dyDescent="0.2">
      <c r="A24" s="551" t="s">
        <v>1216</v>
      </c>
      <c r="B24" s="548"/>
      <c r="C24" s="548"/>
      <c r="D24" s="548"/>
      <c r="E24" s="548">
        <v>-13135500</v>
      </c>
      <c r="F24" s="547"/>
      <c r="G24" s="546"/>
      <c r="H24" s="546"/>
      <c r="I24" s="547">
        <v>-12816900</v>
      </c>
      <c r="J24" s="1143"/>
      <c r="K24" s="1133"/>
      <c r="L24" s="1133"/>
      <c r="M24" s="1133"/>
      <c r="N24" s="1133"/>
      <c r="O24" s="1133"/>
      <c r="P24" s="1133"/>
      <c r="Q24" s="1133"/>
      <c r="R24" s="1133"/>
    </row>
    <row r="25" spans="1:18" ht="12.75" x14ac:dyDescent="0.2">
      <c r="A25" s="551" t="s">
        <v>1217</v>
      </c>
      <c r="B25" s="548"/>
      <c r="C25" s="548"/>
      <c r="D25" s="548"/>
      <c r="E25" s="548">
        <f>E23+E24</f>
        <v>0</v>
      </c>
      <c r="F25" s="547"/>
      <c r="G25" s="546"/>
      <c r="H25" s="546"/>
      <c r="I25" s="547">
        <f>I23+I24</f>
        <v>0</v>
      </c>
      <c r="J25" s="1143"/>
      <c r="K25" s="1133"/>
      <c r="L25" s="1133"/>
      <c r="M25" s="1133"/>
      <c r="N25" s="1133"/>
      <c r="O25" s="1133"/>
      <c r="P25" s="1133"/>
      <c r="Q25" s="1133"/>
      <c r="R25" s="1133"/>
    </row>
    <row r="26" spans="1:18" ht="12.75" x14ac:dyDescent="0.2">
      <c r="A26" s="551" t="s">
        <v>836</v>
      </c>
      <c r="B26" s="682">
        <v>10</v>
      </c>
      <c r="C26" s="682"/>
      <c r="D26" s="682" t="s">
        <v>298</v>
      </c>
      <c r="E26" s="685">
        <v>25500</v>
      </c>
      <c r="F26" s="547">
        <v>19</v>
      </c>
      <c r="G26" s="546"/>
      <c r="H26" s="548" t="s">
        <v>298</v>
      </c>
      <c r="I26" s="547">
        <v>48450</v>
      </c>
      <c r="J26" s="1143"/>
      <c r="K26" s="1133"/>
      <c r="L26" s="1133"/>
      <c r="M26" s="1133"/>
      <c r="N26" s="1133"/>
      <c r="O26" s="1133"/>
      <c r="P26" s="1133"/>
      <c r="Q26" s="1133"/>
      <c r="R26" s="1133"/>
    </row>
    <row r="27" spans="1:18" ht="12.75" x14ac:dyDescent="0.2">
      <c r="A27" s="551" t="s">
        <v>1218</v>
      </c>
      <c r="B27" s="682"/>
      <c r="C27" s="682"/>
      <c r="D27" s="682"/>
      <c r="E27" s="682">
        <v>-25500</v>
      </c>
      <c r="F27" s="638"/>
      <c r="G27" s="687"/>
      <c r="H27" s="687"/>
      <c r="I27" s="547">
        <v>-48450</v>
      </c>
      <c r="J27" s="1143"/>
      <c r="K27" s="1133"/>
      <c r="L27" s="1133"/>
      <c r="M27" s="1133"/>
      <c r="N27" s="1133"/>
      <c r="O27" s="1133"/>
      <c r="P27" s="1133"/>
      <c r="Q27" s="1133"/>
      <c r="R27" s="1133"/>
    </row>
    <row r="28" spans="1:18" ht="12.75" x14ac:dyDescent="0.2">
      <c r="A28" s="551" t="s">
        <v>1219</v>
      </c>
      <c r="B28" s="682"/>
      <c r="C28" s="682"/>
      <c r="D28" s="682"/>
      <c r="E28" s="685">
        <v>0</v>
      </c>
      <c r="F28" s="638"/>
      <c r="G28" s="687"/>
      <c r="H28" s="687"/>
      <c r="I28" s="547">
        <f>I26+I27</f>
        <v>0</v>
      </c>
      <c r="J28" s="1143"/>
      <c r="K28" s="1133"/>
      <c r="L28" s="1133"/>
      <c r="M28" s="1133"/>
      <c r="N28" s="1133"/>
      <c r="O28" s="1133"/>
      <c r="P28" s="1133"/>
      <c r="Q28" s="1133"/>
      <c r="R28" s="1133"/>
    </row>
    <row r="29" spans="1:18" ht="12.75" x14ac:dyDescent="0.2">
      <c r="A29" s="551" t="s">
        <v>1172</v>
      </c>
      <c r="B29" s="548"/>
      <c r="C29" s="548">
        <v>487729000</v>
      </c>
      <c r="D29" s="549">
        <v>1.55</v>
      </c>
      <c r="E29" s="548">
        <f>C29*D29</f>
        <v>755979950</v>
      </c>
      <c r="F29" s="547"/>
      <c r="G29" s="547">
        <v>600595988</v>
      </c>
      <c r="H29" s="549">
        <v>1</v>
      </c>
      <c r="I29" s="547">
        <f>G29*H29</f>
        <v>600595988</v>
      </c>
      <c r="J29" s="1143"/>
      <c r="K29" s="1133"/>
      <c r="L29" s="1133"/>
      <c r="M29" s="1133"/>
      <c r="N29" s="1133"/>
      <c r="O29" s="1133"/>
      <c r="P29" s="1133"/>
      <c r="Q29" s="1133"/>
      <c r="R29" s="1133"/>
    </row>
    <row r="30" spans="1:18" ht="12.75" x14ac:dyDescent="0.2">
      <c r="A30" s="551" t="s">
        <v>1216</v>
      </c>
      <c r="B30" s="548"/>
      <c r="C30" s="548"/>
      <c r="D30" s="552"/>
      <c r="E30" s="548">
        <v>-98054262</v>
      </c>
      <c r="F30" s="547"/>
      <c r="G30" s="546"/>
      <c r="H30" s="546"/>
      <c r="I30" s="547">
        <v>-80431412</v>
      </c>
      <c r="J30" s="1143"/>
      <c r="K30" s="1133"/>
      <c r="L30" s="1133"/>
      <c r="M30" s="1133"/>
      <c r="N30" s="1133"/>
      <c r="O30" s="1133"/>
      <c r="P30" s="1133"/>
      <c r="Q30" s="1133"/>
      <c r="R30" s="1133"/>
    </row>
    <row r="31" spans="1:18" ht="12.75" x14ac:dyDescent="0.2">
      <c r="A31" s="551" t="s">
        <v>1220</v>
      </c>
      <c r="B31" s="548"/>
      <c r="C31" s="548"/>
      <c r="D31" s="552"/>
      <c r="E31" s="548">
        <f>E29+E30</f>
        <v>657925688</v>
      </c>
      <c r="F31" s="547"/>
      <c r="G31" s="546"/>
      <c r="H31" s="546"/>
      <c r="I31" s="547">
        <f>I29+I30</f>
        <v>520164576</v>
      </c>
      <c r="J31" s="1143"/>
      <c r="K31" s="1133"/>
      <c r="L31" s="1133"/>
      <c r="M31" s="1133"/>
      <c r="N31" s="1133"/>
      <c r="O31" s="1133"/>
      <c r="P31" s="1133"/>
      <c r="Q31" s="1133"/>
      <c r="R31" s="1133"/>
    </row>
    <row r="32" spans="1:18" ht="36" x14ac:dyDescent="0.2">
      <c r="A32" s="679" t="s">
        <v>1241</v>
      </c>
      <c r="B32" s="682"/>
      <c r="C32" s="682"/>
      <c r="D32" s="682"/>
      <c r="E32" s="682"/>
      <c r="F32" s="638"/>
      <c r="G32" s="687"/>
      <c r="H32" s="687"/>
      <c r="I32" s="638"/>
      <c r="J32" s="1143"/>
      <c r="K32" s="688" t="s">
        <v>1221</v>
      </c>
      <c r="M32" s="1133"/>
      <c r="N32" s="688">
        <v>135897496</v>
      </c>
      <c r="O32" s="688">
        <v>-9654694</v>
      </c>
      <c r="P32" s="688">
        <f>N32+O32</f>
        <v>126242802</v>
      </c>
      <c r="Q32" s="1133"/>
      <c r="R32" s="1133"/>
    </row>
    <row r="33" spans="1:19" ht="36" x14ac:dyDescent="0.2">
      <c r="A33" s="679" t="s">
        <v>1242</v>
      </c>
      <c r="B33" s="682"/>
      <c r="C33" s="682"/>
      <c r="D33" s="682"/>
      <c r="E33" s="682"/>
      <c r="F33" s="1145"/>
      <c r="G33" s="687"/>
      <c r="H33" s="687"/>
      <c r="I33" s="547">
        <v>0</v>
      </c>
      <c r="J33" s="1143"/>
      <c r="K33" s="1147"/>
      <c r="M33" s="1133"/>
      <c r="N33" s="1133"/>
      <c r="O33" s="1133"/>
      <c r="P33" s="1133"/>
      <c r="Q33" s="1133"/>
      <c r="R33" s="1133"/>
    </row>
    <row r="34" spans="1:19" ht="36" x14ac:dyDescent="0.2">
      <c r="A34" s="679" t="s">
        <v>1173</v>
      </c>
      <c r="B34" s="682"/>
      <c r="C34" s="682"/>
      <c r="D34" s="682"/>
      <c r="E34" s="682"/>
      <c r="F34" s="794" t="s">
        <v>1174</v>
      </c>
      <c r="G34" s="687"/>
      <c r="H34" s="687"/>
      <c r="I34" s="638"/>
      <c r="J34" s="1143"/>
      <c r="K34" s="1180">
        <f>I9+I13+I16+I19+I22+I25+I28+I31+I32+I33+I34</f>
        <v>604528176</v>
      </c>
      <c r="L34" s="6" t="s">
        <v>912</v>
      </c>
      <c r="M34" s="1133"/>
      <c r="N34" s="1133"/>
      <c r="O34" s="1133"/>
      <c r="P34" s="1133"/>
      <c r="Q34" s="1133"/>
      <c r="R34" s="1133"/>
    </row>
    <row r="35" spans="1:19" ht="12.75" x14ac:dyDescent="0.2">
      <c r="A35" s="686"/>
      <c r="B35" s="682"/>
      <c r="C35" s="682"/>
      <c r="D35" s="682"/>
      <c r="E35" s="682"/>
      <c r="F35" s="638"/>
      <c r="G35" s="687"/>
      <c r="H35" s="687"/>
      <c r="I35" s="638"/>
      <c r="J35" s="1143"/>
      <c r="K35" s="1147"/>
      <c r="L35" s="1133"/>
      <c r="M35" s="1133"/>
      <c r="N35" s="1133"/>
      <c r="O35" s="1133"/>
      <c r="P35" s="1133"/>
      <c r="Q35" s="1133"/>
      <c r="R35" s="1133"/>
    </row>
    <row r="36" spans="1:19" ht="12.75" x14ac:dyDescent="0.2">
      <c r="A36" s="686"/>
      <c r="B36" s="682"/>
      <c r="C36" s="682"/>
      <c r="D36" s="682"/>
      <c r="E36" s="682"/>
      <c r="F36" s="638"/>
      <c r="G36" s="687"/>
      <c r="H36" s="687"/>
      <c r="I36" s="638"/>
      <c r="J36" s="1143"/>
      <c r="K36" s="1147"/>
      <c r="L36" s="1133"/>
      <c r="M36" s="1133"/>
      <c r="N36" s="1133"/>
      <c r="O36" s="1133"/>
      <c r="P36" s="1133"/>
      <c r="Q36" s="1133"/>
      <c r="R36" s="1133"/>
    </row>
    <row r="37" spans="1:19" ht="12.75" x14ac:dyDescent="0.2">
      <c r="A37" s="689" t="s">
        <v>83</v>
      </c>
      <c r="B37" s="548"/>
      <c r="C37" s="548"/>
      <c r="D37" s="548"/>
      <c r="E37" s="548"/>
      <c r="F37" s="547"/>
      <c r="G37" s="546"/>
      <c r="H37" s="546"/>
      <c r="I37" s="547"/>
      <c r="J37" s="1143"/>
      <c r="K37" s="1133"/>
      <c r="L37" s="1133"/>
      <c r="M37" s="1133"/>
      <c r="N37" s="1133"/>
      <c r="O37" s="1133"/>
      <c r="P37" s="1133"/>
      <c r="Q37" s="1133"/>
      <c r="R37" s="1133"/>
    </row>
    <row r="38" spans="1:19" ht="24" x14ac:dyDescent="0.2">
      <c r="A38" s="679" t="s">
        <v>842</v>
      </c>
      <c r="B38" s="548"/>
      <c r="C38" s="548"/>
      <c r="D38" s="548"/>
      <c r="E38" s="548"/>
      <c r="F38" s="547"/>
      <c r="G38" s="546"/>
      <c r="H38" s="546"/>
      <c r="I38" s="547"/>
      <c r="J38" s="1143"/>
      <c r="K38" s="1133"/>
      <c r="L38" s="1133"/>
      <c r="M38" s="1133"/>
      <c r="N38" s="1133"/>
      <c r="O38" s="1133"/>
      <c r="P38" s="1133"/>
      <c r="Q38" s="1133"/>
      <c r="R38" s="1133"/>
    </row>
    <row r="39" spans="1:19" ht="12.75" x14ac:dyDescent="0.2">
      <c r="A39" s="679" t="s">
        <v>843</v>
      </c>
      <c r="B39" s="548"/>
      <c r="C39" s="549">
        <v>13.1</v>
      </c>
      <c r="D39" s="548">
        <v>4152000</v>
      </c>
      <c r="E39" s="548">
        <f>C39*D39*8/12</f>
        <v>36260800</v>
      </c>
      <c r="F39" s="1149" t="s">
        <v>1222</v>
      </c>
      <c r="G39" s="751">
        <v>11.8</v>
      </c>
      <c r="H39" s="1150">
        <v>4371500</v>
      </c>
      <c r="I39" s="547">
        <f>G39*8/12*H39</f>
        <v>34389133.333333336</v>
      </c>
      <c r="J39" s="1143"/>
      <c r="K39" s="1133"/>
      <c r="L39" s="1133"/>
      <c r="M39" s="1133"/>
      <c r="N39" s="1133"/>
      <c r="O39" s="1133"/>
      <c r="P39" s="1133"/>
      <c r="Q39" s="1133"/>
      <c r="R39" s="1133"/>
    </row>
    <row r="40" spans="1:19" ht="12.75" x14ac:dyDescent="0.2">
      <c r="A40" s="679" t="s">
        <v>844</v>
      </c>
      <c r="B40" s="548"/>
      <c r="C40" s="549">
        <v>13.1</v>
      </c>
      <c r="D40" s="550">
        <v>4152000</v>
      </c>
      <c r="E40" s="548">
        <f>C40*D40*4/12</f>
        <v>18130400</v>
      </c>
      <c r="F40" s="1149" t="s">
        <v>1223</v>
      </c>
      <c r="G40" s="690">
        <v>11.6</v>
      </c>
      <c r="H40" s="547">
        <v>4371500</v>
      </c>
      <c r="I40" s="547">
        <f>G40*4/12*H40</f>
        <v>16903133.333333332</v>
      </c>
      <c r="J40" s="1143"/>
      <c r="K40" s="1133"/>
      <c r="L40" s="1133"/>
      <c r="M40" s="1133"/>
      <c r="N40" s="1133"/>
      <c r="O40" s="1133"/>
      <c r="P40" s="1133"/>
      <c r="Q40" s="1133"/>
      <c r="R40" s="1133"/>
    </row>
    <row r="41" spans="1:19" ht="24" x14ac:dyDescent="0.2">
      <c r="A41" s="679" t="s">
        <v>845</v>
      </c>
      <c r="B41" s="548"/>
      <c r="C41" s="548">
        <v>10</v>
      </c>
      <c r="D41" s="548">
        <v>1800000</v>
      </c>
      <c r="E41" s="548">
        <f>C41*D41*8/12</f>
        <v>12000000</v>
      </c>
      <c r="F41" s="794"/>
      <c r="G41" s="690">
        <v>9</v>
      </c>
      <c r="H41" s="547">
        <v>2205000</v>
      </c>
      <c r="I41" s="547">
        <f>G41*H41*8/12</f>
        <v>13230000</v>
      </c>
      <c r="J41" s="1143"/>
      <c r="K41" s="1133"/>
      <c r="L41" s="1133"/>
      <c r="M41" s="1133"/>
      <c r="N41" s="1133"/>
      <c r="O41" s="1133"/>
      <c r="P41" s="1133"/>
      <c r="Q41" s="1133"/>
      <c r="R41" s="1133"/>
    </row>
    <row r="42" spans="1:19" ht="24" x14ac:dyDescent="0.2">
      <c r="A42" s="679" t="s">
        <v>942</v>
      </c>
      <c r="B42" s="548"/>
      <c r="C42" s="548"/>
      <c r="D42" s="548"/>
      <c r="E42" s="548"/>
      <c r="F42" s="547"/>
      <c r="G42" s="690">
        <v>0</v>
      </c>
      <c r="H42" s="547">
        <v>4371500</v>
      </c>
      <c r="I42" s="547">
        <f>G42*H42*8/12</f>
        <v>0</v>
      </c>
      <c r="J42" s="1143"/>
      <c r="K42" s="1133"/>
      <c r="L42" s="1133"/>
      <c r="M42" s="1133"/>
      <c r="N42" s="1133"/>
      <c r="O42" s="1133"/>
      <c r="P42" s="1133"/>
      <c r="Q42" s="1133"/>
      <c r="R42" s="1133"/>
    </row>
    <row r="43" spans="1:19" ht="24" x14ac:dyDescent="0.2">
      <c r="A43" s="679" t="s">
        <v>847</v>
      </c>
      <c r="B43" s="548"/>
      <c r="C43" s="548">
        <v>10</v>
      </c>
      <c r="D43" s="548">
        <v>1800000</v>
      </c>
      <c r="E43" s="548">
        <f>C43*D43*4/12</f>
        <v>6000000</v>
      </c>
      <c r="F43" s="547"/>
      <c r="G43" s="690">
        <v>9</v>
      </c>
      <c r="H43" s="547">
        <v>2205000</v>
      </c>
      <c r="I43" s="547">
        <f>G43*H43*4/12</f>
        <v>6615000</v>
      </c>
      <c r="J43" s="1151"/>
      <c r="K43" s="1133"/>
      <c r="L43" s="1133"/>
      <c r="M43" s="1133"/>
      <c r="N43" s="1133"/>
      <c r="O43" s="1133"/>
      <c r="P43" s="1133"/>
      <c r="Q43" s="1133"/>
      <c r="R43" s="1133"/>
    </row>
    <row r="44" spans="1:19" ht="60" x14ac:dyDescent="0.2">
      <c r="A44" s="679" t="s">
        <v>943</v>
      </c>
      <c r="B44" s="548"/>
      <c r="C44" s="548"/>
      <c r="D44" s="548"/>
      <c r="E44" s="548"/>
      <c r="F44" s="547"/>
      <c r="G44" s="690">
        <v>0</v>
      </c>
      <c r="H44" s="547">
        <v>4371500</v>
      </c>
      <c r="I44" s="547">
        <f>G44*H44*4/12</f>
        <v>0</v>
      </c>
      <c r="J44" s="1151"/>
      <c r="K44" s="853" t="s">
        <v>1175</v>
      </c>
      <c r="L44" s="688">
        <f>I9+I11+I14+I17+I20+I23+I26+I29</f>
        <v>730770978</v>
      </c>
      <c r="M44" s="1133"/>
      <c r="N44" s="854" t="s">
        <v>1176</v>
      </c>
      <c r="O44" s="688">
        <v>135897496</v>
      </c>
      <c r="P44" s="688">
        <v>-9654694</v>
      </c>
      <c r="Q44" s="688">
        <f>I12+I15+I18+I21+I24+I27</f>
        <v>-45811390</v>
      </c>
      <c r="R44" s="688">
        <f>O44+Q44+P44</f>
        <v>80431412</v>
      </c>
      <c r="S44" s="854" t="s">
        <v>914</v>
      </c>
    </row>
    <row r="45" spans="1:19" ht="12.75" x14ac:dyDescent="0.2">
      <c r="A45" s="551" t="s">
        <v>850</v>
      </c>
      <c r="B45" s="548"/>
      <c r="C45" s="548"/>
      <c r="D45" s="548"/>
      <c r="E45" s="548"/>
      <c r="F45" s="547"/>
      <c r="G45" s="546"/>
      <c r="H45" s="546"/>
      <c r="I45" s="547"/>
      <c r="J45" s="588"/>
      <c r="K45" s="1133"/>
      <c r="L45" s="1133"/>
      <c r="M45" s="1133"/>
      <c r="N45" s="1133"/>
      <c r="O45" s="1133"/>
      <c r="P45" s="1133"/>
      <c r="Q45" s="1133"/>
      <c r="R45" s="1133"/>
    </row>
    <row r="46" spans="1:19" ht="24" x14ac:dyDescent="0.2">
      <c r="A46" s="679" t="s">
        <v>944</v>
      </c>
      <c r="B46" s="548"/>
      <c r="C46" s="548">
        <v>142</v>
      </c>
      <c r="D46" s="548">
        <v>70000</v>
      </c>
      <c r="E46" s="548">
        <f>C46*D46*8/12</f>
        <v>6626666.666666667</v>
      </c>
      <c r="F46" s="794"/>
      <c r="G46" s="547">
        <v>128</v>
      </c>
      <c r="H46" s="548">
        <v>97400</v>
      </c>
      <c r="I46" s="547">
        <f>G46*H46*8/12</f>
        <v>8311466.666666667</v>
      </c>
      <c r="J46" s="588"/>
      <c r="K46" s="1133"/>
      <c r="L46" s="1133"/>
      <c r="M46" s="1133"/>
      <c r="N46" s="1133"/>
      <c r="O46" s="1133"/>
      <c r="P46" s="1133"/>
      <c r="Q46" s="1133"/>
      <c r="R46" s="1133"/>
    </row>
    <row r="47" spans="1:19" ht="24" x14ac:dyDescent="0.2">
      <c r="A47" s="679" t="s">
        <v>1177</v>
      </c>
      <c r="B47" s="548"/>
      <c r="C47" s="548">
        <v>142</v>
      </c>
      <c r="D47" s="548">
        <v>70000</v>
      </c>
      <c r="E47" s="548">
        <f>C47*D47*4/12</f>
        <v>3313333.3333333335</v>
      </c>
      <c r="F47" s="794"/>
      <c r="G47" s="547">
        <v>130</v>
      </c>
      <c r="H47" s="548">
        <v>97400</v>
      </c>
      <c r="I47" s="547">
        <f>G47*H47*4/12</f>
        <v>4220666.666666667</v>
      </c>
      <c r="J47" s="1143"/>
      <c r="K47" s="1133"/>
      <c r="L47" s="1133"/>
      <c r="M47" s="1133"/>
      <c r="N47" s="1133"/>
      <c r="O47" s="1133"/>
      <c r="P47" s="1133"/>
      <c r="Q47" s="1133"/>
      <c r="R47" s="1133"/>
    </row>
    <row r="48" spans="1:19" ht="12.75" x14ac:dyDescent="0.2">
      <c r="A48" s="551" t="s">
        <v>900</v>
      </c>
      <c r="B48" s="548"/>
      <c r="C48" s="548"/>
      <c r="D48" s="548"/>
      <c r="E48" s="548"/>
      <c r="F48" s="547"/>
      <c r="G48" s="546"/>
      <c r="H48" s="546"/>
      <c r="I48" s="547"/>
      <c r="J48" s="1143"/>
      <c r="K48" s="1133"/>
      <c r="L48" s="1133"/>
      <c r="M48" s="1133"/>
      <c r="N48" s="1133"/>
      <c r="O48" s="1133"/>
      <c r="P48" s="1133"/>
      <c r="Q48" s="1133"/>
      <c r="R48" s="1133"/>
    </row>
    <row r="49" spans="1:18" ht="48" x14ac:dyDescent="0.2">
      <c r="A49" s="679" t="s">
        <v>1178</v>
      </c>
      <c r="B49" s="548"/>
      <c r="C49" s="548">
        <v>5</v>
      </c>
      <c r="D49" s="694" t="s">
        <v>299</v>
      </c>
      <c r="E49" s="548">
        <v>1760000</v>
      </c>
      <c r="F49" s="547"/>
      <c r="G49" s="546">
        <v>4</v>
      </c>
      <c r="H49" s="547">
        <v>396700</v>
      </c>
      <c r="I49" s="547">
        <f>G49*H49</f>
        <v>1586800</v>
      </c>
      <c r="J49" s="1143"/>
      <c r="K49" s="1133"/>
      <c r="L49" s="1133"/>
      <c r="M49" s="1133"/>
      <c r="N49" s="1133"/>
      <c r="O49" s="1133"/>
      <c r="P49" s="1133"/>
      <c r="Q49" s="1133"/>
      <c r="R49" s="1133"/>
    </row>
    <row r="50" spans="1:18" ht="48" x14ac:dyDescent="0.2">
      <c r="A50" s="679" t="s">
        <v>1179</v>
      </c>
      <c r="B50" s="548"/>
      <c r="C50" s="548"/>
      <c r="D50" s="548"/>
      <c r="E50" s="548"/>
      <c r="F50" s="547"/>
      <c r="G50" s="546">
        <v>0</v>
      </c>
      <c r="H50" s="547">
        <v>363642</v>
      </c>
      <c r="I50" s="547">
        <f>G50*H50</f>
        <v>0</v>
      </c>
      <c r="J50" s="1143"/>
      <c r="K50" s="688"/>
      <c r="M50" s="1133"/>
      <c r="N50" s="1133"/>
      <c r="O50" s="1133"/>
      <c r="P50" s="1133"/>
      <c r="Q50" s="1133"/>
      <c r="R50" s="1133"/>
    </row>
    <row r="51" spans="1:18" ht="12.75" x14ac:dyDescent="0.2">
      <c r="A51" s="679" t="s">
        <v>1180</v>
      </c>
      <c r="B51" s="548"/>
      <c r="C51" s="548"/>
      <c r="D51" s="548"/>
      <c r="E51" s="548"/>
      <c r="F51" s="547"/>
      <c r="G51" s="546">
        <v>0</v>
      </c>
      <c r="H51" s="547">
        <v>563000</v>
      </c>
      <c r="I51" s="547">
        <f>G51*H51</f>
        <v>0</v>
      </c>
      <c r="J51" s="1143"/>
      <c r="K51" s="1180">
        <f>SUM(I39:I51)</f>
        <v>85256200.000000015</v>
      </c>
      <c r="L51" s="6" t="s">
        <v>915</v>
      </c>
      <c r="M51" s="1133"/>
      <c r="N51" s="1133"/>
      <c r="O51" s="1133"/>
      <c r="P51" s="1133"/>
      <c r="Q51" s="1133"/>
      <c r="R51" s="1133"/>
    </row>
    <row r="52" spans="1:18" ht="12.75" x14ac:dyDescent="0.2">
      <c r="A52" s="693"/>
      <c r="B52" s="682"/>
      <c r="C52" s="682"/>
      <c r="D52" s="682"/>
      <c r="E52" s="682"/>
      <c r="F52" s="638"/>
      <c r="G52" s="687"/>
      <c r="H52" s="687"/>
      <c r="I52" s="638"/>
      <c r="J52" s="1143"/>
      <c r="K52" s="1147"/>
      <c r="L52" s="1133"/>
      <c r="M52" s="1133"/>
      <c r="N52" s="1133"/>
      <c r="O52" s="1133"/>
      <c r="P52" s="1133"/>
      <c r="Q52" s="1133"/>
      <c r="R52" s="1133"/>
    </row>
    <row r="53" spans="1:18" ht="12.75" x14ac:dyDescent="0.2">
      <c r="A53" s="689" t="s">
        <v>84</v>
      </c>
      <c r="B53" s="682"/>
      <c r="C53" s="682"/>
      <c r="D53" s="682"/>
      <c r="E53" s="682"/>
      <c r="F53" s="638"/>
      <c r="G53" s="687"/>
      <c r="H53" s="687"/>
      <c r="I53" s="638"/>
      <c r="J53" s="1143"/>
      <c r="K53" s="1133"/>
      <c r="L53" s="1133"/>
      <c r="M53" s="1133"/>
      <c r="N53" s="1133"/>
      <c r="O53" s="1133"/>
      <c r="P53" s="1133"/>
      <c r="Q53" s="1133"/>
      <c r="R53" s="1133"/>
    </row>
    <row r="54" spans="1:18" ht="36" x14ac:dyDescent="0.2">
      <c r="A54" s="551" t="s">
        <v>1181</v>
      </c>
      <c r="B54" s="682"/>
      <c r="C54" s="682"/>
      <c r="D54" s="682"/>
      <c r="E54" s="682">
        <v>0</v>
      </c>
      <c r="F54" s="794" t="s">
        <v>1174</v>
      </c>
      <c r="G54" s="687"/>
      <c r="H54" s="687"/>
      <c r="I54" s="547">
        <v>0</v>
      </c>
      <c r="J54" s="1152"/>
      <c r="K54" s="1133"/>
      <c r="L54" s="1133"/>
      <c r="M54" s="1133"/>
      <c r="N54" s="1133"/>
      <c r="O54" s="1133"/>
      <c r="P54" s="1133"/>
      <c r="Q54" s="1133"/>
      <c r="R54" s="1133"/>
    </row>
    <row r="55" spans="1:18" ht="24" x14ac:dyDescent="0.2">
      <c r="A55" s="679" t="s">
        <v>1182</v>
      </c>
      <c r="B55" s="682"/>
      <c r="C55" s="682"/>
      <c r="D55" s="682"/>
      <c r="E55" s="685">
        <v>0</v>
      </c>
      <c r="F55" s="638"/>
      <c r="G55" s="687"/>
      <c r="H55" s="687"/>
      <c r="I55" s="547">
        <v>0</v>
      </c>
      <c r="J55" s="1143"/>
      <c r="K55" s="1133"/>
      <c r="L55" s="1133"/>
      <c r="M55" s="1133"/>
      <c r="N55" s="1133"/>
      <c r="O55" s="1133"/>
      <c r="P55" s="1133"/>
      <c r="Q55" s="1133"/>
      <c r="R55" s="1133"/>
    </row>
    <row r="56" spans="1:18" ht="12.75" x14ac:dyDescent="0.2">
      <c r="A56" s="551" t="s">
        <v>861</v>
      </c>
      <c r="B56" s="682"/>
      <c r="C56" s="682"/>
      <c r="D56" s="682"/>
      <c r="E56" s="682"/>
      <c r="F56" s="638"/>
      <c r="G56" s="687"/>
      <c r="H56" s="687"/>
      <c r="I56" s="638"/>
      <c r="J56" s="1143"/>
      <c r="K56" s="1133"/>
      <c r="L56" s="1133"/>
      <c r="M56" s="1133"/>
      <c r="N56" s="1133"/>
      <c r="O56" s="1133"/>
      <c r="P56" s="1133"/>
      <c r="Q56" s="1133"/>
      <c r="R56" s="1133"/>
    </row>
    <row r="57" spans="1:18" ht="12.75" x14ac:dyDescent="0.2">
      <c r="A57" s="551" t="s">
        <v>862</v>
      </c>
      <c r="B57" s="682"/>
      <c r="C57" s="682"/>
      <c r="D57" s="682"/>
      <c r="E57" s="682"/>
      <c r="F57" s="638"/>
      <c r="G57" s="687"/>
      <c r="H57" s="687"/>
      <c r="I57" s="638"/>
      <c r="J57" s="1143"/>
      <c r="K57" s="1133"/>
      <c r="L57" s="1133"/>
      <c r="M57" s="1133"/>
      <c r="N57" s="1133"/>
      <c r="O57" s="1133"/>
      <c r="P57" s="1133"/>
      <c r="Q57" s="1133"/>
      <c r="R57" s="1133"/>
    </row>
    <row r="58" spans="1:18" ht="12.75" x14ac:dyDescent="0.2">
      <c r="A58" s="551" t="s">
        <v>863</v>
      </c>
      <c r="B58" s="682"/>
      <c r="C58" s="682"/>
      <c r="D58" s="682"/>
      <c r="E58" s="682"/>
      <c r="F58" s="638"/>
      <c r="G58" s="687"/>
      <c r="H58" s="687"/>
      <c r="I58" s="638"/>
      <c r="J58" s="1143"/>
      <c r="K58" s="1133"/>
      <c r="L58" s="1133"/>
      <c r="M58" s="1133"/>
      <c r="N58" s="1133"/>
      <c r="O58" s="1133"/>
      <c r="P58" s="1133"/>
      <c r="Q58" s="1133"/>
      <c r="R58" s="1133"/>
    </row>
    <row r="59" spans="1:18" ht="12.75" x14ac:dyDescent="0.2">
      <c r="A59" s="693" t="s">
        <v>1224</v>
      </c>
      <c r="B59" s="686"/>
      <c r="C59" s="695"/>
      <c r="D59" s="682"/>
      <c r="E59" s="682">
        <f>C59*D59/2</f>
        <v>0</v>
      </c>
      <c r="F59" s="548"/>
      <c r="G59" s="696"/>
      <c r="H59" s="687"/>
      <c r="I59" s="638"/>
      <c r="J59" s="1152"/>
      <c r="K59" s="1133"/>
      <c r="L59" s="1133"/>
      <c r="M59" s="1133"/>
      <c r="N59" s="1133"/>
      <c r="O59" s="1133"/>
      <c r="P59" s="1133"/>
      <c r="Q59" s="1133"/>
      <c r="R59" s="1133"/>
    </row>
    <row r="60" spans="1:18" ht="24" x14ac:dyDescent="0.2">
      <c r="A60" s="679" t="s">
        <v>901</v>
      </c>
      <c r="B60" s="548"/>
      <c r="C60" s="551"/>
      <c r="D60" s="548"/>
      <c r="E60" s="548"/>
      <c r="F60" s="547"/>
      <c r="G60" s="553">
        <v>0</v>
      </c>
      <c r="H60" s="546"/>
      <c r="I60" s="547"/>
      <c r="J60" s="1152"/>
      <c r="K60" s="1133"/>
      <c r="L60" s="1133"/>
      <c r="M60" s="1133"/>
      <c r="N60" s="1133"/>
      <c r="O60" s="1133"/>
      <c r="P60" s="1133"/>
      <c r="Q60" s="1133"/>
      <c r="R60" s="1133"/>
    </row>
    <row r="61" spans="1:18" ht="24" x14ac:dyDescent="0.2">
      <c r="A61" s="679" t="s">
        <v>1183</v>
      </c>
      <c r="B61" s="548"/>
      <c r="C61" s="551"/>
      <c r="D61" s="548"/>
      <c r="E61" s="548"/>
      <c r="F61" s="547"/>
      <c r="G61" s="552">
        <v>1</v>
      </c>
      <c r="H61" s="546"/>
      <c r="I61" s="547"/>
      <c r="J61" s="1143"/>
      <c r="K61" s="1133"/>
      <c r="L61" s="1133"/>
      <c r="M61" s="1133"/>
      <c r="N61" s="1133"/>
      <c r="O61" s="1133"/>
      <c r="P61" s="1133"/>
      <c r="Q61" s="1133"/>
      <c r="R61" s="1133"/>
    </row>
    <row r="62" spans="1:18" ht="12.75" x14ac:dyDescent="0.2">
      <c r="A62" s="551" t="s">
        <v>867</v>
      </c>
      <c r="B62" s="548"/>
      <c r="C62" s="1153">
        <v>0.97299999999999998</v>
      </c>
      <c r="D62" s="548">
        <v>3000000</v>
      </c>
      <c r="E62" s="548"/>
      <c r="F62" s="547"/>
      <c r="G62" s="552">
        <v>2</v>
      </c>
      <c r="H62" s="548">
        <v>3000000</v>
      </c>
      <c r="I62" s="547">
        <f>(2*1+0)*H62</f>
        <v>6000000</v>
      </c>
      <c r="J62" s="1143"/>
      <c r="K62" s="1133"/>
      <c r="L62" s="1133"/>
      <c r="M62" s="1133"/>
      <c r="N62" s="1133"/>
      <c r="O62" s="1133"/>
      <c r="P62" s="1133"/>
      <c r="Q62" s="1133"/>
      <c r="R62" s="1133"/>
    </row>
    <row r="63" spans="1:18" ht="12.75" x14ac:dyDescent="0.2">
      <c r="A63" s="551" t="s">
        <v>1184</v>
      </c>
      <c r="B63" s="754"/>
      <c r="C63" s="548">
        <v>80</v>
      </c>
      <c r="D63" s="548">
        <v>55360</v>
      </c>
      <c r="E63" s="548">
        <f>C63*D63</f>
        <v>4428800</v>
      </c>
      <c r="F63" s="794"/>
      <c r="G63" s="548">
        <v>73</v>
      </c>
      <c r="H63" s="548">
        <v>55360</v>
      </c>
      <c r="I63" s="548">
        <f>G63*H63</f>
        <v>4041280</v>
      </c>
      <c r="J63" s="1143"/>
      <c r="K63" s="1133"/>
      <c r="L63" s="1133"/>
      <c r="M63" s="1133"/>
      <c r="N63" s="1133"/>
      <c r="O63" s="1133"/>
      <c r="P63" s="1133"/>
      <c r="Q63" s="1133"/>
      <c r="R63" s="1133"/>
    </row>
    <row r="64" spans="1:18" ht="12.75" x14ac:dyDescent="0.2">
      <c r="A64" s="551" t="s">
        <v>1185</v>
      </c>
      <c r="B64" s="698"/>
      <c r="C64" s="682">
        <v>55</v>
      </c>
      <c r="D64" s="682">
        <v>145000</v>
      </c>
      <c r="E64" s="682">
        <f>C64*D64</f>
        <v>7975000</v>
      </c>
      <c r="F64" s="638"/>
      <c r="G64" s="682"/>
      <c r="H64" s="682"/>
      <c r="I64" s="682"/>
      <c r="J64" s="1143"/>
      <c r="K64" s="1133"/>
      <c r="L64" s="1133"/>
      <c r="M64" s="1133"/>
      <c r="N64" s="1133"/>
      <c r="O64" s="1133"/>
      <c r="P64" s="1133"/>
      <c r="Q64" s="1133"/>
      <c r="R64" s="1133"/>
    </row>
    <row r="65" spans="1:18" ht="12.75" x14ac:dyDescent="0.2">
      <c r="A65" s="551" t="s">
        <v>903</v>
      </c>
      <c r="B65" s="754"/>
      <c r="C65" s="548"/>
      <c r="D65" s="548"/>
      <c r="E65" s="548"/>
      <c r="F65" s="794"/>
      <c r="G65" s="548">
        <v>2</v>
      </c>
      <c r="H65" s="548">
        <v>25000</v>
      </c>
      <c r="I65" s="548">
        <f>G65*H65</f>
        <v>50000</v>
      </c>
      <c r="J65" s="1143"/>
      <c r="K65" s="1133"/>
      <c r="L65" s="1133"/>
      <c r="M65" s="1133"/>
      <c r="N65" s="1133"/>
      <c r="O65" s="1133"/>
      <c r="P65" s="1133"/>
      <c r="Q65" s="1133"/>
      <c r="R65" s="1133"/>
    </row>
    <row r="66" spans="1:18" ht="12.75" x14ac:dyDescent="0.2">
      <c r="A66" s="551" t="s">
        <v>904</v>
      </c>
      <c r="B66" s="754"/>
      <c r="C66" s="548"/>
      <c r="D66" s="548"/>
      <c r="E66" s="548"/>
      <c r="F66" s="794"/>
      <c r="G66" s="548">
        <v>52</v>
      </c>
      <c r="H66" s="548">
        <v>210000</v>
      </c>
      <c r="I66" s="548">
        <f>G66*H66</f>
        <v>10920000</v>
      </c>
      <c r="J66" s="1143"/>
      <c r="K66" s="1133"/>
      <c r="L66" s="1133"/>
      <c r="M66" s="1133"/>
      <c r="N66" s="1133"/>
      <c r="O66" s="1133"/>
      <c r="P66" s="1133"/>
      <c r="Q66" s="1133"/>
      <c r="R66" s="1133"/>
    </row>
    <row r="67" spans="1:18" ht="12.75" x14ac:dyDescent="0.2">
      <c r="A67" s="679" t="s">
        <v>1186</v>
      </c>
      <c r="B67" s="753"/>
      <c r="C67" s="548">
        <v>23</v>
      </c>
      <c r="D67" s="548">
        <v>109000</v>
      </c>
      <c r="E67" s="548">
        <f>C67*D67</f>
        <v>2507000</v>
      </c>
      <c r="F67" s="547"/>
      <c r="G67" s="548">
        <v>25</v>
      </c>
      <c r="H67" s="548">
        <v>109000</v>
      </c>
      <c r="I67" s="548">
        <f>G67*H67</f>
        <v>2725000</v>
      </c>
      <c r="J67" s="1143"/>
      <c r="K67" s="1133"/>
      <c r="L67" s="1133"/>
      <c r="M67" s="1133"/>
      <c r="N67" s="1133"/>
      <c r="O67" s="1133"/>
      <c r="P67" s="1133"/>
      <c r="Q67" s="1133"/>
      <c r="R67" s="1133"/>
    </row>
    <row r="68" spans="1:18" ht="12.75" x14ac:dyDescent="0.2">
      <c r="A68" s="679" t="s">
        <v>1187</v>
      </c>
      <c r="B68" s="753"/>
      <c r="C68" s="548"/>
      <c r="D68" s="548"/>
      <c r="E68" s="548"/>
      <c r="F68" s="547"/>
      <c r="G68" s="548"/>
      <c r="H68" s="548"/>
      <c r="I68" s="548"/>
      <c r="J68" s="1143"/>
      <c r="K68" s="1133"/>
      <c r="L68" s="1133"/>
      <c r="M68" s="1133"/>
      <c r="N68" s="1133"/>
      <c r="O68" s="1133"/>
      <c r="P68" s="1133"/>
      <c r="Q68" s="1133"/>
      <c r="R68" s="1133"/>
    </row>
    <row r="69" spans="1:18" ht="24" x14ac:dyDescent="0.2">
      <c r="A69" s="679" t="s">
        <v>1188</v>
      </c>
      <c r="B69" s="753"/>
      <c r="C69" s="548"/>
      <c r="D69" s="548"/>
      <c r="E69" s="548"/>
      <c r="F69" s="547"/>
      <c r="G69" s="552">
        <v>2</v>
      </c>
      <c r="H69" s="548">
        <v>400000</v>
      </c>
      <c r="I69" s="548">
        <f>G69*H69</f>
        <v>800000</v>
      </c>
      <c r="J69" s="1143"/>
      <c r="K69" s="1133"/>
      <c r="L69" s="1133"/>
      <c r="M69" s="1133"/>
      <c r="N69" s="1133"/>
      <c r="O69" s="1133"/>
      <c r="P69" s="1133"/>
      <c r="Q69" s="1133"/>
      <c r="R69" s="1133"/>
    </row>
    <row r="70" spans="1:18" ht="24" x14ac:dyDescent="0.2">
      <c r="A70" s="679" t="s">
        <v>1189</v>
      </c>
      <c r="B70" s="753"/>
      <c r="C70" s="548"/>
      <c r="D70" s="548"/>
      <c r="E70" s="548"/>
      <c r="F70" s="547"/>
      <c r="G70" s="548">
        <v>52</v>
      </c>
      <c r="H70" s="548">
        <v>120000</v>
      </c>
      <c r="I70" s="548">
        <f>G70*H70</f>
        <v>6240000</v>
      </c>
      <c r="J70" s="1143"/>
      <c r="K70" s="1133"/>
      <c r="L70" s="1133"/>
      <c r="M70" s="1133"/>
      <c r="N70" s="1133"/>
      <c r="O70" s="1133"/>
      <c r="P70" s="1133"/>
      <c r="Q70" s="1133"/>
      <c r="R70" s="1133"/>
    </row>
    <row r="71" spans="1:18" ht="24" x14ac:dyDescent="0.2">
      <c r="A71" s="679" t="s">
        <v>1190</v>
      </c>
      <c r="B71" s="754"/>
      <c r="C71" s="548"/>
      <c r="D71" s="548"/>
      <c r="E71" s="548"/>
      <c r="F71" s="547"/>
      <c r="G71" s="546"/>
      <c r="H71" s="546"/>
      <c r="I71" s="934"/>
      <c r="J71" s="1143"/>
      <c r="K71" s="1133"/>
      <c r="L71" s="1133"/>
      <c r="M71" s="1133"/>
      <c r="N71" s="1133"/>
      <c r="O71" s="1133"/>
      <c r="P71" s="1133"/>
      <c r="Q71" s="1133"/>
      <c r="R71" s="1133"/>
    </row>
    <row r="72" spans="1:18" ht="24" x14ac:dyDescent="0.2">
      <c r="A72" s="679" t="s">
        <v>1225</v>
      </c>
      <c r="B72" s="754"/>
      <c r="C72" s="548">
        <v>15</v>
      </c>
      <c r="D72" s="548">
        <v>2606040</v>
      </c>
      <c r="E72" s="548">
        <f>C72*D72</f>
        <v>39090600</v>
      </c>
      <c r="F72" s="794"/>
      <c r="G72" s="548">
        <v>15</v>
      </c>
      <c r="H72" s="548">
        <v>2606040</v>
      </c>
      <c r="I72" s="548">
        <f>G72*H72</f>
        <v>39090600</v>
      </c>
      <c r="J72" s="1143"/>
      <c r="K72" s="1133"/>
      <c r="L72" s="1133"/>
      <c r="M72" s="1133"/>
      <c r="N72" s="1133"/>
      <c r="O72" s="1133"/>
      <c r="P72" s="1133"/>
      <c r="Q72" s="1133"/>
      <c r="R72" s="1133"/>
    </row>
    <row r="73" spans="1:18" ht="12.75" x14ac:dyDescent="0.2">
      <c r="A73" s="551" t="s">
        <v>1191</v>
      </c>
      <c r="B73" s="698"/>
      <c r="C73" s="682"/>
      <c r="D73" s="682"/>
      <c r="E73" s="685">
        <v>37834000</v>
      </c>
      <c r="F73" s="1148"/>
      <c r="G73" s="687"/>
      <c r="H73" s="687"/>
      <c r="I73" s="547">
        <v>40329000</v>
      </c>
      <c r="J73" s="1154"/>
      <c r="K73" s="1133"/>
      <c r="L73" s="1133"/>
      <c r="M73" s="1133"/>
      <c r="N73" s="1133"/>
      <c r="O73" s="1133"/>
      <c r="P73" s="1133"/>
      <c r="Q73" s="1133"/>
      <c r="R73" s="1133"/>
    </row>
    <row r="74" spans="1:18" ht="12.75" x14ac:dyDescent="0.2">
      <c r="A74" s="551" t="s">
        <v>1192</v>
      </c>
      <c r="B74" s="698"/>
      <c r="C74" s="682"/>
      <c r="D74" s="682"/>
      <c r="E74" s="685"/>
      <c r="F74" s="1148"/>
      <c r="G74" s="1155">
        <v>15</v>
      </c>
      <c r="H74" s="547">
        <v>241960</v>
      </c>
      <c r="I74" s="547">
        <f>G74*H74</f>
        <v>3629400</v>
      </c>
      <c r="J74" s="1154"/>
      <c r="K74" s="1133"/>
      <c r="L74" s="1133"/>
      <c r="M74" s="1133"/>
      <c r="N74" s="1133"/>
      <c r="O74" s="1133"/>
      <c r="P74" s="1133"/>
      <c r="Q74" s="1133"/>
      <c r="R74" s="1133"/>
    </row>
    <row r="75" spans="1:18" ht="12.75" x14ac:dyDescent="0.2">
      <c r="A75" s="551" t="s">
        <v>1193</v>
      </c>
      <c r="B75" s="754"/>
      <c r="C75" s="548"/>
      <c r="D75" s="548"/>
      <c r="E75" s="548"/>
      <c r="F75" s="547"/>
      <c r="G75" s="546"/>
      <c r="H75" s="546"/>
      <c r="I75" s="934"/>
      <c r="J75" s="1143"/>
      <c r="K75" s="1133"/>
      <c r="L75" s="1133"/>
      <c r="M75" s="1133"/>
      <c r="N75" s="1133"/>
      <c r="O75" s="1133"/>
      <c r="P75" s="1133"/>
      <c r="Q75" s="1133"/>
      <c r="R75" s="1133"/>
    </row>
    <row r="76" spans="1:18" ht="12.75" x14ac:dyDescent="0.2">
      <c r="A76" s="551" t="s">
        <v>1194</v>
      </c>
      <c r="B76" s="754"/>
      <c r="C76" s="548"/>
      <c r="D76" s="548"/>
      <c r="E76" s="548"/>
      <c r="F76" s="547"/>
      <c r="G76" s="546"/>
      <c r="H76" s="546"/>
      <c r="I76" s="934"/>
      <c r="J76" s="1143"/>
      <c r="K76" s="1133"/>
      <c r="L76" s="1133"/>
      <c r="M76" s="1133"/>
      <c r="N76" s="1133"/>
      <c r="O76" s="1133"/>
      <c r="P76" s="1133"/>
      <c r="Q76" s="1133"/>
      <c r="R76" s="1133"/>
    </row>
    <row r="77" spans="1:18" ht="12.75" x14ac:dyDescent="0.2">
      <c r="A77" s="551" t="s">
        <v>1195</v>
      </c>
      <c r="B77" s="548"/>
      <c r="C77" s="549">
        <v>12.33</v>
      </c>
      <c r="D77" s="548">
        <v>1632000</v>
      </c>
      <c r="E77" s="548">
        <f>C77*D77</f>
        <v>20122560</v>
      </c>
      <c r="F77" s="973" t="s">
        <v>1226</v>
      </c>
      <c r="G77" s="549">
        <v>14.29</v>
      </c>
      <c r="H77" s="548">
        <v>1900000</v>
      </c>
      <c r="I77" s="548">
        <f>G77*H77</f>
        <v>27151000</v>
      </c>
      <c r="J77" s="1156"/>
      <c r="K77" s="1133"/>
      <c r="L77" s="1133"/>
      <c r="M77" s="1133"/>
      <c r="N77" s="1133"/>
      <c r="O77" s="1133"/>
      <c r="P77" s="1133"/>
      <c r="Q77" s="1133"/>
      <c r="R77" s="1133"/>
    </row>
    <row r="78" spans="1:18" ht="12.75" x14ac:dyDescent="0.2">
      <c r="A78" s="551" t="s">
        <v>1196</v>
      </c>
      <c r="B78" s="682"/>
      <c r="C78" s="682"/>
      <c r="D78" s="682"/>
      <c r="E78" s="685">
        <v>7038795</v>
      </c>
      <c r="F78" s="1148"/>
      <c r="G78" s="687"/>
      <c r="H78" s="687"/>
      <c r="I78" s="547">
        <v>22570116</v>
      </c>
      <c r="J78" s="1157"/>
      <c r="K78" s="1133"/>
      <c r="L78" s="1133"/>
      <c r="M78" s="1133"/>
      <c r="N78" s="1133"/>
      <c r="O78" s="1133"/>
      <c r="P78" s="1133"/>
      <c r="Q78" s="1133"/>
      <c r="R78" s="1133"/>
    </row>
    <row r="79" spans="1:18" ht="24" x14ac:dyDescent="0.2">
      <c r="A79" s="679" t="s">
        <v>1197</v>
      </c>
      <c r="B79" s="548"/>
      <c r="C79" s="548"/>
      <c r="D79" s="548"/>
      <c r="E79" s="548"/>
      <c r="F79" s="794"/>
      <c r="G79" s="547">
        <v>136</v>
      </c>
      <c r="H79" s="547">
        <v>285</v>
      </c>
      <c r="I79" s="547">
        <f>G79*H79</f>
        <v>38760</v>
      </c>
      <c r="J79" s="1143"/>
      <c r="K79" s="1133"/>
      <c r="L79" s="1133"/>
      <c r="M79" s="1133"/>
      <c r="N79" s="1133"/>
      <c r="O79" s="1133"/>
      <c r="P79" s="1133"/>
      <c r="Q79" s="1133"/>
      <c r="R79" s="1133"/>
    </row>
    <row r="80" spans="1:18" ht="12.75" x14ac:dyDescent="0.2">
      <c r="A80" s="679" t="s">
        <v>1198</v>
      </c>
      <c r="B80" s="548"/>
      <c r="C80" s="548"/>
      <c r="D80" s="548"/>
      <c r="E80" s="1158"/>
      <c r="F80" s="794"/>
      <c r="G80" s="751"/>
      <c r="H80" s="547"/>
      <c r="I80" s="547"/>
      <c r="J80" s="1143"/>
      <c r="K80" s="1147"/>
      <c r="L80" s="1133"/>
      <c r="M80" s="1133"/>
      <c r="N80" s="1133"/>
      <c r="O80" s="1133"/>
      <c r="P80" s="1133"/>
      <c r="Q80" s="1133"/>
      <c r="R80" s="1133"/>
    </row>
    <row r="81" spans="1:257" ht="12.75" x14ac:dyDescent="0.2">
      <c r="A81" s="679" t="s">
        <v>1199</v>
      </c>
      <c r="B81" s="548"/>
      <c r="C81" s="548"/>
      <c r="D81" s="548"/>
      <c r="E81" s="1158"/>
      <c r="F81" s="794"/>
      <c r="G81" s="751"/>
      <c r="H81" s="547"/>
      <c r="I81" s="547"/>
      <c r="J81" s="1143"/>
      <c r="K81" s="1147"/>
      <c r="L81" s="1133"/>
      <c r="M81" s="1133"/>
      <c r="N81" s="1133"/>
      <c r="O81" s="1133"/>
      <c r="P81" s="1133"/>
      <c r="Q81" s="1133"/>
      <c r="R81" s="1133"/>
    </row>
    <row r="82" spans="1:257" ht="12.75" x14ac:dyDescent="0.2">
      <c r="A82" s="679" t="s">
        <v>1021</v>
      </c>
      <c r="B82" s="548"/>
      <c r="C82" s="548"/>
      <c r="D82" s="548"/>
      <c r="E82" s="1158"/>
      <c r="F82" s="794"/>
      <c r="G82" s="751">
        <v>1.3</v>
      </c>
      <c r="H82" s="547">
        <v>4419000</v>
      </c>
      <c r="I82" s="547">
        <f>G82*H82</f>
        <v>5744700</v>
      </c>
      <c r="J82" s="1143"/>
      <c r="K82" s="1147"/>
      <c r="L82" s="1133"/>
      <c r="M82" s="1133"/>
      <c r="N82" s="1133"/>
      <c r="O82" s="1133"/>
      <c r="P82" s="1133"/>
      <c r="Q82" s="1133"/>
      <c r="R82" s="1133"/>
    </row>
    <row r="83" spans="1:257" ht="24" x14ac:dyDescent="0.2">
      <c r="A83" s="679" t="s">
        <v>1053</v>
      </c>
      <c r="B83" s="548"/>
      <c r="C83" s="548"/>
      <c r="D83" s="548"/>
      <c r="E83" s="1158"/>
      <c r="F83" s="794"/>
      <c r="G83" s="751">
        <v>2.5</v>
      </c>
      <c r="H83" s="547">
        <v>2993000</v>
      </c>
      <c r="I83" s="547">
        <f>G83*H83</f>
        <v>7482500</v>
      </c>
      <c r="J83" s="1143"/>
      <c r="K83" s="1147"/>
      <c r="L83" s="1133"/>
      <c r="M83" s="1133"/>
      <c r="N83" s="1133"/>
      <c r="O83" s="1133"/>
      <c r="P83" s="1133"/>
      <c r="Q83" s="1133"/>
      <c r="R83" s="1133"/>
    </row>
    <row r="84" spans="1:257" ht="24" x14ac:dyDescent="0.2">
      <c r="A84" s="679" t="s">
        <v>1200</v>
      </c>
      <c r="B84" s="682"/>
      <c r="C84" s="682"/>
      <c r="D84" s="682"/>
      <c r="E84" s="701"/>
      <c r="F84" s="1148"/>
      <c r="G84" s="1159"/>
      <c r="H84" s="547">
        <v>0</v>
      </c>
      <c r="I84" s="547">
        <v>10223000</v>
      </c>
      <c r="J84" s="1143"/>
      <c r="K84" s="1180">
        <f>SUM(I54:I84)</f>
        <v>187035356</v>
      </c>
      <c r="L84" s="6" t="s">
        <v>917</v>
      </c>
      <c r="M84" s="1133"/>
      <c r="N84" s="1133"/>
      <c r="O84" s="1133"/>
      <c r="P84" s="1133"/>
      <c r="Q84" s="1133"/>
      <c r="R84" s="1133"/>
    </row>
    <row r="85" spans="1:257" ht="12.75" x14ac:dyDescent="0.2">
      <c r="A85" s="693"/>
      <c r="B85" s="682"/>
      <c r="C85" s="682"/>
      <c r="D85" s="682"/>
      <c r="E85" s="701"/>
      <c r="F85" s="748"/>
      <c r="G85" s="1159"/>
      <c r="H85" s="638"/>
      <c r="I85" s="638"/>
      <c r="J85" s="1143"/>
      <c r="K85" s="1147"/>
      <c r="L85" s="1133"/>
      <c r="M85" s="1133"/>
      <c r="N85" s="1133"/>
      <c r="O85" s="1133"/>
      <c r="P85" s="1133"/>
      <c r="Q85" s="1133"/>
      <c r="R85" s="1133"/>
    </row>
    <row r="86" spans="1:257" ht="12.75" x14ac:dyDescent="0.2">
      <c r="A86" s="551" t="s">
        <v>882</v>
      </c>
      <c r="B86" s="548"/>
      <c r="C86" s="548"/>
      <c r="D86" s="548"/>
      <c r="E86" s="1158"/>
      <c r="F86" s="547"/>
      <c r="G86" s="546"/>
      <c r="H86" s="546"/>
      <c r="I86" s="547"/>
      <c r="J86" s="1143"/>
      <c r="K86" s="1133"/>
      <c r="L86" s="1133"/>
      <c r="M86" s="1133"/>
      <c r="N86" s="1133"/>
      <c r="O86" s="1133"/>
      <c r="P86" s="1133"/>
      <c r="Q86" s="1133"/>
      <c r="R86" s="1133"/>
    </row>
    <row r="87" spans="1:257" ht="12.75" x14ac:dyDescent="0.2">
      <c r="A87" s="551" t="s">
        <v>883</v>
      </c>
      <c r="B87" s="548"/>
      <c r="C87" s="548"/>
      <c r="D87" s="548"/>
      <c r="E87" s="1158"/>
      <c r="F87" s="547"/>
      <c r="G87" s="546"/>
      <c r="H87" s="546"/>
      <c r="I87" s="547"/>
      <c r="J87" s="1143"/>
      <c r="K87" s="1133"/>
      <c r="L87" s="1133"/>
      <c r="M87" s="1133"/>
      <c r="N87" s="1133"/>
      <c r="O87" s="1133"/>
      <c r="P87" s="1133"/>
      <c r="Q87" s="1133"/>
      <c r="R87" s="1133"/>
    </row>
    <row r="88" spans="1:257" ht="12.75" x14ac:dyDescent="0.2">
      <c r="A88" s="551" t="s">
        <v>884</v>
      </c>
      <c r="B88" s="548"/>
      <c r="C88" s="548">
        <v>4865</v>
      </c>
      <c r="D88" s="548">
        <v>1140</v>
      </c>
      <c r="E88" s="287"/>
      <c r="F88" s="547"/>
      <c r="G88" s="548">
        <v>4747</v>
      </c>
      <c r="H88" s="548">
        <v>1210</v>
      </c>
      <c r="I88" s="287">
        <f>G88*H88</f>
        <v>5743870</v>
      </c>
      <c r="J88" s="1143"/>
      <c r="K88" s="1133"/>
      <c r="L88" s="1133"/>
      <c r="M88" s="1133"/>
      <c r="N88" s="1133"/>
      <c r="O88" s="1133"/>
      <c r="P88" s="1133"/>
      <c r="Q88" s="1133"/>
      <c r="R88" s="1133"/>
    </row>
    <row r="89" spans="1:257" ht="48" x14ac:dyDescent="0.2">
      <c r="A89" s="679" t="s">
        <v>885</v>
      </c>
      <c r="B89" s="682"/>
      <c r="C89" s="682"/>
      <c r="D89" s="682"/>
      <c r="E89" s="702"/>
      <c r="F89" s="794" t="s">
        <v>1024</v>
      </c>
      <c r="G89" s="548" t="s">
        <v>1227</v>
      </c>
      <c r="H89" s="682"/>
      <c r="I89" s="287">
        <v>0</v>
      </c>
      <c r="J89" s="1143"/>
      <c r="K89" s="1133"/>
      <c r="L89" s="1133"/>
      <c r="M89" s="1133"/>
      <c r="N89" s="1133"/>
      <c r="O89" s="1133"/>
      <c r="P89" s="1133"/>
      <c r="Q89" s="1133"/>
      <c r="R89" s="1133"/>
    </row>
    <row r="90" spans="1:257" ht="48" x14ac:dyDescent="0.2">
      <c r="A90" s="679" t="s">
        <v>1025</v>
      </c>
      <c r="B90" s="548"/>
      <c r="C90" s="548"/>
      <c r="D90" s="548"/>
      <c r="E90" s="287"/>
      <c r="F90" s="794" t="s">
        <v>1026</v>
      </c>
      <c r="G90" s="548"/>
      <c r="H90" s="548"/>
      <c r="I90" s="287">
        <v>0</v>
      </c>
      <c r="J90" s="1143"/>
      <c r="K90" s="1180">
        <f>I88+I89+I90</f>
        <v>5743870</v>
      </c>
      <c r="L90" s="6" t="s">
        <v>918</v>
      </c>
      <c r="M90" s="1133"/>
      <c r="N90" s="1133"/>
      <c r="O90" s="1133"/>
      <c r="P90" s="1133"/>
      <c r="Q90" s="1133"/>
      <c r="R90" s="1133"/>
    </row>
    <row r="91" spans="1:257" ht="12.75" x14ac:dyDescent="0.2">
      <c r="A91" s="1160"/>
      <c r="B91" s="698"/>
      <c r="C91" s="704"/>
      <c r="D91" s="682"/>
      <c r="E91" s="682"/>
      <c r="F91" s="756"/>
      <c r="G91" s="687"/>
      <c r="H91" s="687"/>
      <c r="I91" s="638"/>
      <c r="J91" s="1143"/>
      <c r="K91" s="1147"/>
      <c r="L91" s="1147"/>
      <c r="M91" s="1161"/>
      <c r="N91" s="1135"/>
      <c r="O91" s="1133"/>
      <c r="P91" s="1133"/>
      <c r="Q91" s="1133"/>
      <c r="R91" s="1133"/>
    </row>
    <row r="92" spans="1:257" ht="24" x14ac:dyDescent="0.2">
      <c r="A92" s="728" t="s">
        <v>1228</v>
      </c>
      <c r="B92" s="706"/>
      <c r="C92" s="1162"/>
      <c r="D92" s="707"/>
      <c r="E92" s="707"/>
      <c r="F92" s="761"/>
      <c r="G92" s="710"/>
      <c r="H92" s="710"/>
      <c r="I92" s="763">
        <v>0</v>
      </c>
      <c r="J92" s="1143"/>
      <c r="K92" s="688">
        <v>0</v>
      </c>
      <c r="L92" s="688" t="s">
        <v>919</v>
      </c>
      <c r="M92" s="1161"/>
      <c r="N92" s="1135"/>
      <c r="O92" s="1133"/>
      <c r="P92" s="1133"/>
      <c r="Q92" s="1133"/>
      <c r="R92" s="1133"/>
    </row>
    <row r="93" spans="1:257" ht="13.5" thickBot="1" x14ac:dyDescent="0.25">
      <c r="A93" s="1163"/>
      <c r="B93" s="706"/>
      <c r="C93" s="1162"/>
      <c r="D93" s="707"/>
      <c r="E93" s="707"/>
      <c r="F93" s="706"/>
      <c r="G93" s="710"/>
      <c r="H93" s="710"/>
      <c r="I93" s="709"/>
      <c r="J93" s="1143"/>
      <c r="K93" s="1147"/>
      <c r="L93" s="1147"/>
      <c r="M93" s="1133"/>
      <c r="N93" s="1135"/>
      <c r="O93" s="1133"/>
      <c r="P93" s="1133"/>
      <c r="Q93" s="1133"/>
      <c r="R93" s="1133"/>
    </row>
    <row r="94" spans="1:257" ht="12.75" thickBot="1" x14ac:dyDescent="0.25">
      <c r="A94" s="711" t="s">
        <v>887</v>
      </c>
      <c r="B94" s="1164"/>
      <c r="C94" s="1164"/>
      <c r="D94" s="1165"/>
      <c r="E94" s="1166" t="e">
        <f>E9+E11+E14+E17+E20+E25+E28+E31+E39+E40+#REF!+E41+E43+E46+E47+E49+E54+E55+E59+E60+E63+E64+E67+#REF!+E72+E73+E77+E78</f>
        <v>#REF!</v>
      </c>
      <c r="F94" s="1274">
        <f>I9+I13+I16+I19+I22+I25+I28+I31+I32+I51+I39+I40+I41+I42+I43+I44+I46+I69+I47+L70+I49+I50+I54+I55+I62+I63+I65+I66+I67+I72+I73+I77+I78+I79+I82+I83+I84+I88+I89+I90+I92+I74+I70</f>
        <v>882563602</v>
      </c>
      <c r="G94" s="1274"/>
      <c r="H94" s="1274"/>
      <c r="I94" s="1275"/>
      <c r="J94" s="1139"/>
      <c r="K94" s="1181">
        <f>K84+K51+K34+K90-K92</f>
        <v>882563602</v>
      </c>
      <c r="L94" s="764" t="s">
        <v>1201</v>
      </c>
      <c r="M94" s="1139"/>
      <c r="N94" s="1139"/>
      <c r="O94" s="1139"/>
      <c r="P94" s="1139"/>
      <c r="Q94" s="1139"/>
      <c r="R94" s="11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6" spans="1:257" ht="15.75" x14ac:dyDescent="0.2">
      <c r="A96" s="765"/>
      <c r="B96" s="766"/>
      <c r="C96" s="766"/>
      <c r="D96" s="766"/>
      <c r="E96" s="767"/>
      <c r="F96" s="768"/>
      <c r="G96" s="768"/>
      <c r="H96" s="768"/>
      <c r="I96" s="768"/>
    </row>
    <row r="97" spans="1:1" ht="12.75" x14ac:dyDescent="0.2">
      <c r="A97" s="931"/>
    </row>
  </sheetData>
  <mergeCells count="8">
    <mergeCell ref="F94:I94"/>
    <mergeCell ref="A1:I1"/>
    <mergeCell ref="F2:I2"/>
    <mergeCell ref="A4:I4"/>
    <mergeCell ref="A3:I3"/>
    <mergeCell ref="A5:A6"/>
    <mergeCell ref="B5:E5"/>
    <mergeCell ref="F5:I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287" t="s">
        <v>294</v>
      </c>
      <c r="C1" s="1287"/>
      <c r="D1" s="1287"/>
      <c r="E1" s="1287"/>
    </row>
    <row r="2" spans="1:10" x14ac:dyDescent="0.2">
      <c r="F2" s="1294"/>
      <c r="G2" s="1294"/>
      <c r="H2" s="1294"/>
      <c r="I2" s="1294"/>
    </row>
    <row r="4" spans="1:10" ht="12.75" x14ac:dyDescent="0.2">
      <c r="A4" s="1288" t="s">
        <v>77</v>
      </c>
      <c r="B4" s="1288"/>
      <c r="C4" s="1288"/>
      <c r="D4" s="1288"/>
      <c r="E4" s="1288"/>
      <c r="F4" s="1289"/>
      <c r="G4" s="1289"/>
      <c r="H4" s="1289"/>
      <c r="I4" s="1289"/>
    </row>
    <row r="5" spans="1:10" ht="12.75" x14ac:dyDescent="0.2">
      <c r="A5" s="1288" t="s">
        <v>898</v>
      </c>
      <c r="B5" s="1288"/>
      <c r="C5" s="1288"/>
      <c r="D5" s="1288"/>
      <c r="E5" s="1288"/>
      <c r="F5" s="1289"/>
      <c r="G5" s="1289"/>
      <c r="H5" s="1289"/>
      <c r="I5" s="1289"/>
    </row>
    <row r="7" spans="1:10" ht="13.5" thickBot="1" x14ac:dyDescent="0.25">
      <c r="E7" s="544" t="s">
        <v>20</v>
      </c>
      <c r="F7" s="555"/>
    </row>
    <row r="8" spans="1:10" ht="12.75" customHeight="1" thickBot="1" x14ac:dyDescent="0.25">
      <c r="A8" s="1290" t="s">
        <v>78</v>
      </c>
      <c r="B8" s="1292" t="s">
        <v>107</v>
      </c>
      <c r="C8" s="1293"/>
      <c r="D8" s="1293"/>
      <c r="E8" s="1293"/>
      <c r="F8" s="1292" t="s">
        <v>909</v>
      </c>
      <c r="G8" s="1293"/>
      <c r="H8" s="1293"/>
      <c r="I8" s="1293"/>
    </row>
    <row r="9" spans="1:10" s="7" customFormat="1" ht="49.5" customHeight="1" thickBot="1" x14ac:dyDescent="0.25">
      <c r="A9" s="1291"/>
      <c r="B9" s="284" t="s">
        <v>79</v>
      </c>
      <c r="C9" s="192" t="s">
        <v>80</v>
      </c>
      <c r="D9" s="192" t="s">
        <v>681</v>
      </c>
      <c r="E9" s="285" t="s">
        <v>81</v>
      </c>
      <c r="F9" s="284" t="s">
        <v>79</v>
      </c>
      <c r="G9" s="192" t="s">
        <v>80</v>
      </c>
      <c r="H9" s="192" t="s">
        <v>681</v>
      </c>
      <c r="I9" s="285" t="s">
        <v>81</v>
      </c>
    </row>
    <row r="10" spans="1:10" ht="13.5" customHeight="1" x14ac:dyDescent="0.2">
      <c r="A10" s="556" t="s">
        <v>82</v>
      </c>
      <c r="B10" s="557"/>
      <c r="C10" s="557"/>
      <c r="D10" s="557"/>
      <c r="E10" s="557"/>
      <c r="F10" s="558"/>
      <c r="G10" s="558"/>
      <c r="H10" s="558"/>
      <c r="I10" s="558"/>
      <c r="J10" s="588"/>
    </row>
    <row r="11" spans="1:10" ht="13.5" customHeight="1" x14ac:dyDescent="0.2">
      <c r="A11" s="193" t="s">
        <v>819</v>
      </c>
      <c r="B11" s="194"/>
      <c r="C11" s="194"/>
      <c r="D11" s="194"/>
      <c r="E11" s="194"/>
      <c r="F11" s="545"/>
      <c r="G11" s="545"/>
      <c r="H11" s="545"/>
      <c r="I11" s="545"/>
      <c r="J11" s="588"/>
    </row>
    <row r="12" spans="1:10" ht="30.75" customHeight="1" x14ac:dyDescent="0.2">
      <c r="A12" s="679" t="s">
        <v>820</v>
      </c>
      <c r="B12" s="548">
        <v>4865</v>
      </c>
      <c r="C12" s="680">
        <v>18.690000000000001</v>
      </c>
      <c r="D12" s="548">
        <v>4580000</v>
      </c>
      <c r="E12" s="548">
        <f>C12*D12</f>
        <v>85600200</v>
      </c>
      <c r="F12" s="547">
        <v>4837</v>
      </c>
      <c r="G12" s="546">
        <v>18.62</v>
      </c>
      <c r="H12" s="546">
        <v>4580000</v>
      </c>
      <c r="I12" s="547">
        <f>G12*H12</f>
        <v>85279600</v>
      </c>
      <c r="J12" s="588"/>
    </row>
    <row r="13" spans="1:10" ht="13.5" customHeight="1" x14ac:dyDescent="0.2">
      <c r="A13" s="551" t="s">
        <v>821</v>
      </c>
      <c r="B13" s="548"/>
      <c r="C13" s="548"/>
      <c r="D13" s="548"/>
      <c r="E13" s="548"/>
      <c r="F13" s="547"/>
      <c r="G13" s="546"/>
      <c r="H13" s="546"/>
      <c r="I13" s="547"/>
      <c r="J13" s="588"/>
    </row>
    <row r="14" spans="1:10" ht="30" customHeight="1" x14ac:dyDescent="0.2">
      <c r="A14" s="679" t="s">
        <v>822</v>
      </c>
      <c r="B14" s="548"/>
      <c r="C14" s="549"/>
      <c r="D14" s="548" t="s">
        <v>295</v>
      </c>
      <c r="E14" s="548">
        <v>8328800</v>
      </c>
      <c r="F14" s="547"/>
      <c r="G14" s="546"/>
      <c r="H14" s="546" t="s">
        <v>295</v>
      </c>
      <c r="I14" s="547">
        <v>8329050</v>
      </c>
      <c r="J14" s="588"/>
    </row>
    <row r="15" spans="1:10" ht="30" customHeight="1" x14ac:dyDescent="0.2">
      <c r="A15" s="679" t="s">
        <v>823</v>
      </c>
      <c r="B15" s="548"/>
      <c r="C15" s="549"/>
      <c r="D15" s="548"/>
      <c r="E15" s="548"/>
      <c r="F15" s="547"/>
      <c r="G15" s="546"/>
      <c r="H15" s="546"/>
      <c r="I15" s="547">
        <v>-8329050</v>
      </c>
      <c r="J15" s="588"/>
    </row>
    <row r="16" spans="1:10" ht="30" customHeight="1" x14ac:dyDescent="0.2">
      <c r="A16" s="679" t="s">
        <v>824</v>
      </c>
      <c r="B16" s="548"/>
      <c r="C16" s="549"/>
      <c r="D16" s="548"/>
      <c r="E16" s="548"/>
      <c r="F16" s="547"/>
      <c r="G16" s="546"/>
      <c r="H16" s="546"/>
      <c r="I16" s="547">
        <f>I14+I15</f>
        <v>0</v>
      </c>
      <c r="J16" s="588"/>
    </row>
    <row r="17" spans="1:10" ht="16.5" customHeight="1" x14ac:dyDescent="0.2">
      <c r="A17" s="551" t="s">
        <v>825</v>
      </c>
      <c r="B17" s="548"/>
      <c r="C17" s="548"/>
      <c r="D17" s="681" t="s">
        <v>296</v>
      </c>
      <c r="E17" s="548">
        <v>18272000</v>
      </c>
      <c r="F17" s="547"/>
      <c r="G17" s="546"/>
      <c r="H17" s="546" t="s">
        <v>297</v>
      </c>
      <c r="I17" s="547">
        <v>18304000</v>
      </c>
      <c r="J17" s="588"/>
    </row>
    <row r="18" spans="1:10" ht="16.5" customHeight="1" x14ac:dyDescent="0.2">
      <c r="A18" s="551" t="s">
        <v>823</v>
      </c>
      <c r="B18" s="548"/>
      <c r="C18" s="548"/>
      <c r="D18" s="681"/>
      <c r="E18" s="548"/>
      <c r="F18" s="547"/>
      <c r="G18" s="546"/>
      <c r="H18" s="546"/>
      <c r="I18" s="547">
        <v>-18304000</v>
      </c>
      <c r="J18" s="588"/>
    </row>
    <row r="19" spans="1:10" ht="16.5" customHeight="1" x14ac:dyDescent="0.2">
      <c r="A19" s="551" t="s">
        <v>826</v>
      </c>
      <c r="B19" s="548"/>
      <c r="C19" s="548"/>
      <c r="D19" s="681"/>
      <c r="E19" s="548"/>
      <c r="F19" s="547"/>
      <c r="G19" s="546"/>
      <c r="H19" s="546"/>
      <c r="I19" s="547">
        <f>I17+I18</f>
        <v>0</v>
      </c>
      <c r="J19" s="588"/>
    </row>
    <row r="20" spans="1:10" ht="13.5" customHeight="1" x14ac:dyDescent="0.2">
      <c r="A20" s="551" t="s">
        <v>827</v>
      </c>
      <c r="B20" s="682"/>
      <c r="C20" s="682" t="s">
        <v>828</v>
      </c>
      <c r="D20" s="683" t="s">
        <v>682</v>
      </c>
      <c r="E20" s="682">
        <v>1355022</v>
      </c>
      <c r="F20" s="638"/>
      <c r="G20" s="682"/>
      <c r="H20" s="684" t="s">
        <v>682</v>
      </c>
      <c r="I20" s="547">
        <v>1355022</v>
      </c>
      <c r="J20" s="588"/>
    </row>
    <row r="21" spans="1:10" ht="13.5" customHeight="1" x14ac:dyDescent="0.2">
      <c r="A21" s="551" t="s">
        <v>829</v>
      </c>
      <c r="B21" s="682"/>
      <c r="C21" s="682"/>
      <c r="D21" s="683"/>
      <c r="E21" s="682"/>
      <c r="F21" s="638"/>
      <c r="G21" s="682"/>
      <c r="H21" s="684"/>
      <c r="I21" s="547">
        <v>-1355022</v>
      </c>
      <c r="J21" s="588"/>
    </row>
    <row r="22" spans="1:10" ht="13.5" customHeight="1" x14ac:dyDescent="0.2">
      <c r="A22" s="551" t="s">
        <v>830</v>
      </c>
      <c r="B22" s="682"/>
      <c r="C22" s="682"/>
      <c r="D22" s="683"/>
      <c r="E22" s="682"/>
      <c r="F22" s="638"/>
      <c r="G22" s="682"/>
      <c r="H22" s="684"/>
      <c r="I22" s="547">
        <f>I20+I21</f>
        <v>0</v>
      </c>
      <c r="J22" s="588"/>
    </row>
    <row r="23" spans="1:10" ht="13.5" customHeight="1" x14ac:dyDescent="0.2">
      <c r="A23" s="551" t="s">
        <v>831</v>
      </c>
      <c r="B23" s="548"/>
      <c r="C23" s="549"/>
      <c r="D23" s="681" t="s">
        <v>683</v>
      </c>
      <c r="E23" s="548">
        <v>6369620</v>
      </c>
      <c r="F23" s="547"/>
      <c r="G23" s="546"/>
      <c r="H23" s="681" t="s">
        <v>683</v>
      </c>
      <c r="I23" s="547">
        <v>6369620</v>
      </c>
      <c r="J23" s="588"/>
    </row>
    <row r="24" spans="1:10" ht="13.5" customHeight="1" x14ac:dyDescent="0.2">
      <c r="A24" s="551" t="s">
        <v>829</v>
      </c>
      <c r="B24" s="548"/>
      <c r="C24" s="549"/>
      <c r="D24" s="681"/>
      <c r="E24" s="548"/>
      <c r="F24" s="547"/>
      <c r="G24" s="546"/>
      <c r="H24" s="681"/>
      <c r="I24" s="547">
        <v>-6369620</v>
      </c>
      <c r="J24" s="588"/>
    </row>
    <row r="25" spans="1:10" ht="13.5" customHeight="1" x14ac:dyDescent="0.2">
      <c r="A25" s="551" t="s">
        <v>832</v>
      </c>
      <c r="B25" s="548"/>
      <c r="C25" s="549"/>
      <c r="D25" s="681"/>
      <c r="E25" s="548"/>
      <c r="F25" s="547"/>
      <c r="G25" s="546"/>
      <c r="H25" s="681"/>
      <c r="I25" s="547">
        <f>I23+I24</f>
        <v>0</v>
      </c>
      <c r="J25" s="588"/>
    </row>
    <row r="26" spans="1:10" ht="13.5" customHeight="1" x14ac:dyDescent="0.2">
      <c r="A26" s="551" t="s">
        <v>833</v>
      </c>
      <c r="B26" s="548">
        <v>4865</v>
      </c>
      <c r="C26" s="548"/>
      <c r="D26" s="548">
        <v>2700</v>
      </c>
      <c r="E26" s="548">
        <f>B26*D26</f>
        <v>13135500</v>
      </c>
      <c r="F26" s="547">
        <v>4837</v>
      </c>
      <c r="G26" s="546"/>
      <c r="H26" s="548">
        <v>2700</v>
      </c>
      <c r="I26" s="547">
        <f>F26*H26</f>
        <v>13059900</v>
      </c>
      <c r="J26" s="588"/>
    </row>
    <row r="27" spans="1:10" ht="13.5" customHeight="1" x14ac:dyDescent="0.2">
      <c r="A27" s="551" t="s">
        <v>834</v>
      </c>
      <c r="B27" s="548"/>
      <c r="C27" s="548"/>
      <c r="D27" s="548"/>
      <c r="E27" s="548">
        <v>-13135500</v>
      </c>
      <c r="F27" s="547"/>
      <c r="G27" s="546"/>
      <c r="H27" s="546"/>
      <c r="I27" s="547">
        <v>-13059900</v>
      </c>
      <c r="J27" s="588"/>
    </row>
    <row r="28" spans="1:10" ht="13.5" customHeight="1" x14ac:dyDescent="0.2">
      <c r="A28" s="551" t="s">
        <v>835</v>
      </c>
      <c r="B28" s="548"/>
      <c r="C28" s="548"/>
      <c r="D28" s="548"/>
      <c r="E28" s="548">
        <f>E26+E27</f>
        <v>0</v>
      </c>
      <c r="F28" s="547"/>
      <c r="G28" s="546"/>
      <c r="H28" s="546"/>
      <c r="I28" s="547">
        <f>I26+I27</f>
        <v>0</v>
      </c>
      <c r="J28" s="588"/>
    </row>
    <row r="29" spans="1:10" ht="13.5" customHeight="1" x14ac:dyDescent="0.2">
      <c r="A29" s="551" t="s">
        <v>836</v>
      </c>
      <c r="B29" s="682">
        <v>10</v>
      </c>
      <c r="C29" s="682"/>
      <c r="D29" s="682" t="s">
        <v>298</v>
      </c>
      <c r="E29" s="685">
        <v>25500</v>
      </c>
      <c r="F29" s="547">
        <v>11</v>
      </c>
      <c r="G29" s="546"/>
      <c r="H29" s="548" t="s">
        <v>298</v>
      </c>
      <c r="I29" s="547">
        <v>28050</v>
      </c>
      <c r="J29" s="588"/>
    </row>
    <row r="30" spans="1:10" ht="13.5" customHeight="1" x14ac:dyDescent="0.2">
      <c r="A30" s="551" t="s">
        <v>837</v>
      </c>
      <c r="B30" s="682"/>
      <c r="C30" s="682"/>
      <c r="D30" s="682"/>
      <c r="E30" s="685">
        <v>-25500</v>
      </c>
      <c r="F30" s="547"/>
      <c r="G30" s="546"/>
      <c r="H30" s="546"/>
      <c r="I30" s="547">
        <v>-28050</v>
      </c>
      <c r="J30" s="588"/>
    </row>
    <row r="31" spans="1:10" ht="13.5" customHeight="1" x14ac:dyDescent="0.2">
      <c r="A31" s="551" t="s">
        <v>838</v>
      </c>
      <c r="B31" s="682"/>
      <c r="C31" s="682"/>
      <c r="D31" s="682"/>
      <c r="E31" s="685">
        <v>0</v>
      </c>
      <c r="F31" s="547"/>
      <c r="G31" s="546"/>
      <c r="H31" s="546"/>
      <c r="I31" s="547">
        <f>I29+I30</f>
        <v>0</v>
      </c>
      <c r="J31" s="588"/>
    </row>
    <row r="32" spans="1:10" ht="13.5" customHeight="1" x14ac:dyDescent="0.2">
      <c r="A32" s="551" t="s">
        <v>839</v>
      </c>
      <c r="B32" s="548"/>
      <c r="C32" s="548">
        <v>487729000</v>
      </c>
      <c r="D32" s="549">
        <v>1.55</v>
      </c>
      <c r="E32" s="548">
        <f>C32*D32</f>
        <v>755979950</v>
      </c>
      <c r="F32" s="547"/>
      <c r="G32" s="730">
        <v>482296000</v>
      </c>
      <c r="H32" s="731">
        <v>1.55</v>
      </c>
      <c r="I32" s="730">
        <f>G32*H32</f>
        <v>747558800</v>
      </c>
      <c r="J32" s="588"/>
    </row>
    <row r="33" spans="1:11" ht="13.5" customHeight="1" x14ac:dyDescent="0.2">
      <c r="A33" s="551" t="s">
        <v>834</v>
      </c>
      <c r="B33" s="548"/>
      <c r="C33" s="548"/>
      <c r="D33" s="552"/>
      <c r="E33" s="548">
        <v>-98054262</v>
      </c>
      <c r="F33" s="547"/>
      <c r="G33" s="546"/>
      <c r="H33" s="546"/>
      <c r="I33" s="547">
        <v>-69343482</v>
      </c>
      <c r="J33" s="588"/>
    </row>
    <row r="34" spans="1:11" ht="13.5" customHeight="1" x14ac:dyDescent="0.2">
      <c r="A34" s="551" t="s">
        <v>840</v>
      </c>
      <c r="B34" s="548"/>
      <c r="C34" s="548"/>
      <c r="D34" s="552"/>
      <c r="E34" s="548">
        <f>E32+E33</f>
        <v>657925688</v>
      </c>
      <c r="F34" s="547"/>
      <c r="G34" s="546"/>
      <c r="H34" s="546"/>
      <c r="I34" s="547">
        <f>I32+I33</f>
        <v>678215318</v>
      </c>
      <c r="J34" s="588"/>
    </row>
    <row r="35" spans="1:11" ht="13.5" customHeight="1" x14ac:dyDescent="0.2">
      <c r="A35" s="686" t="s">
        <v>841</v>
      </c>
      <c r="B35" s="682"/>
      <c r="C35" s="682"/>
      <c r="D35" s="682"/>
      <c r="E35" s="682">
        <v>0</v>
      </c>
      <c r="F35" s="638"/>
      <c r="G35" s="687"/>
      <c r="H35" s="687"/>
      <c r="I35" s="638">
        <v>0</v>
      </c>
      <c r="J35" s="588"/>
    </row>
    <row r="36" spans="1:11" ht="13.5" customHeight="1" x14ac:dyDescent="0.2">
      <c r="A36" s="686"/>
      <c r="B36" s="682"/>
      <c r="C36" s="682"/>
      <c r="D36" s="682"/>
      <c r="E36" s="682"/>
      <c r="F36" s="638"/>
      <c r="G36" s="687"/>
      <c r="H36" s="687"/>
      <c r="I36" s="638"/>
      <c r="J36" s="588"/>
      <c r="K36" s="688"/>
    </row>
    <row r="37" spans="1:11" ht="24.95" customHeight="1" x14ac:dyDescent="0.2">
      <c r="A37" s="689" t="s">
        <v>83</v>
      </c>
      <c r="B37" s="682"/>
      <c r="C37" s="682"/>
      <c r="D37" s="682"/>
      <c r="E37" s="682"/>
      <c r="F37" s="638"/>
      <c r="G37" s="687"/>
      <c r="H37" s="687"/>
      <c r="I37" s="638"/>
      <c r="J37" s="588"/>
    </row>
    <row r="38" spans="1:11" ht="15" customHeight="1" x14ac:dyDescent="0.2">
      <c r="A38" s="679" t="s">
        <v>842</v>
      </c>
      <c r="B38" s="682"/>
      <c r="C38" s="682"/>
      <c r="D38" s="682"/>
      <c r="E38" s="682"/>
      <c r="F38" s="638"/>
      <c r="G38" s="687"/>
      <c r="H38" s="687"/>
      <c r="I38" s="638"/>
      <c r="J38" s="588"/>
    </row>
    <row r="39" spans="1:11" ht="24" customHeight="1" x14ac:dyDescent="0.2">
      <c r="A39" s="679" t="s">
        <v>843</v>
      </c>
      <c r="B39" s="548"/>
      <c r="C39" s="549">
        <v>13.1</v>
      </c>
      <c r="D39" s="548">
        <v>4152000</v>
      </c>
      <c r="E39" s="548">
        <f>C39*D39*8/12</f>
        <v>36260800</v>
      </c>
      <c r="F39" s="547"/>
      <c r="G39" s="546">
        <v>13.3</v>
      </c>
      <c r="H39" s="547">
        <v>4308000</v>
      </c>
      <c r="I39" s="547">
        <f>G39*8/12*4308000</f>
        <v>38197600</v>
      </c>
      <c r="J39" s="588"/>
    </row>
    <row r="40" spans="1:11" ht="24" customHeight="1" x14ac:dyDescent="0.2">
      <c r="A40" s="679" t="s">
        <v>844</v>
      </c>
      <c r="B40" s="548"/>
      <c r="C40" s="549">
        <v>13.1</v>
      </c>
      <c r="D40" s="550">
        <v>4152000</v>
      </c>
      <c r="E40" s="548">
        <f>C40*D40*4/12</f>
        <v>18130400</v>
      </c>
      <c r="F40" s="547"/>
      <c r="G40" s="690">
        <v>13.4</v>
      </c>
      <c r="H40" s="547">
        <v>4308000</v>
      </c>
      <c r="I40" s="547">
        <f>G40*4/12*H40</f>
        <v>19242400</v>
      </c>
      <c r="J40" s="588"/>
    </row>
    <row r="41" spans="1:11" ht="24.95" customHeight="1" x14ac:dyDescent="0.2">
      <c r="A41" s="679" t="s">
        <v>910</v>
      </c>
      <c r="B41" s="682"/>
      <c r="C41" s="691">
        <v>13.1</v>
      </c>
      <c r="D41" s="692">
        <v>35000</v>
      </c>
      <c r="E41" s="682">
        <f>C41*D41</f>
        <v>458500</v>
      </c>
      <c r="F41" s="638"/>
      <c r="G41" s="690">
        <v>13.4</v>
      </c>
      <c r="H41" s="547">
        <v>35000</v>
      </c>
      <c r="I41" s="547">
        <f>G41*H41</f>
        <v>469000</v>
      </c>
      <c r="J41" s="588"/>
    </row>
    <row r="42" spans="1:11" ht="24.95" customHeight="1" x14ac:dyDescent="0.2">
      <c r="A42" s="679" t="s">
        <v>845</v>
      </c>
      <c r="B42" s="682"/>
      <c r="C42" s="682">
        <v>10</v>
      </c>
      <c r="D42" s="682">
        <v>1800000</v>
      </c>
      <c r="E42" s="685">
        <f>C42*D42*8/12</f>
        <v>12000000</v>
      </c>
      <c r="F42" s="638"/>
      <c r="G42" s="690">
        <v>9</v>
      </c>
      <c r="H42" s="547">
        <v>1800000</v>
      </c>
      <c r="I42" s="547">
        <f>G42*H42*8/12</f>
        <v>10800000</v>
      </c>
      <c r="J42" s="588"/>
    </row>
    <row r="43" spans="1:11" ht="35.25" customHeight="1" x14ac:dyDescent="0.2">
      <c r="A43" s="693" t="s">
        <v>846</v>
      </c>
      <c r="B43" s="682"/>
      <c r="C43" s="682"/>
      <c r="D43" s="682"/>
      <c r="E43" s="685"/>
      <c r="F43" s="638"/>
      <c r="G43" s="690">
        <v>1</v>
      </c>
      <c r="H43" s="547">
        <v>4308000</v>
      </c>
      <c r="I43" s="547">
        <f>G43*H43*8/12</f>
        <v>2872000</v>
      </c>
      <c r="J43" s="588"/>
    </row>
    <row r="44" spans="1:11" ht="35.25" customHeight="1" x14ac:dyDescent="0.2">
      <c r="A44" s="679" t="s">
        <v>847</v>
      </c>
      <c r="B44" s="682"/>
      <c r="C44" s="682">
        <v>10</v>
      </c>
      <c r="D44" s="682">
        <v>1800000</v>
      </c>
      <c r="E44" s="682">
        <f>C44*D44*4/12</f>
        <v>6000000</v>
      </c>
      <c r="F44" s="638"/>
      <c r="G44" s="690">
        <v>9</v>
      </c>
      <c r="H44" s="547">
        <v>1800000</v>
      </c>
      <c r="I44" s="547">
        <f>G44*H44*4/12</f>
        <v>5400000</v>
      </c>
      <c r="J44" s="589"/>
    </row>
    <row r="45" spans="1:11" ht="35.25" customHeight="1" x14ac:dyDescent="0.2">
      <c r="A45" s="679" t="s">
        <v>848</v>
      </c>
      <c r="B45" s="682"/>
      <c r="C45" s="682"/>
      <c r="D45" s="682"/>
      <c r="E45" s="682"/>
      <c r="F45" s="638"/>
      <c r="G45" s="690">
        <v>1</v>
      </c>
      <c r="H45" s="547">
        <v>4308000</v>
      </c>
      <c r="I45" s="547">
        <f>G45*H45*4/12</f>
        <v>1436000</v>
      </c>
      <c r="J45" s="589"/>
    </row>
    <row r="46" spans="1:11" ht="13.5" customHeight="1" x14ac:dyDescent="0.2">
      <c r="A46" s="679" t="s">
        <v>849</v>
      </c>
      <c r="B46" s="682"/>
      <c r="C46" s="682"/>
      <c r="D46" s="682"/>
      <c r="E46" s="682"/>
      <c r="F46" s="638"/>
      <c r="G46" s="690">
        <v>1</v>
      </c>
      <c r="H46" s="547">
        <v>35000</v>
      </c>
      <c r="I46" s="547">
        <f>G46*H46</f>
        <v>35000</v>
      </c>
      <c r="J46" s="589"/>
    </row>
    <row r="47" spans="1:11" ht="13.5" customHeight="1" x14ac:dyDescent="0.2">
      <c r="A47" s="551" t="s">
        <v>850</v>
      </c>
      <c r="B47" s="682"/>
      <c r="C47" s="682"/>
      <c r="D47" s="682"/>
      <c r="E47" s="682"/>
      <c r="F47" s="638"/>
      <c r="G47" s="687"/>
      <c r="H47" s="687"/>
      <c r="I47" s="638"/>
      <c r="J47" s="588"/>
    </row>
    <row r="48" spans="1:11" ht="13.5" customHeight="1" x14ac:dyDescent="0.2">
      <c r="A48" s="679" t="s">
        <v>851</v>
      </c>
      <c r="B48" s="548"/>
      <c r="C48" s="548"/>
      <c r="D48" s="548"/>
      <c r="E48" s="548"/>
      <c r="F48" s="547"/>
      <c r="G48" s="547">
        <v>0</v>
      </c>
      <c r="H48" s="548">
        <v>80000</v>
      </c>
      <c r="I48" s="547">
        <f>G48*H48*8/12</f>
        <v>0</v>
      </c>
      <c r="J48" s="588"/>
    </row>
    <row r="49" spans="1:11" ht="13.5" customHeight="1" x14ac:dyDescent="0.2">
      <c r="A49" s="679" t="s">
        <v>852</v>
      </c>
      <c r="B49" s="548"/>
      <c r="C49" s="548">
        <v>142</v>
      </c>
      <c r="D49" s="548">
        <v>70000</v>
      </c>
      <c r="E49" s="548">
        <f>C49*D49*8/12</f>
        <v>6626666.666666667</v>
      </c>
      <c r="F49" s="547"/>
      <c r="G49" s="547">
        <v>144</v>
      </c>
      <c r="H49" s="548">
        <v>80000</v>
      </c>
      <c r="I49" s="547">
        <f>G49*H49*8/12</f>
        <v>7680000</v>
      </c>
      <c r="J49" s="588"/>
    </row>
    <row r="50" spans="1:11" ht="13.5" customHeight="1" x14ac:dyDescent="0.2">
      <c r="A50" s="679" t="s">
        <v>853</v>
      </c>
      <c r="B50" s="682"/>
      <c r="C50" s="682"/>
      <c r="D50" s="682"/>
      <c r="E50" s="682"/>
      <c r="F50" s="638"/>
      <c r="G50" s="547">
        <v>0</v>
      </c>
      <c r="H50" s="548">
        <v>80000</v>
      </c>
      <c r="I50" s="547">
        <f>G50*H50*8/12</f>
        <v>0</v>
      </c>
      <c r="J50" s="588"/>
    </row>
    <row r="51" spans="1:11" ht="39.75" customHeight="1" x14ac:dyDescent="0.2">
      <c r="A51" s="679" t="s">
        <v>854</v>
      </c>
      <c r="B51" s="682"/>
      <c r="C51" s="682">
        <v>142</v>
      </c>
      <c r="D51" s="682">
        <v>70000</v>
      </c>
      <c r="E51" s="682">
        <f>C51*D51*4/12</f>
        <v>3313333.3333333335</v>
      </c>
      <c r="F51" s="638"/>
      <c r="G51" s="547">
        <v>144</v>
      </c>
      <c r="H51" s="548">
        <v>80000</v>
      </c>
      <c r="I51" s="547">
        <f>G51*H51*4/12</f>
        <v>3840000</v>
      </c>
      <c r="J51" s="588"/>
    </row>
    <row r="52" spans="1:11" ht="50.25" customHeight="1" x14ac:dyDescent="0.2">
      <c r="A52" s="551" t="s">
        <v>855</v>
      </c>
      <c r="B52" s="682"/>
      <c r="C52" s="682"/>
      <c r="D52" s="682"/>
      <c r="E52" s="682">
        <v>0</v>
      </c>
      <c r="F52" s="638"/>
      <c r="G52" s="687"/>
      <c r="H52" s="687"/>
      <c r="I52" s="547">
        <v>740000</v>
      </c>
      <c r="J52" s="591"/>
    </row>
    <row r="53" spans="1:11" ht="13.5" customHeight="1" x14ac:dyDescent="0.2">
      <c r="A53" s="551" t="s">
        <v>856</v>
      </c>
      <c r="B53" s="548"/>
      <c r="C53" s="548"/>
      <c r="D53" s="548"/>
      <c r="E53" s="548"/>
      <c r="F53" s="547"/>
      <c r="G53" s="546"/>
      <c r="H53" s="546"/>
      <c r="I53" s="547"/>
      <c r="J53" s="588"/>
    </row>
    <row r="54" spans="1:11" ht="13.5" customHeight="1" x14ac:dyDescent="0.2">
      <c r="A54" s="679" t="s">
        <v>857</v>
      </c>
      <c r="B54" s="548"/>
      <c r="C54" s="548">
        <v>5</v>
      </c>
      <c r="D54" s="694" t="s">
        <v>299</v>
      </c>
      <c r="E54" s="548">
        <v>1760000</v>
      </c>
      <c r="F54" s="547"/>
      <c r="G54" s="547">
        <v>5</v>
      </c>
      <c r="H54" s="547">
        <v>384000</v>
      </c>
      <c r="I54" s="547">
        <f>G54*H54</f>
        <v>1920000</v>
      </c>
      <c r="J54" s="588"/>
    </row>
    <row r="55" spans="1:11" ht="13.5" customHeight="1" x14ac:dyDescent="0.2">
      <c r="A55" s="679" t="s">
        <v>858</v>
      </c>
      <c r="B55" s="682"/>
      <c r="C55" s="682"/>
      <c r="D55" s="682"/>
      <c r="E55" s="682"/>
      <c r="F55" s="638"/>
      <c r="G55" s="547">
        <v>1</v>
      </c>
      <c r="H55" s="547">
        <v>352000</v>
      </c>
      <c r="I55" s="547">
        <f>G55*H55</f>
        <v>352000</v>
      </c>
      <c r="J55" s="588"/>
    </row>
    <row r="56" spans="1:11" ht="12.75" customHeight="1" x14ac:dyDescent="0.2">
      <c r="A56" s="686"/>
      <c r="B56" s="682"/>
      <c r="C56" s="682"/>
      <c r="D56" s="682"/>
      <c r="E56" s="682"/>
      <c r="F56" s="638"/>
      <c r="G56" s="687"/>
      <c r="H56" s="687"/>
      <c r="I56" s="638"/>
      <c r="J56" s="588"/>
      <c r="K56" s="688"/>
    </row>
    <row r="57" spans="1:11" ht="13.5" customHeight="1" x14ac:dyDescent="0.2">
      <c r="A57" s="689" t="s">
        <v>84</v>
      </c>
      <c r="B57" s="682"/>
      <c r="C57" s="682"/>
      <c r="D57" s="682"/>
      <c r="E57" s="682"/>
      <c r="F57" s="638"/>
      <c r="G57" s="687"/>
      <c r="H57" s="687"/>
      <c r="I57" s="638"/>
      <c r="J57" s="588"/>
    </row>
    <row r="58" spans="1:11" ht="33.75" customHeight="1" x14ac:dyDescent="0.2">
      <c r="A58" s="686" t="s">
        <v>859</v>
      </c>
      <c r="B58" s="682"/>
      <c r="C58" s="682"/>
      <c r="D58" s="682"/>
      <c r="E58" s="682">
        <v>0</v>
      </c>
      <c r="F58" s="638"/>
      <c r="G58" s="687"/>
      <c r="H58" s="687"/>
      <c r="I58" s="638">
        <v>0</v>
      </c>
      <c r="J58" s="590"/>
    </row>
    <row r="59" spans="1:11" ht="27" customHeight="1" x14ac:dyDescent="0.2">
      <c r="A59" s="693" t="s">
        <v>860</v>
      </c>
      <c r="B59" s="682"/>
      <c r="C59" s="682"/>
      <c r="D59" s="682"/>
      <c r="E59" s="685">
        <v>0</v>
      </c>
      <c r="F59" s="638"/>
      <c r="G59" s="687"/>
      <c r="H59" s="687"/>
      <c r="I59" s="638">
        <v>0</v>
      </c>
      <c r="J59" s="588"/>
    </row>
    <row r="60" spans="1:11" ht="13.5" customHeight="1" x14ac:dyDescent="0.2">
      <c r="A60" s="551" t="s">
        <v>861</v>
      </c>
      <c r="B60" s="682"/>
      <c r="C60" s="682"/>
      <c r="D60" s="682"/>
      <c r="E60" s="682"/>
      <c r="F60" s="638"/>
      <c r="G60" s="687"/>
      <c r="H60" s="687"/>
      <c r="I60" s="638"/>
      <c r="J60" s="588"/>
    </row>
    <row r="61" spans="1:11" ht="13.5" customHeight="1" x14ac:dyDescent="0.2">
      <c r="A61" s="551" t="s">
        <v>862</v>
      </c>
      <c r="B61" s="682"/>
      <c r="C61" s="682"/>
      <c r="D61" s="682"/>
      <c r="E61" s="682"/>
      <c r="F61" s="638"/>
      <c r="G61" s="687"/>
      <c r="H61" s="687"/>
      <c r="I61" s="638"/>
      <c r="J61" s="588"/>
    </row>
    <row r="62" spans="1:11" ht="13.5" customHeight="1" x14ac:dyDescent="0.2">
      <c r="A62" s="551" t="s">
        <v>863</v>
      </c>
      <c r="B62" s="682"/>
      <c r="C62" s="682"/>
      <c r="D62" s="682"/>
      <c r="E62" s="682"/>
      <c r="F62" s="638"/>
      <c r="G62" s="687"/>
      <c r="H62" s="687"/>
      <c r="I62" s="638"/>
      <c r="J62" s="588"/>
    </row>
    <row r="63" spans="1:11" ht="28.5" customHeight="1" x14ac:dyDescent="0.2">
      <c r="A63" s="679" t="s">
        <v>864</v>
      </c>
      <c r="B63" s="686"/>
      <c r="C63" s="695"/>
      <c r="D63" s="682"/>
      <c r="E63" s="682">
        <f>C63*D63/2</f>
        <v>0</v>
      </c>
      <c r="F63" s="548">
        <v>7916</v>
      </c>
      <c r="G63" s="696"/>
      <c r="H63" s="687"/>
      <c r="I63" s="638"/>
      <c r="J63" s="590"/>
    </row>
    <row r="64" spans="1:11" ht="24.95" customHeight="1" x14ac:dyDescent="0.2">
      <c r="A64" s="693" t="s">
        <v>865</v>
      </c>
      <c r="B64" s="682"/>
      <c r="C64" s="686"/>
      <c r="D64" s="682"/>
      <c r="E64" s="682"/>
      <c r="F64" s="638"/>
      <c r="G64" s="553">
        <v>0</v>
      </c>
      <c r="H64" s="687"/>
      <c r="I64" s="638"/>
      <c r="J64" s="590"/>
    </row>
    <row r="65" spans="1:10" ht="24.95" customHeight="1" x14ac:dyDescent="0.2">
      <c r="A65" s="686" t="s">
        <v>866</v>
      </c>
      <c r="B65" s="682"/>
      <c r="C65" s="686"/>
      <c r="D65" s="682"/>
      <c r="E65" s="682"/>
      <c r="F65" s="638"/>
      <c r="G65" s="552">
        <v>1</v>
      </c>
      <c r="H65" s="687"/>
      <c r="I65" s="638"/>
      <c r="J65" s="588"/>
    </row>
    <row r="66" spans="1:10" ht="24.95" customHeight="1" x14ac:dyDescent="0.2">
      <c r="A66" s="551" t="s">
        <v>867</v>
      </c>
      <c r="B66" s="682"/>
      <c r="C66" s="697">
        <v>0.97299999999999998</v>
      </c>
      <c r="D66" s="682">
        <v>3000000</v>
      </c>
      <c r="E66" s="682"/>
      <c r="F66" s="638"/>
      <c r="G66" s="552">
        <v>2</v>
      </c>
      <c r="H66" s="548">
        <v>3000000</v>
      </c>
      <c r="I66" s="547">
        <f>(2*1+0)*3000000</f>
        <v>6000000</v>
      </c>
      <c r="J66" s="588"/>
    </row>
    <row r="67" spans="1:10" ht="13.5" customHeight="1" x14ac:dyDescent="0.2">
      <c r="A67" s="551" t="s">
        <v>868</v>
      </c>
      <c r="B67" s="698"/>
      <c r="C67" s="682">
        <v>80</v>
      </c>
      <c r="D67" s="682">
        <v>55360</v>
      </c>
      <c r="E67" s="682">
        <f>C67*D67</f>
        <v>4428800</v>
      </c>
      <c r="F67" s="638"/>
      <c r="G67" s="548">
        <v>80</v>
      </c>
      <c r="H67" s="548">
        <v>55360</v>
      </c>
      <c r="I67" s="548">
        <f>G67*H67</f>
        <v>4428800</v>
      </c>
      <c r="J67" s="588"/>
    </row>
    <row r="68" spans="1:10" ht="13.5" customHeight="1" x14ac:dyDescent="0.2">
      <c r="A68" s="551" t="s">
        <v>869</v>
      </c>
      <c r="B68" s="698"/>
      <c r="C68" s="682">
        <v>55</v>
      </c>
      <c r="D68" s="682">
        <v>145000</v>
      </c>
      <c r="E68" s="682">
        <f>C68*D68</f>
        <v>7975000</v>
      </c>
      <c r="F68" s="638"/>
      <c r="G68" s="548">
        <v>50</v>
      </c>
      <c r="H68" s="548">
        <v>145000</v>
      </c>
      <c r="I68" s="548">
        <f>G68*H68</f>
        <v>7250000</v>
      </c>
      <c r="J68" s="588"/>
    </row>
    <row r="69" spans="1:10" ht="13.5" customHeight="1" x14ac:dyDescent="0.2">
      <c r="A69" s="693" t="s">
        <v>870</v>
      </c>
      <c r="B69" s="699"/>
      <c r="C69" s="682">
        <v>23</v>
      </c>
      <c r="D69" s="682">
        <v>109000</v>
      </c>
      <c r="E69" s="682">
        <f>C69*D69</f>
        <v>2507000</v>
      </c>
      <c r="F69" s="638"/>
      <c r="G69" s="548">
        <v>23</v>
      </c>
      <c r="H69" s="548">
        <v>109000</v>
      </c>
      <c r="I69" s="548">
        <f>G69*H69</f>
        <v>2507000</v>
      </c>
      <c r="J69" s="588"/>
    </row>
    <row r="70" spans="1:10" ht="15" customHeight="1" x14ac:dyDescent="0.2">
      <c r="A70" s="679" t="s">
        <v>871</v>
      </c>
      <c r="B70" s="699"/>
      <c r="C70" s="682"/>
      <c r="D70" s="682"/>
      <c r="E70" s="682"/>
      <c r="F70" s="638"/>
      <c r="G70" s="687"/>
      <c r="H70" s="687"/>
      <c r="I70" s="638"/>
      <c r="J70" s="588"/>
    </row>
    <row r="71" spans="1:10" ht="13.5" customHeight="1" x14ac:dyDescent="0.2">
      <c r="A71" s="686" t="s">
        <v>872</v>
      </c>
      <c r="B71" s="686"/>
      <c r="C71" s="686"/>
      <c r="D71" s="638"/>
      <c r="E71" s="682"/>
      <c r="F71" s="638"/>
      <c r="G71" s="687"/>
      <c r="H71" s="687"/>
      <c r="I71" s="638"/>
      <c r="J71" s="588"/>
    </row>
    <row r="72" spans="1:10" ht="13.5" customHeight="1" x14ac:dyDescent="0.2">
      <c r="A72" s="551" t="s">
        <v>873</v>
      </c>
      <c r="B72" s="700"/>
      <c r="C72" s="682">
        <v>13</v>
      </c>
      <c r="D72" s="682">
        <v>494100</v>
      </c>
      <c r="E72" s="682">
        <f>C72*D72</f>
        <v>6423300</v>
      </c>
      <c r="F72" s="638"/>
      <c r="G72" s="548">
        <v>15</v>
      </c>
      <c r="H72" s="548">
        <v>494100</v>
      </c>
      <c r="I72" s="548">
        <f>G72*H72</f>
        <v>7411500</v>
      </c>
      <c r="J72" s="588"/>
    </row>
    <row r="73" spans="1:10" ht="13.5" customHeight="1" x14ac:dyDescent="0.2">
      <c r="A73" s="679" t="s">
        <v>874</v>
      </c>
      <c r="B73" s="698"/>
      <c r="C73" s="682"/>
      <c r="D73" s="682"/>
      <c r="E73" s="682"/>
      <c r="F73" s="638"/>
      <c r="G73" s="687"/>
      <c r="H73" s="687"/>
      <c r="I73" s="638"/>
      <c r="J73" s="588"/>
    </row>
    <row r="74" spans="1:10" ht="13.5" customHeight="1" x14ac:dyDescent="0.2">
      <c r="A74" s="679" t="s">
        <v>875</v>
      </c>
      <c r="B74" s="698"/>
      <c r="C74" s="682">
        <v>15</v>
      </c>
      <c r="D74" s="682">
        <v>2606040</v>
      </c>
      <c r="E74" s="682">
        <f>C74*D74</f>
        <v>39090600</v>
      </c>
      <c r="F74" s="638"/>
      <c r="G74" s="548">
        <v>15</v>
      </c>
      <c r="H74" s="548">
        <v>2606040</v>
      </c>
      <c r="I74" s="548">
        <f>G74*H74</f>
        <v>39090600</v>
      </c>
      <c r="J74" s="588"/>
    </row>
    <row r="75" spans="1:10" ht="24.95" customHeight="1" x14ac:dyDescent="0.2">
      <c r="A75" s="551" t="s">
        <v>876</v>
      </c>
      <c r="B75" s="698"/>
      <c r="C75" s="682"/>
      <c r="D75" s="682"/>
      <c r="E75" s="685">
        <v>37834000</v>
      </c>
      <c r="F75" s="638"/>
      <c r="G75" s="687"/>
      <c r="H75" s="687"/>
      <c r="I75" s="547">
        <v>31081000</v>
      </c>
      <c r="J75" s="592"/>
    </row>
    <row r="76" spans="1:10" ht="15" customHeight="1" x14ac:dyDescent="0.2">
      <c r="A76" s="551" t="s">
        <v>877</v>
      </c>
      <c r="B76" s="698"/>
      <c r="C76" s="682"/>
      <c r="D76" s="682"/>
      <c r="E76" s="682"/>
      <c r="F76" s="638"/>
      <c r="G76" s="687"/>
      <c r="H76" s="687"/>
      <c r="I76" s="638"/>
      <c r="J76" s="588"/>
    </row>
    <row r="77" spans="1:10" ht="34.5" customHeight="1" x14ac:dyDescent="0.2">
      <c r="A77" s="551" t="s">
        <v>878</v>
      </c>
      <c r="B77" s="682"/>
      <c r="C77" s="691">
        <v>12.33</v>
      </c>
      <c r="D77" s="682">
        <v>1632000</v>
      </c>
      <c r="E77" s="682">
        <f>C77*D77</f>
        <v>20122560</v>
      </c>
      <c r="F77" s="638"/>
      <c r="G77" s="549">
        <v>13.81</v>
      </c>
      <c r="H77" s="548">
        <v>1632000</v>
      </c>
      <c r="I77" s="548">
        <f>G77*H77</f>
        <v>22537920</v>
      </c>
      <c r="J77" s="593"/>
    </row>
    <row r="78" spans="1:10" ht="13.5" customHeight="1" x14ac:dyDescent="0.2">
      <c r="A78" s="551" t="s">
        <v>879</v>
      </c>
      <c r="B78" s="682"/>
      <c r="C78" s="682"/>
      <c r="D78" s="682"/>
      <c r="E78" s="685">
        <v>7038795</v>
      </c>
      <c r="F78" s="638"/>
      <c r="G78" s="687"/>
      <c r="H78" s="687"/>
      <c r="I78" s="547">
        <v>10352656</v>
      </c>
      <c r="J78" s="594"/>
    </row>
    <row r="79" spans="1:10" ht="13.5" customHeight="1" x14ac:dyDescent="0.2">
      <c r="A79" s="679" t="s">
        <v>880</v>
      </c>
      <c r="B79" s="682"/>
      <c r="C79" s="682"/>
      <c r="D79" s="682"/>
      <c r="E79" s="685"/>
      <c r="F79" s="638"/>
      <c r="G79" s="547">
        <v>280</v>
      </c>
      <c r="H79" s="547">
        <v>285</v>
      </c>
      <c r="I79" s="547">
        <f>G79*H79</f>
        <v>79800</v>
      </c>
      <c r="J79" s="588"/>
    </row>
    <row r="80" spans="1:10" ht="31.5" customHeight="1" x14ac:dyDescent="0.2">
      <c r="A80" s="551" t="s">
        <v>881</v>
      </c>
      <c r="B80" s="682"/>
      <c r="C80" s="682"/>
      <c r="D80" s="682"/>
      <c r="E80" s="685">
        <v>0</v>
      </c>
      <c r="F80" s="638"/>
      <c r="G80" s="687"/>
      <c r="H80" s="687"/>
      <c r="I80" s="547">
        <v>0</v>
      </c>
      <c r="J80" s="588"/>
    </row>
    <row r="81" spans="1:256" ht="28.5" customHeight="1" x14ac:dyDescent="0.2">
      <c r="A81" s="686"/>
      <c r="B81" s="682"/>
      <c r="C81" s="682"/>
      <c r="D81" s="682"/>
      <c r="E81" s="701"/>
      <c r="F81" s="638"/>
      <c r="G81" s="687"/>
      <c r="H81" s="687"/>
      <c r="I81" s="638"/>
      <c r="J81" s="588"/>
      <c r="K81" s="688"/>
    </row>
    <row r="82" spans="1:256" ht="13.5" customHeight="1" x14ac:dyDescent="0.2">
      <c r="A82" s="689" t="s">
        <v>882</v>
      </c>
      <c r="B82" s="682"/>
      <c r="C82" s="682"/>
      <c r="D82" s="682"/>
      <c r="E82" s="701"/>
      <c r="F82" s="638"/>
      <c r="G82" s="687"/>
      <c r="H82" s="687"/>
      <c r="I82" s="638"/>
      <c r="J82" s="588"/>
    </row>
    <row r="83" spans="1:256" ht="13.5" customHeight="1" x14ac:dyDescent="0.2">
      <c r="A83" s="551" t="s">
        <v>883</v>
      </c>
      <c r="B83" s="682"/>
      <c r="C83" s="682"/>
      <c r="D83" s="682"/>
      <c r="E83" s="701"/>
      <c r="F83" s="638"/>
      <c r="G83" s="687"/>
      <c r="H83" s="687"/>
      <c r="I83" s="638"/>
      <c r="J83" s="588"/>
    </row>
    <row r="84" spans="1:256" ht="13.5" customHeight="1" x14ac:dyDescent="0.2">
      <c r="A84" s="551" t="s">
        <v>884</v>
      </c>
      <c r="B84" s="682"/>
      <c r="C84" s="682">
        <v>4865</v>
      </c>
      <c r="D84" s="682">
        <v>1140</v>
      </c>
      <c r="E84" s="702"/>
      <c r="F84" s="638"/>
      <c r="G84" s="548">
        <v>4837</v>
      </c>
      <c r="H84" s="548">
        <v>1140</v>
      </c>
      <c r="I84" s="287">
        <f>G84*H84</f>
        <v>5514180</v>
      </c>
      <c r="J84" s="588"/>
    </row>
    <row r="85" spans="1:256" ht="30" customHeight="1" x14ac:dyDescent="0.2">
      <c r="A85" s="679" t="s">
        <v>885</v>
      </c>
      <c r="B85" s="682"/>
      <c r="C85" s="682"/>
      <c r="D85" s="682"/>
      <c r="E85" s="702"/>
      <c r="F85" s="638"/>
      <c r="G85" s="682"/>
      <c r="H85" s="682"/>
      <c r="I85" s="287">
        <v>0</v>
      </c>
      <c r="J85" s="588"/>
    </row>
    <row r="86" spans="1:256" ht="13.5" customHeight="1" x14ac:dyDescent="0.2">
      <c r="A86" s="693"/>
      <c r="B86" s="698"/>
      <c r="C86" s="682"/>
      <c r="D86" s="696"/>
      <c r="E86" s="682"/>
      <c r="F86" s="638"/>
      <c r="G86" s="687"/>
      <c r="H86" s="687"/>
      <c r="I86" s="638"/>
      <c r="J86" s="588"/>
      <c r="K86" s="688"/>
    </row>
    <row r="87" spans="1:256" ht="25.5" customHeight="1" x14ac:dyDescent="0.2">
      <c r="A87" s="703" t="s">
        <v>886</v>
      </c>
      <c r="B87" s="698"/>
      <c r="C87" s="704"/>
      <c r="D87" s="682"/>
      <c r="E87" s="685"/>
      <c r="F87" s="698"/>
      <c r="G87" s="687"/>
      <c r="H87" s="687"/>
      <c r="I87" s="638"/>
      <c r="J87" s="588"/>
      <c r="K87" s="688"/>
      <c r="L87" s="688"/>
      <c r="N87" s="286"/>
    </row>
    <row r="88" spans="1:256" ht="13.5" customHeight="1" thickBot="1" x14ac:dyDescent="0.25">
      <c r="A88" s="705"/>
      <c r="B88" s="706"/>
      <c r="C88" s="707"/>
      <c r="D88" s="708"/>
      <c r="E88" s="707"/>
      <c r="F88" s="709"/>
      <c r="G88" s="710"/>
      <c r="H88" s="710"/>
      <c r="I88" s="709"/>
      <c r="J88" s="588"/>
    </row>
    <row r="89" spans="1:256" ht="11.25" customHeight="1" thickBot="1" x14ac:dyDescent="0.25">
      <c r="A89" s="711" t="s">
        <v>887</v>
      </c>
      <c r="B89" s="712"/>
      <c r="C89" s="712"/>
      <c r="D89" s="713"/>
      <c r="E89" s="714">
        <f>E12+E14+E17+E20+E23+E28+E31+E34+E39+E40+E41+E42+E44+E49+E51+E54+E58+E59+E63+E64+E67+E68+E69+E72+E74+E75+E77+E78</f>
        <v>987821085</v>
      </c>
      <c r="F89" s="1274">
        <f>I12+I16+I19+I22+I25+I28+I31+I34+I35+I39+I40+I41+I42+I44+I49+I50+I51+I52+I54+I58+I59+I66+I67+I68+I69+I72+I74+I75+I77+I78+I79+I80+I84+I45+I46+I43+I55</f>
        <v>992732374</v>
      </c>
      <c r="G89" s="1274"/>
      <c r="H89" s="1274"/>
      <c r="I89" s="1275"/>
      <c r="J89" s="7"/>
      <c r="K89" s="71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1"/>
      <c r="B91" s="191"/>
      <c r="C91" s="191"/>
      <c r="D91" s="191"/>
      <c r="E91" s="19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5" customWidth="1"/>
    <col min="6" max="6" width="15.140625" style="3" customWidth="1"/>
    <col min="7" max="7" width="0" style="245" hidden="1" customWidth="1"/>
    <col min="8" max="8" width="0" style="297" hidden="1" customWidth="1"/>
    <col min="9" max="9" width="10.28515625" style="245" hidden="1" customWidth="1"/>
    <col min="10" max="16384" width="9.140625" style="4"/>
  </cols>
  <sheetData>
    <row r="1" spans="1:10" ht="27.75" customHeight="1" x14ac:dyDescent="0.2">
      <c r="A1" s="1295" t="s">
        <v>1355</v>
      </c>
      <c r="B1" s="1295"/>
      <c r="C1" s="1295"/>
      <c r="D1" s="1295"/>
      <c r="E1" s="1295"/>
      <c r="F1" s="1295"/>
      <c r="G1" s="1295"/>
      <c r="H1" s="1295"/>
      <c r="I1" s="1295"/>
    </row>
    <row r="3" spans="1:10" ht="15" customHeight="1" x14ac:dyDescent="0.2">
      <c r="B3" s="1298" t="s">
        <v>77</v>
      </c>
      <c r="C3" s="1298"/>
      <c r="D3" s="1298"/>
      <c r="E3" s="1298"/>
      <c r="F3" s="1298"/>
      <c r="G3" s="1299"/>
      <c r="H3" s="1299"/>
      <c r="I3" s="1299"/>
    </row>
    <row r="4" spans="1:10" ht="15" customHeight="1" x14ac:dyDescent="0.2">
      <c r="B4" s="1302" t="s">
        <v>1154</v>
      </c>
      <c r="C4" s="1302"/>
      <c r="D4" s="1302"/>
      <c r="E4" s="1302"/>
      <c r="F4" s="1302"/>
      <c r="G4" s="4"/>
      <c r="H4" s="4"/>
      <c r="I4" s="4"/>
    </row>
    <row r="5" spans="1:10" ht="15" customHeight="1" x14ac:dyDescent="0.2">
      <c r="B5" s="1298"/>
      <c r="C5" s="1298"/>
      <c r="D5" s="1298"/>
      <c r="E5" s="1298"/>
    </row>
    <row r="6" spans="1:10" ht="15" customHeight="1" x14ac:dyDescent="0.2">
      <c r="B6" s="1300" t="s">
        <v>303</v>
      </c>
      <c r="C6" s="1301"/>
      <c r="D6" s="1301"/>
      <c r="E6" s="1301"/>
      <c r="F6" s="1301"/>
      <c r="G6" s="1301"/>
      <c r="H6" s="1301"/>
      <c r="I6" s="1301"/>
    </row>
    <row r="7" spans="1:10" ht="48.75" customHeight="1" x14ac:dyDescent="0.2">
      <c r="B7" s="229" t="s">
        <v>85</v>
      </c>
      <c r="C7" s="155" t="s">
        <v>1156</v>
      </c>
      <c r="D7" s="1297" t="s">
        <v>1155</v>
      </c>
      <c r="E7" s="1297"/>
      <c r="F7" s="1297"/>
      <c r="G7" s="1297" t="s">
        <v>564</v>
      </c>
      <c r="H7" s="1297"/>
      <c r="I7" s="1297"/>
    </row>
    <row r="8" spans="1:10" ht="35.450000000000003" customHeight="1" x14ac:dyDescent="0.2">
      <c r="B8" s="230"/>
      <c r="C8" s="31"/>
      <c r="D8" s="156" t="s">
        <v>62</v>
      </c>
      <c r="E8" s="231" t="s">
        <v>63</v>
      </c>
      <c r="F8" s="231" t="s">
        <v>1058</v>
      </c>
      <c r="G8" s="4"/>
      <c r="H8" s="4"/>
      <c r="I8" s="4"/>
    </row>
    <row r="9" spans="1:10" ht="15.95" customHeight="1" x14ac:dyDescent="0.2">
      <c r="B9" s="232" t="s">
        <v>576</v>
      </c>
      <c r="C9" s="233"/>
      <c r="D9" s="234"/>
      <c r="E9" s="235"/>
      <c r="F9" s="471"/>
      <c r="G9" s="4"/>
      <c r="H9" s="4"/>
      <c r="I9" s="4"/>
      <c r="J9" s="607"/>
    </row>
    <row r="10" spans="1:10" ht="36" customHeight="1" x14ac:dyDescent="0.2">
      <c r="B10" s="1076" t="s">
        <v>577</v>
      </c>
      <c r="C10" s="1077" t="s">
        <v>561</v>
      </c>
      <c r="D10" s="1078">
        <v>125390</v>
      </c>
      <c r="E10" s="1079">
        <v>98610</v>
      </c>
      <c r="F10" s="1080">
        <f>SUM(D10:E10)</f>
        <v>224000</v>
      </c>
      <c r="G10" s="4"/>
      <c r="H10" s="4"/>
      <c r="I10" s="4"/>
      <c r="J10" s="607"/>
    </row>
    <row r="11" spans="1:10" ht="23.25" customHeight="1" x14ac:dyDescent="0.2">
      <c r="B11" s="1076" t="s">
        <v>578</v>
      </c>
      <c r="C11" s="1076" t="s">
        <v>1157</v>
      </c>
      <c r="D11" s="1081">
        <v>82034</v>
      </c>
      <c r="E11" s="1079">
        <v>477966</v>
      </c>
      <c r="F11" s="1080">
        <f>SUM(D11:E11)</f>
        <v>560000</v>
      </c>
      <c r="G11" s="4"/>
      <c r="H11" s="4"/>
      <c r="I11" s="4"/>
      <c r="J11" s="639"/>
    </row>
    <row r="12" spans="1:10" ht="22.5" customHeight="1" x14ac:dyDescent="0.2">
      <c r="B12" s="1076" t="s">
        <v>579</v>
      </c>
      <c r="C12" s="1082" t="s">
        <v>580</v>
      </c>
      <c r="D12" s="1081">
        <v>138919</v>
      </c>
      <c r="E12" s="1079">
        <v>286081</v>
      </c>
      <c r="F12" s="1080">
        <f>SUM(D12:E12)</f>
        <v>425000</v>
      </c>
      <c r="G12" s="4"/>
      <c r="H12" s="4"/>
      <c r="I12" s="4"/>
      <c r="J12" s="607"/>
    </row>
    <row r="13" spans="1:10" ht="23.25" customHeight="1" x14ac:dyDescent="0.2">
      <c r="B13" s="1083" t="s">
        <v>581</v>
      </c>
      <c r="C13" s="1082"/>
      <c r="D13" s="1084">
        <f>SUM(D10:D12)</f>
        <v>346343</v>
      </c>
      <c r="E13" s="1085">
        <f>SUM(E10:E12)</f>
        <v>862657</v>
      </c>
      <c r="F13" s="1086">
        <f>SUM(D13:E13)</f>
        <v>1209000</v>
      </c>
      <c r="G13" s="4"/>
      <c r="H13" s="4"/>
      <c r="I13" s="4"/>
      <c r="J13" s="607"/>
    </row>
    <row r="14" spans="1:10" ht="15.95" customHeight="1" x14ac:dyDescent="0.2">
      <c r="C14" s="237"/>
      <c r="D14" s="333"/>
      <c r="E14" s="265"/>
      <c r="F14" s="472"/>
      <c r="G14" s="4"/>
      <c r="H14" s="4"/>
      <c r="I14" s="4"/>
      <c r="J14" s="607"/>
    </row>
    <row r="15" spans="1:10" s="309" customFormat="1" ht="17.25" customHeight="1" x14ac:dyDescent="0.2">
      <c r="B15" s="573" t="s">
        <v>582</v>
      </c>
      <c r="C15" s="574"/>
      <c r="D15" s="880">
        <v>4500</v>
      </c>
      <c r="E15" s="267"/>
      <c r="F15" s="881">
        <f>D15+E15</f>
        <v>4500</v>
      </c>
      <c r="J15" s="608"/>
    </row>
    <row r="16" spans="1:10" ht="15.95" customHeight="1" x14ac:dyDescent="0.2">
      <c r="B16" s="233"/>
      <c r="C16" s="239"/>
      <c r="D16" s="333"/>
      <c r="E16" s="265"/>
      <c r="F16" s="472"/>
      <c r="G16" s="4"/>
      <c r="H16" s="4"/>
      <c r="I16" s="4"/>
      <c r="J16" s="607"/>
    </row>
    <row r="17" spans="1:10" ht="15.95" customHeight="1" x14ac:dyDescent="0.2">
      <c r="B17" s="1296" t="s">
        <v>583</v>
      </c>
      <c r="C17" s="1296"/>
      <c r="D17" s="333"/>
      <c r="E17" s="265"/>
      <c r="F17" s="472"/>
      <c r="G17" s="4"/>
      <c r="H17" s="4"/>
      <c r="I17" s="4"/>
      <c r="J17" s="607"/>
    </row>
    <row r="18" spans="1:10" ht="15.95" customHeight="1" x14ac:dyDescent="0.2">
      <c r="C18" s="237"/>
      <c r="D18" s="333"/>
      <c r="E18" s="265"/>
      <c r="F18" s="472"/>
      <c r="G18" s="4"/>
      <c r="H18" s="4"/>
      <c r="I18" s="4"/>
      <c r="J18" s="607"/>
    </row>
    <row r="19" spans="1:10" ht="78.75" customHeight="1" x14ac:dyDescent="0.2">
      <c r="B19" s="241" t="s">
        <v>584</v>
      </c>
      <c r="C19" s="242" t="s">
        <v>585</v>
      </c>
      <c r="D19" s="333">
        <v>17000</v>
      </c>
      <c r="E19" s="265"/>
      <c r="F19" s="472">
        <f t="shared" ref="F19:F29" si="0">SUM(D19:E19)</f>
        <v>17000</v>
      </c>
      <c r="G19" s="4"/>
      <c r="H19" s="4"/>
      <c r="I19" s="4"/>
      <c r="J19" s="607"/>
    </row>
    <row r="20" spans="1:10" ht="15.95" customHeight="1" x14ac:dyDescent="0.2">
      <c r="A20" s="4"/>
      <c r="B20" s="233" t="s">
        <v>586</v>
      </c>
      <c r="C20" s="239"/>
      <c r="D20" s="880">
        <f>SUM(D18:D19)</f>
        <v>17000</v>
      </c>
      <c r="E20" s="267"/>
      <c r="F20" s="881">
        <f t="shared" si="0"/>
        <v>17000</v>
      </c>
      <c r="G20" s="4"/>
      <c r="H20" s="4"/>
      <c r="I20" s="4"/>
      <c r="J20" s="607"/>
    </row>
    <row r="21" spans="1:10" ht="15.95" customHeight="1" x14ac:dyDescent="0.2">
      <c r="A21" s="4"/>
      <c r="B21" s="233"/>
      <c r="C21" s="239"/>
      <c r="D21" s="333"/>
      <c r="E21" s="265"/>
      <c r="F21" s="472"/>
      <c r="G21" s="4"/>
      <c r="H21" s="4"/>
      <c r="I21" s="4"/>
      <c r="J21" s="607"/>
    </row>
    <row r="22" spans="1:10" ht="15.95" customHeight="1" x14ac:dyDescent="0.2">
      <c r="A22" s="4"/>
      <c r="B22" s="232" t="s">
        <v>587</v>
      </c>
      <c r="C22" s="239"/>
      <c r="D22" s="333"/>
      <c r="E22" s="265"/>
      <c r="F22" s="472"/>
      <c r="G22" s="4"/>
      <c r="H22" s="4"/>
      <c r="I22" s="4"/>
      <c r="J22" s="607"/>
    </row>
    <row r="23" spans="1:10" ht="15.95" customHeight="1" x14ac:dyDescent="0.2">
      <c r="A23" s="4"/>
      <c r="B23" s="3" t="s">
        <v>588</v>
      </c>
      <c r="C23" s="239"/>
      <c r="D23" s="333"/>
      <c r="E23" s="265"/>
      <c r="F23" s="472">
        <f t="shared" si="0"/>
        <v>0</v>
      </c>
      <c r="G23" s="4"/>
      <c r="H23" s="4"/>
      <c r="I23" s="4"/>
      <c r="J23" s="607"/>
    </row>
    <row r="24" spans="1:10" s="309" customFormat="1" ht="15.95" customHeight="1" x14ac:dyDescent="0.2">
      <c r="B24" s="4" t="s">
        <v>106</v>
      </c>
      <c r="C24" s="332"/>
      <c r="D24" s="333">
        <v>820</v>
      </c>
      <c r="E24" s="265"/>
      <c r="F24" s="472">
        <f t="shared" si="0"/>
        <v>820</v>
      </c>
      <c r="G24" s="4"/>
      <c r="J24" s="608"/>
    </row>
    <row r="25" spans="1:10" s="309" customFormat="1" ht="15.95" customHeight="1" x14ac:dyDescent="0.2">
      <c r="B25" s="4" t="s">
        <v>548</v>
      </c>
      <c r="C25" s="332"/>
      <c r="D25" s="333">
        <v>9000</v>
      </c>
      <c r="E25" s="265"/>
      <c r="F25" s="472">
        <f>SUM(D25:E25)</f>
        <v>9000</v>
      </c>
      <c r="G25" s="4"/>
      <c r="J25" s="608"/>
    </row>
    <row r="26" spans="1:10" ht="15.95" customHeight="1" x14ac:dyDescent="0.2">
      <c r="A26" s="4"/>
      <c r="B26" s="3" t="s">
        <v>589</v>
      </c>
      <c r="C26" s="239"/>
      <c r="D26" s="333">
        <v>84</v>
      </c>
      <c r="E26" s="265"/>
      <c r="F26" s="472">
        <f t="shared" si="0"/>
        <v>84</v>
      </c>
      <c r="G26" s="4"/>
      <c r="H26" s="4"/>
      <c r="I26" s="4"/>
      <c r="J26" s="607"/>
    </row>
    <row r="27" spans="1:10" ht="15.95" customHeight="1" x14ac:dyDescent="0.2">
      <c r="A27" s="4"/>
      <c r="B27" s="3" t="s">
        <v>590</v>
      </c>
      <c r="C27" s="239"/>
      <c r="D27" s="333"/>
      <c r="E27" s="265"/>
      <c r="F27" s="472">
        <f t="shared" si="0"/>
        <v>0</v>
      </c>
      <c r="G27" s="4"/>
      <c r="H27" s="4"/>
      <c r="I27" s="4"/>
      <c r="J27" s="607"/>
    </row>
    <row r="28" spans="1:10" ht="15.95" customHeight="1" x14ac:dyDescent="0.2">
      <c r="A28" s="4"/>
      <c r="B28" s="233" t="s">
        <v>591</v>
      </c>
      <c r="C28" s="239"/>
      <c r="D28" s="880">
        <f>SUM(D23:D27)</f>
        <v>9904</v>
      </c>
      <c r="E28" s="267">
        <f>SUM(E23:E27)</f>
        <v>0</v>
      </c>
      <c r="F28" s="881">
        <f t="shared" si="0"/>
        <v>9904</v>
      </c>
      <c r="G28" s="4"/>
      <c r="H28" s="4"/>
      <c r="I28" s="4"/>
      <c r="J28" s="607"/>
    </row>
    <row r="29" spans="1:10" ht="15.95" customHeight="1" x14ac:dyDescent="0.2">
      <c r="A29" s="4"/>
      <c r="B29" s="233"/>
      <c r="C29" s="239"/>
      <c r="D29" s="333"/>
      <c r="E29" s="265"/>
      <c r="F29" s="882">
        <f t="shared" si="0"/>
        <v>0</v>
      </c>
      <c r="G29" s="4"/>
      <c r="H29" s="4"/>
      <c r="I29" s="4"/>
      <c r="J29" s="607"/>
    </row>
    <row r="30" spans="1:10" ht="15.95" customHeight="1" x14ac:dyDescent="0.2">
      <c r="A30" s="4"/>
      <c r="B30" s="243" t="s">
        <v>592</v>
      </c>
      <c r="C30" s="244"/>
      <c r="D30" s="883">
        <f>D13+D15+D20+D28</f>
        <v>377747</v>
      </c>
      <c r="E30" s="883">
        <f>E13+E15+E20+E28</f>
        <v>862657</v>
      </c>
      <c r="F30" s="883">
        <f>SUM(D30:E30)</f>
        <v>1240404</v>
      </c>
      <c r="G30" s="4"/>
      <c r="H30" s="4"/>
      <c r="I30" s="4"/>
    </row>
    <row r="31" spans="1:10" ht="15.95" customHeight="1" x14ac:dyDescent="0.2">
      <c r="A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92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4" customWidth="1"/>
    <col min="2" max="2" width="57.5703125" style="196" customWidth="1"/>
    <col min="3" max="3" width="8.7109375" style="158" customWidth="1"/>
    <col min="4" max="4" width="9.5703125" style="158" customWidth="1"/>
    <col min="5" max="5" width="8.28515625" style="158" customWidth="1"/>
    <col min="6" max="16384" width="9.140625" style="8"/>
  </cols>
  <sheetData>
    <row r="1" spans="1:8" x14ac:dyDescent="0.2">
      <c r="B1" s="1303" t="s">
        <v>1356</v>
      </c>
      <c r="C1" s="1303"/>
      <c r="D1" s="1303"/>
      <c r="E1" s="1303"/>
    </row>
    <row r="2" spans="1:8" x14ac:dyDescent="0.2">
      <c r="B2" s="197"/>
    </row>
    <row r="3" spans="1:8" x14ac:dyDescent="0.2">
      <c r="A3" s="1307" t="s">
        <v>54</v>
      </c>
      <c r="B3" s="1307"/>
      <c r="C3" s="1307"/>
      <c r="D3" s="1307"/>
      <c r="E3" s="1307"/>
    </row>
    <row r="4" spans="1:8" ht="11.25" customHeight="1" x14ac:dyDescent="0.2">
      <c r="A4" s="1307" t="s">
        <v>1158</v>
      </c>
      <c r="B4" s="1307"/>
      <c r="C4" s="1307"/>
      <c r="D4" s="1307"/>
      <c r="E4" s="1307"/>
    </row>
    <row r="5" spans="1:8" x14ac:dyDescent="0.2">
      <c r="A5" s="1307" t="s">
        <v>1122</v>
      </c>
      <c r="B5" s="1307"/>
      <c r="C5" s="1307"/>
      <c r="D5" s="1307"/>
      <c r="E5" s="1307"/>
    </row>
    <row r="6" spans="1:8" ht="12.75" x14ac:dyDescent="0.2">
      <c r="B6" s="1308" t="s">
        <v>303</v>
      </c>
      <c r="C6" s="1309"/>
      <c r="D6" s="1309"/>
      <c r="E6" s="1309"/>
    </row>
    <row r="7" spans="1:8" ht="24" customHeight="1" x14ac:dyDescent="0.2">
      <c r="A7" s="1310" t="s">
        <v>76</v>
      </c>
      <c r="B7" s="1304" t="s">
        <v>85</v>
      </c>
      <c r="C7" s="1306" t="s">
        <v>1147</v>
      </c>
      <c r="D7" s="1306"/>
      <c r="E7" s="1306"/>
    </row>
    <row r="8" spans="1:8" ht="21" x14ac:dyDescent="0.2">
      <c r="A8" s="1310"/>
      <c r="B8" s="1305"/>
      <c r="C8" s="849" t="s">
        <v>62</v>
      </c>
      <c r="D8" s="849" t="s">
        <v>63</v>
      </c>
      <c r="E8" s="849" t="s">
        <v>64</v>
      </c>
      <c r="F8" s="595"/>
    </row>
    <row r="9" spans="1:8" x14ac:dyDescent="0.2">
      <c r="A9" s="777" t="s">
        <v>480</v>
      </c>
      <c r="B9" s="852" t="s">
        <v>86</v>
      </c>
      <c r="C9" s="169"/>
      <c r="D9" s="169"/>
      <c r="E9" s="850"/>
      <c r="F9" s="847"/>
    </row>
    <row r="10" spans="1:8" ht="12" thickBot="1" x14ac:dyDescent="0.25">
      <c r="A10" s="777" t="s">
        <v>488</v>
      </c>
      <c r="B10" s="198" t="s">
        <v>87</v>
      </c>
      <c r="C10" s="290"/>
      <c r="D10" s="169"/>
      <c r="E10" s="443">
        <f>SUM(C10:D10)</f>
        <v>0</v>
      </c>
      <c r="F10" s="847"/>
    </row>
    <row r="11" spans="1:8" s="9" customFormat="1" ht="12" thickBot="1" x14ac:dyDescent="0.25">
      <c r="A11" s="923" t="s">
        <v>489</v>
      </c>
      <c r="B11" s="1040" t="s">
        <v>164</v>
      </c>
      <c r="C11" s="1041">
        <f>C12+C13+C14+C15</f>
        <v>787779</v>
      </c>
      <c r="D11" s="1041">
        <f t="shared" ref="D11:E11" si="0">D12+D13+D14+D15</f>
        <v>106500</v>
      </c>
      <c r="E11" s="559">
        <f t="shared" si="0"/>
        <v>894279</v>
      </c>
      <c r="F11" s="769"/>
      <c r="G11" s="769"/>
    </row>
    <row r="12" spans="1:8" s="9" customFormat="1" x14ac:dyDescent="0.2">
      <c r="A12" s="777" t="s">
        <v>490</v>
      </c>
      <c r="B12" s="200" t="s">
        <v>161</v>
      </c>
      <c r="C12" s="733">
        <v>604730</v>
      </c>
      <c r="D12" s="733"/>
      <c r="E12" s="851">
        <f t="shared" ref="E12:E15" si="1">C12+D12</f>
        <v>604730</v>
      </c>
      <c r="F12" s="769"/>
    </row>
    <row r="13" spans="1:8" s="9" customFormat="1" x14ac:dyDescent="0.2">
      <c r="A13" s="777" t="s">
        <v>491</v>
      </c>
      <c r="B13" s="200" t="s">
        <v>162</v>
      </c>
      <c r="C13" s="733">
        <v>85256</v>
      </c>
      <c r="D13" s="733"/>
      <c r="E13" s="851">
        <f t="shared" si="1"/>
        <v>85256</v>
      </c>
      <c r="F13" s="769"/>
    </row>
    <row r="14" spans="1:8" s="9" customFormat="1" x14ac:dyDescent="0.2">
      <c r="A14" s="777" t="s">
        <v>492</v>
      </c>
      <c r="B14" s="200" t="s">
        <v>163</v>
      </c>
      <c r="C14" s="733">
        <v>89764</v>
      </c>
      <c r="D14" s="733">
        <v>106500</v>
      </c>
      <c r="E14" s="851">
        <f t="shared" si="1"/>
        <v>196264</v>
      </c>
      <c r="F14" s="769"/>
      <c r="G14" s="769"/>
    </row>
    <row r="15" spans="1:8" s="9" customFormat="1" x14ac:dyDescent="0.2">
      <c r="A15" s="777" t="s">
        <v>493</v>
      </c>
      <c r="B15" s="200" t="s">
        <v>180</v>
      </c>
      <c r="C15" s="169">
        <v>8029</v>
      </c>
      <c r="D15" s="169"/>
      <c r="E15" s="443">
        <f t="shared" si="1"/>
        <v>8029</v>
      </c>
      <c r="F15" s="769"/>
    </row>
    <row r="16" spans="1:8" s="9" customFormat="1" ht="12" thickBot="1" x14ac:dyDescent="0.25">
      <c r="A16" s="1203" t="s">
        <v>494</v>
      </c>
      <c r="B16" s="1043" t="s">
        <v>165</v>
      </c>
      <c r="C16" s="1044">
        <v>0</v>
      </c>
      <c r="D16" s="1044"/>
      <c r="E16" s="1046">
        <v>0</v>
      </c>
      <c r="F16" s="769"/>
      <c r="H16" s="769"/>
    </row>
    <row r="17" spans="1:7" s="9" customFormat="1" ht="12" thickBot="1" x14ac:dyDescent="0.25">
      <c r="A17" s="1204" t="s">
        <v>495</v>
      </c>
      <c r="B17" s="1040" t="s">
        <v>188</v>
      </c>
      <c r="C17" s="927">
        <v>651</v>
      </c>
      <c r="D17" s="927"/>
      <c r="E17" s="928">
        <f>C17+D17</f>
        <v>651</v>
      </c>
      <c r="F17" s="1045"/>
    </row>
    <row r="18" spans="1:7" s="9" customFormat="1" ht="12" thickBot="1" x14ac:dyDescent="0.25">
      <c r="A18" s="777" t="s">
        <v>531</v>
      </c>
      <c r="B18" s="1040" t="s">
        <v>283</v>
      </c>
      <c r="C18" s="927">
        <v>152</v>
      </c>
      <c r="D18" s="927">
        <v>1496</v>
      </c>
      <c r="E18" s="928">
        <f>C18+D18</f>
        <v>1648</v>
      </c>
      <c r="F18" s="769"/>
      <c r="G18" s="769"/>
    </row>
    <row r="19" spans="1:7" x14ac:dyDescent="0.2">
      <c r="A19" s="1205" t="s">
        <v>532</v>
      </c>
      <c r="B19" s="199"/>
      <c r="C19" s="169"/>
      <c r="D19" s="169"/>
      <c r="E19" s="443"/>
      <c r="F19" s="847"/>
    </row>
    <row r="20" spans="1:7" x14ac:dyDescent="0.2">
      <c r="A20" s="777" t="s">
        <v>533</v>
      </c>
      <c r="B20" s="198" t="s">
        <v>17</v>
      </c>
      <c r="C20" s="173"/>
      <c r="D20" s="173"/>
      <c r="E20" s="446"/>
      <c r="F20" s="847"/>
    </row>
    <row r="21" spans="1:7" x14ac:dyDescent="0.2">
      <c r="A21" s="777" t="s">
        <v>534</v>
      </c>
      <c r="B21" s="1202" t="s">
        <v>965</v>
      </c>
      <c r="C21" s="358">
        <f>C22</f>
        <v>0</v>
      </c>
      <c r="D21" s="358">
        <f t="shared" ref="D21" si="2">D22</f>
        <v>275</v>
      </c>
      <c r="E21" s="358">
        <f t="shared" ref="E21" si="3">E22</f>
        <v>275</v>
      </c>
      <c r="F21" s="595"/>
    </row>
    <row r="22" spans="1:7" x14ac:dyDescent="0.2">
      <c r="A22" s="777" t="s">
        <v>535</v>
      </c>
      <c r="B22" s="180" t="s">
        <v>1275</v>
      </c>
      <c r="C22" s="290"/>
      <c r="D22" s="290">
        <v>275</v>
      </c>
      <c r="E22" s="467">
        <f>SUM(C22:D22)</f>
        <v>275</v>
      </c>
      <c r="F22" s="847"/>
    </row>
    <row r="23" spans="1:7" x14ac:dyDescent="0.2">
      <c r="A23" s="777" t="s">
        <v>536</v>
      </c>
      <c r="B23" s="1202" t="s">
        <v>1276</v>
      </c>
      <c r="C23" s="358">
        <f>C24</f>
        <v>350</v>
      </c>
      <c r="D23" s="358">
        <f t="shared" ref="D23" si="4">D24</f>
        <v>0</v>
      </c>
      <c r="E23" s="358">
        <f t="shared" ref="E23" si="5">E24</f>
        <v>350</v>
      </c>
      <c r="F23" s="595"/>
    </row>
    <row r="24" spans="1:7" x14ac:dyDescent="0.2">
      <c r="A24" s="777" t="s">
        <v>537</v>
      </c>
      <c r="B24" s="180" t="s">
        <v>158</v>
      </c>
      <c r="C24" s="290">
        <v>350</v>
      </c>
      <c r="D24" s="290"/>
      <c r="E24" s="467">
        <f>SUM(C24:D24)</f>
        <v>350</v>
      </c>
      <c r="F24" s="847"/>
    </row>
    <row r="25" spans="1:7" x14ac:dyDescent="0.2">
      <c r="A25" s="777" t="s">
        <v>538</v>
      </c>
      <c r="B25" s="200" t="s">
        <v>1281</v>
      </c>
      <c r="C25" s="173">
        <f>SUM(C26:C31)</f>
        <v>1849</v>
      </c>
      <c r="D25" s="173">
        <f>SUM(D26:D32)</f>
        <v>8510</v>
      </c>
      <c r="E25" s="173">
        <f>SUM(E26:E32)</f>
        <v>10359</v>
      </c>
      <c r="F25" s="595"/>
      <c r="G25" s="847"/>
    </row>
    <row r="26" spans="1:7" x14ac:dyDescent="0.2">
      <c r="A26" s="777" t="s">
        <v>540</v>
      </c>
      <c r="B26" s="199" t="s">
        <v>1165</v>
      </c>
      <c r="C26" s="169">
        <v>0</v>
      </c>
      <c r="D26" s="169"/>
      <c r="E26" s="443">
        <f>C26+D26</f>
        <v>0</v>
      </c>
      <c r="F26" s="847"/>
    </row>
    <row r="27" spans="1:7" x14ac:dyDescent="0.2">
      <c r="A27" s="777" t="s">
        <v>541</v>
      </c>
      <c r="B27" s="199" t="s">
        <v>1164</v>
      </c>
      <c r="C27" s="290">
        <v>1849</v>
      </c>
      <c r="D27" s="290"/>
      <c r="E27" s="467">
        <f>C27+D27</f>
        <v>1849</v>
      </c>
      <c r="F27" s="847"/>
    </row>
    <row r="28" spans="1:7" x14ac:dyDescent="0.2">
      <c r="A28" s="777" t="s">
        <v>542</v>
      </c>
      <c r="B28" s="199" t="s">
        <v>550</v>
      </c>
      <c r="C28" s="169">
        <v>0</v>
      </c>
      <c r="D28" s="169"/>
      <c r="E28" s="443">
        <f t="shared" ref="E28:E31" si="6">SUM(C28:D28)</f>
        <v>0</v>
      </c>
      <c r="F28" s="847"/>
    </row>
    <row r="29" spans="1:7" x14ac:dyDescent="0.2">
      <c r="A29" s="777" t="s">
        <v>543</v>
      </c>
      <c r="B29" s="199" t="s">
        <v>158</v>
      </c>
      <c r="C29" s="290">
        <v>0</v>
      </c>
      <c r="D29" s="290"/>
      <c r="E29" s="467">
        <f t="shared" si="6"/>
        <v>0</v>
      </c>
      <c r="F29" s="847"/>
    </row>
    <row r="30" spans="1:7" s="1177" customFormat="1" ht="22.5" x14ac:dyDescent="0.2">
      <c r="A30" s="777" t="s">
        <v>544</v>
      </c>
      <c r="B30" s="954" t="s">
        <v>1209</v>
      </c>
      <c r="C30" s="1178"/>
      <c r="D30" s="1178">
        <v>8510</v>
      </c>
      <c r="E30" s="1179">
        <f t="shared" si="6"/>
        <v>8510</v>
      </c>
      <c r="F30" s="1176"/>
    </row>
    <row r="31" spans="1:7" x14ac:dyDescent="0.2">
      <c r="A31" s="777" t="s">
        <v>545</v>
      </c>
      <c r="B31" s="199" t="s">
        <v>1103</v>
      </c>
      <c r="C31" s="169"/>
      <c r="D31" s="169">
        <v>0</v>
      </c>
      <c r="E31" s="443">
        <f t="shared" si="6"/>
        <v>0</v>
      </c>
      <c r="F31" s="847"/>
    </row>
    <row r="32" spans="1:7" ht="23.25" customHeight="1" x14ac:dyDescent="0.2">
      <c r="A32" s="777" t="s">
        <v>546</v>
      </c>
      <c r="B32" s="954" t="s">
        <v>1251</v>
      </c>
      <c r="C32" s="169"/>
      <c r="D32" s="169">
        <v>0</v>
      </c>
      <c r="E32" s="443">
        <f>D32+C32</f>
        <v>0</v>
      </c>
      <c r="F32" s="847"/>
    </row>
    <row r="33" spans="1:7" ht="10.5" customHeight="1" x14ac:dyDescent="0.2">
      <c r="A33" s="777" t="s">
        <v>547</v>
      </c>
      <c r="B33" s="1202" t="s">
        <v>1277</v>
      </c>
      <c r="C33" s="358">
        <f>C34</f>
        <v>0</v>
      </c>
      <c r="D33" s="358">
        <f t="shared" ref="D33" si="7">D34</f>
        <v>2468</v>
      </c>
      <c r="E33" s="358">
        <f t="shared" ref="E33" si="8">E34</f>
        <v>2468</v>
      </c>
      <c r="F33" s="595"/>
    </row>
    <row r="34" spans="1:7" ht="10.5" customHeight="1" x14ac:dyDescent="0.2">
      <c r="A34" s="777" t="s">
        <v>566</v>
      </c>
      <c r="B34" s="209" t="s">
        <v>1103</v>
      </c>
      <c r="C34" s="169"/>
      <c r="D34" s="169">
        <v>2468</v>
      </c>
      <c r="E34" s="443">
        <f>SUM(C34:D34)</f>
        <v>2468</v>
      </c>
      <c r="F34" s="847"/>
    </row>
    <row r="35" spans="1:7" x14ac:dyDescent="0.2">
      <c r="A35" s="777" t="s">
        <v>567</v>
      </c>
      <c r="B35" s="200" t="s">
        <v>71</v>
      </c>
      <c r="C35" s="358">
        <f>SUM(C36:C36)</f>
        <v>4485</v>
      </c>
      <c r="D35" s="358">
        <f>SUM(D36:D36)</f>
        <v>0</v>
      </c>
      <c r="E35" s="444">
        <f>SUM(E36:E36)</f>
        <v>4485</v>
      </c>
      <c r="F35" s="847"/>
    </row>
    <row r="36" spans="1:7" ht="12" thickBot="1" x14ac:dyDescent="0.25">
      <c r="A36" s="1203" t="s">
        <v>568</v>
      </c>
      <c r="B36" s="180" t="s">
        <v>91</v>
      </c>
      <c r="C36" s="290">
        <v>4485</v>
      </c>
      <c r="D36" s="290"/>
      <c r="E36" s="467">
        <f t="shared" ref="E36" si="9">C36+D36</f>
        <v>4485</v>
      </c>
      <c r="F36" s="847"/>
    </row>
    <row r="37" spans="1:7" ht="12" thickBot="1" x14ac:dyDescent="0.25">
      <c r="A37" s="1204" t="s">
        <v>569</v>
      </c>
      <c r="B37" s="503" t="s">
        <v>159</v>
      </c>
      <c r="C37" s="303">
        <f>C25+C35+C21+C23+C33</f>
        <v>6684</v>
      </c>
      <c r="D37" s="303">
        <f t="shared" ref="D37:E37" si="10">D25+D35+D21+D23+D33</f>
        <v>11253</v>
      </c>
      <c r="E37" s="303">
        <f t="shared" si="10"/>
        <v>17937</v>
      </c>
      <c r="F37" s="595"/>
      <c r="G37" s="847"/>
    </row>
    <row r="38" spans="1:7" x14ac:dyDescent="0.2">
      <c r="A38" s="777" t="s">
        <v>570</v>
      </c>
      <c r="B38" s="178"/>
      <c r="C38" s="173"/>
      <c r="D38" s="173"/>
      <c r="E38" s="446"/>
      <c r="F38" s="847"/>
    </row>
    <row r="39" spans="1:7" x14ac:dyDescent="0.2">
      <c r="A39" s="777" t="s">
        <v>571</v>
      </c>
      <c r="B39" s="180" t="s">
        <v>966</v>
      </c>
      <c r="C39" s="173"/>
      <c r="D39" s="173"/>
      <c r="E39" s="446"/>
      <c r="F39" s="847"/>
    </row>
    <row r="40" spans="1:7" ht="12" thickBot="1" x14ac:dyDescent="0.25">
      <c r="A40" s="1203" t="s">
        <v>572</v>
      </c>
      <c r="B40" s="1112"/>
      <c r="C40" s="1044"/>
      <c r="D40" s="1113"/>
      <c r="E40" s="1114"/>
      <c r="F40" s="847"/>
    </row>
    <row r="41" spans="1:7" ht="12" thickBot="1" x14ac:dyDescent="0.25">
      <c r="A41" s="1204" t="s">
        <v>573</v>
      </c>
      <c r="B41" s="503" t="s">
        <v>966</v>
      </c>
      <c r="C41" s="303">
        <f>SUM(C40:C40)</f>
        <v>0</v>
      </c>
      <c r="D41" s="303">
        <f>SUM(D40:D40)</f>
        <v>0</v>
      </c>
      <c r="E41" s="801">
        <f>SUM(E40:E40)</f>
        <v>0</v>
      </c>
      <c r="F41" s="847"/>
      <c r="G41" s="847"/>
    </row>
    <row r="42" spans="1:7" ht="12" thickBot="1" x14ac:dyDescent="0.25">
      <c r="A42" s="777" t="s">
        <v>574</v>
      </c>
      <c r="B42" s="178"/>
      <c r="C42" s="173"/>
      <c r="D42" s="173"/>
      <c r="E42" s="446"/>
      <c r="F42" s="847"/>
    </row>
    <row r="43" spans="1:7" ht="12" thickBot="1" x14ac:dyDescent="0.25">
      <c r="A43" s="1205" t="s">
        <v>626</v>
      </c>
      <c r="B43" s="503" t="s">
        <v>92</v>
      </c>
      <c r="C43" s="303">
        <f>C11+C16+IC17+C18+C25+C35+C41+C17+C23+C33+C21</f>
        <v>795266</v>
      </c>
      <c r="D43" s="303">
        <f>D11+D16+ID17+D18+D25+D35+D41+D17+D23+D33+D21</f>
        <v>119249</v>
      </c>
      <c r="E43" s="303">
        <f>E11+E16+IE17+E18+E25+E35+E41+E17+E23+E33+E21</f>
        <v>914515</v>
      </c>
      <c r="F43" s="595"/>
    </row>
    <row r="44" spans="1:7" x14ac:dyDescent="0.2">
      <c r="A44" s="1205" t="s">
        <v>627</v>
      </c>
      <c r="B44" s="178"/>
      <c r="C44" s="173"/>
      <c r="D44" s="173"/>
      <c r="E44" s="446"/>
      <c r="F44" s="847"/>
    </row>
    <row r="45" spans="1:7" x14ac:dyDescent="0.2">
      <c r="A45" s="777" t="s">
        <v>628</v>
      </c>
      <c r="B45" s="848" t="s">
        <v>328</v>
      </c>
      <c r="C45" s="173"/>
      <c r="D45" s="173"/>
      <c r="E45" s="446"/>
      <c r="F45" s="847"/>
    </row>
    <row r="46" spans="1:7" x14ac:dyDescent="0.2">
      <c r="A46" s="777" t="s">
        <v>629</v>
      </c>
      <c r="B46" s="180" t="s">
        <v>1081</v>
      </c>
      <c r="C46" s="169">
        <v>4158</v>
      </c>
      <c r="D46" s="169"/>
      <c r="E46" s="443">
        <f>SUM(C46:D46)</f>
        <v>4158</v>
      </c>
      <c r="F46" s="847"/>
    </row>
    <row r="47" spans="1:7" ht="12" thickBot="1" x14ac:dyDescent="0.25">
      <c r="A47" s="1203" t="s">
        <v>116</v>
      </c>
      <c r="B47" s="178" t="s">
        <v>19</v>
      </c>
      <c r="C47" s="1044">
        <f>SUM(C46)</f>
        <v>4158</v>
      </c>
      <c r="D47" s="1044">
        <f t="shared" ref="D47:E47" si="11">SUM(D46)</f>
        <v>0</v>
      </c>
      <c r="E47" s="1046">
        <f t="shared" si="11"/>
        <v>4158</v>
      </c>
      <c r="F47" s="847"/>
    </row>
    <row r="48" spans="1:7" ht="12" thickBot="1" x14ac:dyDescent="0.25">
      <c r="A48" s="1204" t="s">
        <v>654</v>
      </c>
      <c r="B48" s="1117" t="s">
        <v>668</v>
      </c>
      <c r="C48" s="173">
        <f>SUM(C47)</f>
        <v>4158</v>
      </c>
      <c r="D48" s="173">
        <f>SUM(D47)</f>
        <v>0</v>
      </c>
      <c r="E48" s="446">
        <f>SUM(C48:D48)</f>
        <v>4158</v>
      </c>
      <c r="F48" s="847"/>
    </row>
    <row r="49" spans="1:7" x14ac:dyDescent="0.2">
      <c r="A49" s="777" t="s">
        <v>655</v>
      </c>
      <c r="B49" s="1117"/>
      <c r="C49" s="1116"/>
      <c r="D49" s="1116"/>
      <c r="E49" s="1115"/>
      <c r="F49" s="847"/>
    </row>
    <row r="50" spans="1:7" x14ac:dyDescent="0.2">
      <c r="A50" s="777" t="s">
        <v>119</v>
      </c>
      <c r="B50" s="848" t="s">
        <v>669</v>
      </c>
      <c r="C50" s="173"/>
      <c r="D50" s="173"/>
      <c r="E50" s="446"/>
      <c r="F50" s="847"/>
    </row>
    <row r="51" spans="1:7" x14ac:dyDescent="0.2">
      <c r="A51" s="777" t="s">
        <v>120</v>
      </c>
      <c r="B51" s="180" t="s">
        <v>166</v>
      </c>
      <c r="C51" s="169"/>
      <c r="D51" s="169">
        <v>915</v>
      </c>
      <c r="E51" s="443">
        <f>SUM(C51:D51)</f>
        <v>915</v>
      </c>
      <c r="F51" s="847"/>
    </row>
    <row r="52" spans="1:7" x14ac:dyDescent="0.2">
      <c r="A52" s="777" t="s">
        <v>121</v>
      </c>
      <c r="B52" s="180" t="s">
        <v>167</v>
      </c>
      <c r="C52" s="169"/>
      <c r="D52" s="169"/>
      <c r="E52" s="443"/>
      <c r="F52" s="847"/>
    </row>
    <row r="53" spans="1:7" ht="12" thickBot="1" x14ac:dyDescent="0.25">
      <c r="A53" s="1203" t="s">
        <v>124</v>
      </c>
      <c r="B53" s="178" t="s">
        <v>19</v>
      </c>
      <c r="C53" s="173">
        <f>SUM(C51:C52)</f>
        <v>0</v>
      </c>
      <c r="D53" s="173">
        <f>SUM(D51:D52)</f>
        <v>915</v>
      </c>
      <c r="E53" s="446">
        <f>SUM(E51:E52)</f>
        <v>915</v>
      </c>
      <c r="F53" s="847"/>
    </row>
    <row r="54" spans="1:7" ht="12" thickBot="1" x14ac:dyDescent="0.25">
      <c r="A54" s="1204" t="s">
        <v>127</v>
      </c>
      <c r="B54" s="503" t="s">
        <v>168</v>
      </c>
      <c r="C54" s="303">
        <f>C53</f>
        <v>0</v>
      </c>
      <c r="D54" s="303">
        <f>D53</f>
        <v>915</v>
      </c>
      <c r="E54" s="920">
        <f>E53</f>
        <v>915</v>
      </c>
      <c r="F54" s="847"/>
    </row>
    <row r="55" spans="1:7" x14ac:dyDescent="0.2">
      <c r="A55" s="777" t="s">
        <v>128</v>
      </c>
      <c r="B55" s="178"/>
      <c r="C55" s="173"/>
      <c r="D55" s="173"/>
      <c r="E55" s="1115"/>
      <c r="F55" s="847"/>
    </row>
    <row r="56" spans="1:7" x14ac:dyDescent="0.2">
      <c r="A56" s="777" t="s">
        <v>129</v>
      </c>
      <c r="B56" s="848" t="s">
        <v>1123</v>
      </c>
      <c r="C56" s="173"/>
      <c r="D56" s="173"/>
      <c r="E56" s="446"/>
      <c r="F56" s="847"/>
    </row>
    <row r="57" spans="1:7" x14ac:dyDescent="0.2">
      <c r="A57" s="777" t="s">
        <v>130</v>
      </c>
      <c r="B57" s="180" t="s">
        <v>166</v>
      </c>
      <c r="C57" s="173"/>
      <c r="D57" s="169"/>
      <c r="E57" s="467">
        <f>C57+D57</f>
        <v>0</v>
      </c>
      <c r="F57" s="1206"/>
    </row>
    <row r="58" spans="1:7" x14ac:dyDescent="0.2">
      <c r="A58" s="777" t="s">
        <v>133</v>
      </c>
      <c r="B58" s="178" t="s">
        <v>19</v>
      </c>
      <c r="C58" s="173">
        <f>C57</f>
        <v>0</v>
      </c>
      <c r="D58" s="173">
        <f t="shared" ref="D58:E58" si="12">D57</f>
        <v>0</v>
      </c>
      <c r="E58" s="444">
        <f t="shared" si="12"/>
        <v>0</v>
      </c>
      <c r="F58" s="847"/>
    </row>
    <row r="59" spans="1:7" x14ac:dyDescent="0.2">
      <c r="A59" s="777" t="s">
        <v>136</v>
      </c>
      <c r="B59" s="180" t="s">
        <v>1124</v>
      </c>
      <c r="C59" s="173"/>
      <c r="D59" s="169">
        <v>203</v>
      </c>
      <c r="E59" s="443">
        <f>C59+D59</f>
        <v>203</v>
      </c>
      <c r="F59" s="847"/>
    </row>
    <row r="60" spans="1:7" ht="12" thickBot="1" x14ac:dyDescent="0.25">
      <c r="A60" s="1203" t="s">
        <v>139</v>
      </c>
      <c r="B60" s="1207" t="s">
        <v>966</v>
      </c>
      <c r="C60" s="173">
        <f>C59</f>
        <v>0</v>
      </c>
      <c r="D60" s="173">
        <f t="shared" ref="D60:E60" si="13">D59</f>
        <v>203</v>
      </c>
      <c r="E60" s="1046">
        <f t="shared" si="13"/>
        <v>203</v>
      </c>
      <c r="F60" s="847"/>
    </row>
    <row r="61" spans="1:7" ht="12" thickBot="1" x14ac:dyDescent="0.25">
      <c r="A61" s="1204" t="s">
        <v>140</v>
      </c>
      <c r="B61" s="503" t="s">
        <v>1125</v>
      </c>
      <c r="C61" s="303">
        <f>C58+C60</f>
        <v>0</v>
      </c>
      <c r="D61" s="303">
        <f t="shared" ref="D61:E61" si="14">D58+D60</f>
        <v>203</v>
      </c>
      <c r="E61" s="303">
        <f t="shared" si="14"/>
        <v>203</v>
      </c>
      <c r="F61" s="595"/>
    </row>
    <row r="62" spans="1:7" x14ac:dyDescent="0.2">
      <c r="A62" s="777" t="s">
        <v>143</v>
      </c>
      <c r="B62" s="178"/>
      <c r="C62" s="169"/>
      <c r="D62" s="169"/>
      <c r="E62" s="1118"/>
      <c r="F62" s="847"/>
    </row>
    <row r="63" spans="1:7" x14ac:dyDescent="0.2">
      <c r="A63" s="777" t="s">
        <v>144</v>
      </c>
      <c r="B63" s="848" t="s">
        <v>94</v>
      </c>
      <c r="C63" s="290"/>
      <c r="D63" s="290"/>
      <c r="E63" s="467"/>
      <c r="F63" s="847"/>
      <c r="G63" s="847"/>
    </row>
    <row r="64" spans="1:7" x14ac:dyDescent="0.2">
      <c r="A64" s="777" t="s">
        <v>145</v>
      </c>
      <c r="B64" s="178" t="s">
        <v>17</v>
      </c>
      <c r="C64" s="290"/>
      <c r="D64" s="290"/>
      <c r="E64" s="467"/>
      <c r="F64" s="847"/>
    </row>
    <row r="65" spans="1:9" x14ac:dyDescent="0.2">
      <c r="A65" s="777" t="s">
        <v>146</v>
      </c>
      <c r="B65" s="180" t="s">
        <v>93</v>
      </c>
      <c r="C65" s="290">
        <v>10396</v>
      </c>
      <c r="D65" s="290"/>
      <c r="E65" s="467">
        <f>SUM(C65:D65)</f>
        <v>10396</v>
      </c>
      <c r="F65" s="847"/>
    </row>
    <row r="66" spans="1:9" x14ac:dyDescent="0.2">
      <c r="A66" s="777" t="s">
        <v>147</v>
      </c>
      <c r="B66" s="180" t="s">
        <v>300</v>
      </c>
      <c r="C66" s="290">
        <v>10040</v>
      </c>
      <c r="D66" s="290"/>
      <c r="E66" s="467">
        <f>SUM(C66:D66)</f>
        <v>10040</v>
      </c>
      <c r="F66" s="847"/>
    </row>
    <row r="67" spans="1:9" x14ac:dyDescent="0.2">
      <c r="A67" s="777" t="s">
        <v>149</v>
      </c>
      <c r="B67" s="180" t="s">
        <v>301</v>
      </c>
      <c r="C67" s="290">
        <v>429</v>
      </c>
      <c r="D67" s="290"/>
      <c r="E67" s="467">
        <f>SUM(C67:D67)</f>
        <v>429</v>
      </c>
      <c r="F67" s="847"/>
    </row>
    <row r="68" spans="1:9" x14ac:dyDescent="0.2">
      <c r="A68" s="777" t="s">
        <v>152</v>
      </c>
      <c r="B68" s="180" t="s">
        <v>167</v>
      </c>
      <c r="C68" s="290"/>
      <c r="D68" s="290"/>
      <c r="E68" s="467"/>
      <c r="F68" s="847"/>
    </row>
    <row r="69" spans="1:9" x14ac:dyDescent="0.2">
      <c r="A69" s="777" t="s">
        <v>154</v>
      </c>
      <c r="B69" s="180" t="s">
        <v>166</v>
      </c>
      <c r="C69" s="290"/>
      <c r="D69" s="290">
        <v>358</v>
      </c>
      <c r="E69" s="467">
        <f>SUM(C69:D69)</f>
        <v>358</v>
      </c>
      <c r="F69" s="847"/>
    </row>
    <row r="70" spans="1:9" ht="12" thickBot="1" x14ac:dyDescent="0.25">
      <c r="A70" s="777" t="s">
        <v>155</v>
      </c>
      <c r="B70" s="178" t="s">
        <v>19</v>
      </c>
      <c r="C70" s="358">
        <f>SUM(C65:C69)</f>
        <v>20865</v>
      </c>
      <c r="D70" s="358">
        <f>SUM(D65:D69)</f>
        <v>358</v>
      </c>
      <c r="E70" s="444">
        <f>SUM(E65:E69)</f>
        <v>21223</v>
      </c>
      <c r="F70" s="847"/>
    </row>
    <row r="71" spans="1:9" ht="12" thickBot="1" x14ac:dyDescent="0.25">
      <c r="A71" s="1204" t="s">
        <v>156</v>
      </c>
      <c r="B71" s="1042" t="s">
        <v>95</v>
      </c>
      <c r="C71" s="927">
        <f>C70</f>
        <v>20865</v>
      </c>
      <c r="D71" s="927">
        <f>D70</f>
        <v>358</v>
      </c>
      <c r="E71" s="928">
        <f>E70</f>
        <v>21223</v>
      </c>
      <c r="F71" s="847"/>
    </row>
    <row r="72" spans="1:9" s="9" customFormat="1" x14ac:dyDescent="0.2">
      <c r="A72" s="777" t="s">
        <v>1082</v>
      </c>
      <c r="B72" s="178"/>
      <c r="C72" s="358"/>
      <c r="D72" s="358"/>
      <c r="E72" s="444"/>
      <c r="F72" s="769"/>
    </row>
    <row r="73" spans="1:9" s="9" customFormat="1" x14ac:dyDescent="0.2">
      <c r="A73" s="777" t="s">
        <v>1083</v>
      </c>
      <c r="B73" s="178" t="s">
        <v>18</v>
      </c>
      <c r="C73" s="358">
        <f>C37+C53+C70+C47+C58</f>
        <v>31707</v>
      </c>
      <c r="D73" s="358">
        <f>D37+D53+D70+D47+D58</f>
        <v>12526</v>
      </c>
      <c r="E73" s="358">
        <f>E37+E53+E70+E47+E58</f>
        <v>44233</v>
      </c>
      <c r="F73" s="1119"/>
      <c r="G73" s="769"/>
    </row>
    <row r="74" spans="1:9" x14ac:dyDescent="0.2">
      <c r="A74" s="777" t="s">
        <v>1278</v>
      </c>
      <c r="B74" s="178" t="s">
        <v>96</v>
      </c>
      <c r="C74" s="173">
        <f>C41+C60</f>
        <v>0</v>
      </c>
      <c r="D74" s="173">
        <f>D41+D60</f>
        <v>203</v>
      </c>
      <c r="E74" s="173">
        <f>E41+E60</f>
        <v>203</v>
      </c>
      <c r="F74" s="595"/>
    </row>
    <row r="75" spans="1:9" ht="12" thickBot="1" x14ac:dyDescent="0.25">
      <c r="A75" s="1203" t="s">
        <v>1279</v>
      </c>
      <c r="B75" s="183"/>
      <c r="E75" s="443"/>
      <c r="F75" s="847"/>
      <c r="G75" s="847"/>
    </row>
    <row r="76" spans="1:9" s="10" customFormat="1" ht="12" thickBot="1" x14ac:dyDescent="0.25">
      <c r="A76" s="777" t="s">
        <v>1280</v>
      </c>
      <c r="B76" s="503" t="s">
        <v>97</v>
      </c>
      <c r="C76" s="303">
        <f>C43+C71+C54+C48+C61</f>
        <v>820289</v>
      </c>
      <c r="D76" s="303">
        <f>D43+D71+D54+D48+D61</f>
        <v>120725</v>
      </c>
      <c r="E76" s="303">
        <f>E43+E71+E54+E48+E61</f>
        <v>941014</v>
      </c>
      <c r="F76" s="1047"/>
      <c r="G76" s="289"/>
      <c r="H76" s="289"/>
    </row>
    <row r="77" spans="1:9" s="10" customFormat="1" x14ac:dyDescent="0.2">
      <c r="A77" s="1205"/>
      <c r="B77" s="157"/>
      <c r="C77" s="158"/>
      <c r="D77" s="560"/>
      <c r="E77" s="560"/>
      <c r="I77" s="289"/>
    </row>
    <row r="78" spans="1:9" x14ac:dyDescent="0.2">
      <c r="B78" s="157"/>
    </row>
    <row r="79" spans="1:9" x14ac:dyDescent="0.2">
      <c r="B79" s="157"/>
      <c r="G79" s="847"/>
    </row>
    <row r="80" spans="1:9" x14ac:dyDescent="0.2">
      <c r="B80" s="183"/>
      <c r="G80" s="847"/>
    </row>
    <row r="81" spans="2:2" x14ac:dyDescent="0.2">
      <c r="B81" s="183"/>
    </row>
    <row r="83" spans="2:2" x14ac:dyDescent="0.2">
      <c r="B83" s="183"/>
    </row>
    <row r="84" spans="2:2" x14ac:dyDescent="0.2">
      <c r="B84" s="183"/>
    </row>
    <row r="85" spans="2:2" x14ac:dyDescent="0.2">
      <c r="B85" s="183"/>
    </row>
    <row r="86" spans="2:2" x14ac:dyDescent="0.2">
      <c r="B86" s="183"/>
    </row>
    <row r="87" spans="2:2" x14ac:dyDescent="0.2">
      <c r="B87" s="183"/>
    </row>
    <row r="88" spans="2:2" x14ac:dyDescent="0.2">
      <c r="B88" s="157"/>
    </row>
    <row r="89" spans="2:2" x14ac:dyDescent="0.2">
      <c r="B89" s="183"/>
    </row>
    <row r="90" spans="2:2" x14ac:dyDescent="0.2">
      <c r="B90" s="183"/>
    </row>
    <row r="91" spans="2:2" x14ac:dyDescent="0.2">
      <c r="B91" s="183"/>
    </row>
    <row r="92" spans="2:2" x14ac:dyDescent="0.2">
      <c r="B92" s="183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83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287" t="s">
        <v>294</v>
      </c>
      <c r="B1" s="1287"/>
      <c r="C1" s="1287"/>
      <c r="D1" s="1287"/>
      <c r="E1" s="1287"/>
      <c r="F1" s="1287"/>
      <c r="G1" s="1287"/>
      <c r="H1" s="1287"/>
      <c r="I1" s="1287"/>
    </row>
    <row r="2" spans="1:256" x14ac:dyDescent="0.2">
      <c r="F2" s="1313"/>
      <c r="G2" s="1313"/>
      <c r="H2" s="1313"/>
      <c r="I2" s="1313"/>
    </row>
    <row r="4" spans="1:256" ht="30" customHeight="1" x14ac:dyDescent="0.2">
      <c r="A4" s="1288" t="s">
        <v>77</v>
      </c>
      <c r="B4" s="1288"/>
      <c r="C4" s="1288"/>
      <c r="D4" s="1288"/>
      <c r="E4" s="1288"/>
      <c r="F4" s="1289"/>
      <c r="G4" s="1289"/>
      <c r="H4" s="1289"/>
      <c r="I4" s="1289"/>
    </row>
    <row r="5" spans="1:256" ht="33" customHeight="1" x14ac:dyDescent="0.2">
      <c r="A5" s="1288" t="s">
        <v>1034</v>
      </c>
      <c r="B5" s="1288"/>
      <c r="C5" s="1288"/>
      <c r="D5" s="1288"/>
      <c r="E5" s="1288"/>
      <c r="F5" s="1289"/>
      <c r="G5" s="1289"/>
      <c r="H5" s="1289"/>
      <c r="I5" s="1289"/>
    </row>
    <row r="7" spans="1:256" ht="13.5" thickBot="1" x14ac:dyDescent="0.25">
      <c r="E7" s="544" t="s">
        <v>20</v>
      </c>
      <c r="F7" s="933"/>
    </row>
    <row r="8" spans="1:256" ht="30.75" customHeight="1" thickBot="1" x14ac:dyDescent="0.25">
      <c r="A8" s="1290" t="s">
        <v>78</v>
      </c>
      <c r="B8" s="1292" t="s">
        <v>107</v>
      </c>
      <c r="C8" s="1293"/>
      <c r="D8" s="1293"/>
      <c r="E8" s="1293"/>
      <c r="F8" s="1314" t="s">
        <v>1003</v>
      </c>
      <c r="G8" s="1315"/>
      <c r="H8" s="1315"/>
      <c r="I8" s="1316"/>
    </row>
    <row r="9" spans="1:256" ht="36.75" thickBot="1" x14ac:dyDescent="0.25">
      <c r="A9" s="1291"/>
      <c r="B9" s="284" t="s">
        <v>79</v>
      </c>
      <c r="C9" s="192" t="s">
        <v>80</v>
      </c>
      <c r="D9" s="192" t="s">
        <v>681</v>
      </c>
      <c r="E9" s="285" t="s">
        <v>81</v>
      </c>
      <c r="F9" s="284" t="s">
        <v>79</v>
      </c>
      <c r="G9" s="192" t="s">
        <v>80</v>
      </c>
      <c r="H9" s="192" t="s">
        <v>681</v>
      </c>
      <c r="I9" s="285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56" t="s">
        <v>82</v>
      </c>
      <c r="B10" s="557"/>
      <c r="C10" s="557"/>
      <c r="D10" s="557"/>
      <c r="E10" s="557"/>
      <c r="F10" s="558"/>
      <c r="G10" s="558"/>
      <c r="H10" s="558"/>
      <c r="I10" s="558"/>
      <c r="J10" s="588"/>
    </row>
    <row r="11" spans="1:256" ht="12.75" x14ac:dyDescent="0.2">
      <c r="A11" s="551" t="s">
        <v>819</v>
      </c>
      <c r="B11" s="682"/>
      <c r="C11" s="682"/>
      <c r="D11" s="682"/>
      <c r="E11" s="682"/>
      <c r="F11" s="746"/>
      <c r="G11" s="746"/>
      <c r="H11" s="746"/>
      <c r="I11" s="746"/>
      <c r="J11" s="588"/>
    </row>
    <row r="12" spans="1:256" ht="36" x14ac:dyDescent="0.2">
      <c r="A12" s="679" t="s">
        <v>820</v>
      </c>
      <c r="B12" s="682">
        <v>4865</v>
      </c>
      <c r="C12" s="747">
        <v>18.690000000000001</v>
      </c>
      <c r="D12" s="682">
        <v>4580000</v>
      </c>
      <c r="E12" s="682">
        <f>C12*D12</f>
        <v>85600200</v>
      </c>
      <c r="F12" s="794" t="s">
        <v>1004</v>
      </c>
      <c r="G12" s="546">
        <v>18.32</v>
      </c>
      <c r="H12" s="546">
        <v>4580000</v>
      </c>
      <c r="I12" s="547">
        <f>G12*H12</f>
        <v>83905600</v>
      </c>
      <c r="J12" s="588"/>
    </row>
    <row r="13" spans="1:256" ht="12.75" x14ac:dyDescent="0.2">
      <c r="A13" s="551" t="s">
        <v>821</v>
      </c>
      <c r="B13" s="682"/>
      <c r="C13" s="682"/>
      <c r="D13" s="682"/>
      <c r="E13" s="682"/>
      <c r="F13" s="638"/>
      <c r="G13" s="687"/>
      <c r="H13" s="687"/>
      <c r="I13" s="638"/>
      <c r="J13" s="588"/>
    </row>
    <row r="14" spans="1:256" ht="12.75" x14ac:dyDescent="0.2">
      <c r="A14" s="679" t="s">
        <v>822</v>
      </c>
      <c r="B14" s="682"/>
      <c r="C14" s="691"/>
      <c r="D14" s="682" t="s">
        <v>295</v>
      </c>
      <c r="E14" s="682">
        <v>8328800</v>
      </c>
      <c r="F14" s="638"/>
      <c r="G14" s="687"/>
      <c r="H14" s="546" t="s">
        <v>295</v>
      </c>
      <c r="I14" s="547">
        <v>8329050</v>
      </c>
      <c r="J14" s="588"/>
    </row>
    <row r="15" spans="1:256" ht="12.75" x14ac:dyDescent="0.2">
      <c r="A15" s="679" t="s">
        <v>823</v>
      </c>
      <c r="B15" s="548"/>
      <c r="C15" s="549"/>
      <c r="D15" s="548"/>
      <c r="E15" s="548"/>
      <c r="F15" s="547"/>
      <c r="G15" s="546"/>
      <c r="H15" s="546"/>
      <c r="I15" s="547">
        <v>-8329050</v>
      </c>
      <c r="J15" s="588"/>
    </row>
    <row r="16" spans="1:256" ht="24" x14ac:dyDescent="0.2">
      <c r="A16" s="679" t="s">
        <v>824</v>
      </c>
      <c r="B16" s="548"/>
      <c r="C16" s="549"/>
      <c r="D16" s="548"/>
      <c r="E16" s="548"/>
      <c r="F16" s="547"/>
      <c r="G16" s="546"/>
      <c r="H16" s="546"/>
      <c r="I16" s="547">
        <f>I14+I15</f>
        <v>0</v>
      </c>
      <c r="J16" s="588"/>
    </row>
    <row r="17" spans="1:10" ht="12.75" x14ac:dyDescent="0.2">
      <c r="A17" s="551" t="s">
        <v>825</v>
      </c>
      <c r="B17" s="682"/>
      <c r="C17" s="682"/>
      <c r="D17" s="750" t="s">
        <v>296</v>
      </c>
      <c r="E17" s="682">
        <v>18272000</v>
      </c>
      <c r="F17" s="638"/>
      <c r="G17" s="687"/>
      <c r="H17" s="546" t="s">
        <v>297</v>
      </c>
      <c r="I17" s="547">
        <v>18304000</v>
      </c>
      <c r="J17" s="588"/>
    </row>
    <row r="18" spans="1:10" ht="12.75" x14ac:dyDescent="0.2">
      <c r="A18" s="551" t="s">
        <v>823</v>
      </c>
      <c r="B18" s="548"/>
      <c r="C18" s="548"/>
      <c r="D18" s="681"/>
      <c r="E18" s="548"/>
      <c r="F18" s="547"/>
      <c r="G18" s="546"/>
      <c r="H18" s="546"/>
      <c r="I18" s="547">
        <v>-18304000</v>
      </c>
      <c r="J18" s="588"/>
    </row>
    <row r="19" spans="1:10" ht="12.75" x14ac:dyDescent="0.2">
      <c r="A19" s="551" t="s">
        <v>826</v>
      </c>
      <c r="B19" s="548"/>
      <c r="C19" s="548"/>
      <c r="D19" s="681"/>
      <c r="E19" s="548"/>
      <c r="F19" s="547"/>
      <c r="G19" s="546"/>
      <c r="H19" s="546"/>
      <c r="I19" s="547">
        <f>I17+I18</f>
        <v>0</v>
      </c>
      <c r="J19" s="588"/>
    </row>
    <row r="20" spans="1:10" ht="12.75" x14ac:dyDescent="0.2">
      <c r="A20" s="551" t="s">
        <v>827</v>
      </c>
      <c r="B20" s="682"/>
      <c r="C20" s="682" t="s">
        <v>828</v>
      </c>
      <c r="D20" s="683" t="s">
        <v>682</v>
      </c>
      <c r="E20" s="682">
        <v>1355022</v>
      </c>
      <c r="F20" s="638"/>
      <c r="G20" s="682"/>
      <c r="H20" s="684" t="s">
        <v>682</v>
      </c>
      <c r="I20" s="547">
        <v>1355022</v>
      </c>
      <c r="J20" s="588"/>
    </row>
    <row r="21" spans="1:10" ht="12.75" x14ac:dyDescent="0.2">
      <c r="A21" s="551" t="s">
        <v>829</v>
      </c>
      <c r="B21" s="548"/>
      <c r="C21" s="548"/>
      <c r="D21" s="684"/>
      <c r="E21" s="548"/>
      <c r="F21" s="547"/>
      <c r="G21" s="548"/>
      <c r="H21" s="684"/>
      <c r="I21" s="547">
        <v>-1355022</v>
      </c>
      <c r="J21" s="588"/>
    </row>
    <row r="22" spans="1:10" ht="12.75" x14ac:dyDescent="0.2">
      <c r="A22" s="551" t="s">
        <v>830</v>
      </c>
      <c r="B22" s="548"/>
      <c r="C22" s="548"/>
      <c r="D22" s="684"/>
      <c r="E22" s="548"/>
      <c r="F22" s="547"/>
      <c r="G22" s="548"/>
      <c r="H22" s="684"/>
      <c r="I22" s="547">
        <f>I20+I21</f>
        <v>0</v>
      </c>
      <c r="J22" s="588"/>
    </row>
    <row r="23" spans="1:10" ht="12.75" x14ac:dyDescent="0.2">
      <c r="A23" s="551" t="s">
        <v>831</v>
      </c>
      <c r="B23" s="682"/>
      <c r="C23" s="691"/>
      <c r="D23" s="750" t="s">
        <v>683</v>
      </c>
      <c r="E23" s="682">
        <v>6369620</v>
      </c>
      <c r="F23" s="638"/>
      <c r="G23" s="687"/>
      <c r="H23" s="681" t="s">
        <v>683</v>
      </c>
      <c r="I23" s="547">
        <v>6369620</v>
      </c>
      <c r="J23" s="588"/>
    </row>
    <row r="24" spans="1:10" ht="12.75" x14ac:dyDescent="0.2">
      <c r="A24" s="551" t="s">
        <v>829</v>
      </c>
      <c r="B24" s="548"/>
      <c r="C24" s="549"/>
      <c r="D24" s="681"/>
      <c r="E24" s="548"/>
      <c r="F24" s="547"/>
      <c r="G24" s="546"/>
      <c r="H24" s="681"/>
      <c r="I24" s="547">
        <v>-6369620</v>
      </c>
      <c r="J24" s="588"/>
    </row>
    <row r="25" spans="1:10" ht="12.75" x14ac:dyDescent="0.2">
      <c r="A25" s="551" t="s">
        <v>832</v>
      </c>
      <c r="B25" s="548"/>
      <c r="C25" s="549"/>
      <c r="D25" s="681"/>
      <c r="E25" s="548"/>
      <c r="F25" s="547"/>
      <c r="G25" s="546"/>
      <c r="H25" s="681"/>
      <c r="I25" s="547">
        <f>I23+I24</f>
        <v>0</v>
      </c>
      <c r="J25" s="588"/>
    </row>
    <row r="26" spans="1:10" ht="12.75" x14ac:dyDescent="0.2">
      <c r="A26" s="551" t="s">
        <v>833</v>
      </c>
      <c r="B26" s="682">
        <v>4865</v>
      </c>
      <c r="C26" s="682"/>
      <c r="D26" s="682">
        <v>2700</v>
      </c>
      <c r="E26" s="682">
        <f>B26*D26</f>
        <v>13135500</v>
      </c>
      <c r="F26" s="547">
        <v>4705</v>
      </c>
      <c r="G26" s="687"/>
      <c r="H26" s="548">
        <v>2700</v>
      </c>
      <c r="I26" s="547">
        <f>F26*H26</f>
        <v>12703500</v>
      </c>
      <c r="J26" s="588"/>
    </row>
    <row r="27" spans="1:10" ht="12.75" x14ac:dyDescent="0.2">
      <c r="A27" s="551" t="s">
        <v>834</v>
      </c>
      <c r="B27" s="548"/>
      <c r="C27" s="548"/>
      <c r="D27" s="548"/>
      <c r="E27" s="548">
        <v>-13135500</v>
      </c>
      <c r="F27" s="547"/>
      <c r="G27" s="546"/>
      <c r="H27" s="546"/>
      <c r="I27" s="547">
        <v>-12703500</v>
      </c>
      <c r="J27" s="588"/>
    </row>
    <row r="28" spans="1:10" ht="12.75" x14ac:dyDescent="0.2">
      <c r="A28" s="551" t="s">
        <v>835</v>
      </c>
      <c r="B28" s="548"/>
      <c r="C28" s="548"/>
      <c r="D28" s="548"/>
      <c r="E28" s="548">
        <f>E26+E27</f>
        <v>0</v>
      </c>
      <c r="F28" s="547"/>
      <c r="G28" s="546"/>
      <c r="H28" s="546"/>
      <c r="I28" s="547">
        <f>I26+I27</f>
        <v>0</v>
      </c>
      <c r="J28" s="588"/>
    </row>
    <row r="29" spans="1:10" ht="12.75" x14ac:dyDescent="0.2">
      <c r="A29" s="551" t="s">
        <v>836</v>
      </c>
      <c r="B29" s="682">
        <v>10</v>
      </c>
      <c r="C29" s="682"/>
      <c r="D29" s="682" t="s">
        <v>298</v>
      </c>
      <c r="E29" s="685">
        <v>25500</v>
      </c>
      <c r="F29" s="934">
        <v>21</v>
      </c>
      <c r="G29" s="687"/>
      <c r="H29" s="548" t="s">
        <v>298</v>
      </c>
      <c r="I29" s="934">
        <v>53550</v>
      </c>
      <c r="J29" s="588"/>
    </row>
    <row r="30" spans="1:10" ht="12.75" x14ac:dyDescent="0.2">
      <c r="A30" s="551" t="s">
        <v>837</v>
      </c>
      <c r="B30" s="548"/>
      <c r="C30" s="548"/>
      <c r="D30" s="548"/>
      <c r="E30" s="548">
        <v>-25500</v>
      </c>
      <c r="F30" s="547"/>
      <c r="G30" s="546"/>
      <c r="H30" s="546"/>
      <c r="I30" s="934">
        <v>-53550</v>
      </c>
      <c r="J30" s="588"/>
    </row>
    <row r="31" spans="1:10" ht="12.75" x14ac:dyDescent="0.2">
      <c r="A31" s="551" t="s">
        <v>838</v>
      </c>
      <c r="B31" s="682"/>
      <c r="C31" s="682"/>
      <c r="D31" s="682"/>
      <c r="E31" s="685">
        <v>0</v>
      </c>
      <c r="F31" s="638"/>
      <c r="G31" s="687"/>
      <c r="H31" s="687"/>
      <c r="I31" s="934">
        <f>I29+I30</f>
        <v>0</v>
      </c>
      <c r="J31" s="588"/>
    </row>
    <row r="32" spans="1:10" ht="12.75" x14ac:dyDescent="0.2">
      <c r="A32" s="749" t="s">
        <v>941</v>
      </c>
      <c r="B32" s="682"/>
      <c r="C32" s="682">
        <v>487729000</v>
      </c>
      <c r="D32" s="691">
        <v>1.55</v>
      </c>
      <c r="E32" s="682">
        <f>C32*D32</f>
        <v>755979950</v>
      </c>
      <c r="F32" s="638"/>
      <c r="G32" s="547">
        <v>540752027</v>
      </c>
      <c r="H32" s="549">
        <v>1</v>
      </c>
      <c r="I32" s="547">
        <f>G32*H32</f>
        <v>540752027</v>
      </c>
      <c r="J32" s="588"/>
    </row>
    <row r="33" spans="1:18" ht="12.75" x14ac:dyDescent="0.2">
      <c r="A33" s="551" t="s">
        <v>834</v>
      </c>
      <c r="B33" s="548"/>
      <c r="C33" s="548"/>
      <c r="D33" s="552"/>
      <c r="E33" s="548">
        <v>-98054262</v>
      </c>
      <c r="F33" s="547"/>
      <c r="G33" s="546"/>
      <c r="H33" s="546"/>
      <c r="I33" s="934">
        <v>-76318159</v>
      </c>
      <c r="J33" s="588"/>
    </row>
    <row r="34" spans="1:18" ht="12.75" x14ac:dyDescent="0.2">
      <c r="A34" s="551" t="s">
        <v>840</v>
      </c>
      <c r="B34" s="682"/>
      <c r="C34" s="682"/>
      <c r="D34" s="696"/>
      <c r="E34" s="682">
        <f>E32+E33</f>
        <v>657925688</v>
      </c>
      <c r="F34" s="638"/>
      <c r="G34" s="687"/>
      <c r="H34" s="687"/>
      <c r="I34" s="934">
        <f>I32+I33</f>
        <v>464433868</v>
      </c>
      <c r="J34" s="588"/>
    </row>
    <row r="35" spans="1:18" ht="12.75" x14ac:dyDescent="0.2">
      <c r="A35" s="686" t="s">
        <v>1005</v>
      </c>
      <c r="B35" s="682"/>
      <c r="C35" s="682"/>
      <c r="D35" s="682"/>
      <c r="E35" s="682">
        <v>0</v>
      </c>
      <c r="F35" s="638"/>
      <c r="G35" s="687"/>
      <c r="H35" s="687"/>
      <c r="I35" s="547">
        <v>0</v>
      </c>
      <c r="J35" s="588"/>
      <c r="K35" s="935">
        <f>I12+I16+I19+I25+I28+I31+I34+I35</f>
        <v>548339468</v>
      </c>
      <c r="L35" s="6" t="s">
        <v>912</v>
      </c>
    </row>
    <row r="36" spans="1:18" ht="24" x14ac:dyDescent="0.2">
      <c r="A36" s="679" t="s">
        <v>1006</v>
      </c>
      <c r="B36" s="682"/>
      <c r="C36" s="682"/>
      <c r="D36" s="682"/>
      <c r="E36" s="682"/>
      <c r="F36" s="638"/>
      <c r="G36" s="687"/>
      <c r="H36" s="687"/>
      <c r="I36" s="547">
        <v>0</v>
      </c>
      <c r="J36" s="588"/>
      <c r="K36" s="688"/>
    </row>
    <row r="37" spans="1:18" ht="12.75" x14ac:dyDescent="0.2">
      <c r="A37" s="686"/>
      <c r="B37" s="682"/>
      <c r="C37" s="682"/>
      <c r="D37" s="682"/>
      <c r="E37" s="682"/>
      <c r="F37" s="638"/>
      <c r="G37" s="687"/>
      <c r="H37" s="687"/>
      <c r="I37" s="638"/>
      <c r="J37" s="588"/>
      <c r="K37" s="688"/>
    </row>
    <row r="38" spans="1:18" ht="12.75" x14ac:dyDescent="0.2">
      <c r="A38" s="689" t="s">
        <v>83</v>
      </c>
      <c r="B38" s="682"/>
      <c r="C38" s="682"/>
      <c r="D38" s="682"/>
      <c r="E38" s="682"/>
      <c r="F38" s="638"/>
      <c r="G38" s="687"/>
      <c r="H38" s="687"/>
      <c r="I38" s="638"/>
      <c r="J38" s="588"/>
    </row>
    <row r="39" spans="1:18" ht="24" x14ac:dyDescent="0.2">
      <c r="A39" s="679" t="s">
        <v>842</v>
      </c>
      <c r="B39" s="682"/>
      <c r="C39" s="682"/>
      <c r="D39" s="682"/>
      <c r="E39" s="682"/>
      <c r="F39" s="638"/>
      <c r="G39" s="687"/>
      <c r="H39" s="687"/>
      <c r="I39" s="638"/>
      <c r="J39" s="588"/>
    </row>
    <row r="40" spans="1:18" ht="12.75" x14ac:dyDescent="0.2">
      <c r="A40" s="679" t="s">
        <v>843</v>
      </c>
      <c r="B40" s="682"/>
      <c r="C40" s="691">
        <v>13.1</v>
      </c>
      <c r="D40" s="682">
        <v>4152000</v>
      </c>
      <c r="E40" s="682">
        <f>C40*D40*8/12</f>
        <v>36260800</v>
      </c>
      <c r="F40" s="936" t="s">
        <v>1035</v>
      </c>
      <c r="G40" s="937">
        <v>12.5</v>
      </c>
      <c r="H40" s="929">
        <v>4419000</v>
      </c>
      <c r="I40" s="934">
        <f>G40*8/12*4419000</f>
        <v>36825000</v>
      </c>
      <c r="J40" s="588"/>
    </row>
    <row r="41" spans="1:18" ht="12.75" x14ac:dyDescent="0.2">
      <c r="A41" s="679" t="s">
        <v>844</v>
      </c>
      <c r="B41" s="682"/>
      <c r="C41" s="691">
        <v>13.1</v>
      </c>
      <c r="D41" s="692">
        <v>4152000</v>
      </c>
      <c r="E41" s="682">
        <f>C41*D41*4/12</f>
        <v>18130400</v>
      </c>
      <c r="F41" s="936" t="s">
        <v>1035</v>
      </c>
      <c r="G41" s="938">
        <v>12.5</v>
      </c>
      <c r="H41" s="929">
        <v>4419000</v>
      </c>
      <c r="I41" s="934">
        <f>G41*4/12*H41</f>
        <v>18412500</v>
      </c>
      <c r="J41" s="588"/>
    </row>
    <row r="42" spans="1:18" ht="24" x14ac:dyDescent="0.2">
      <c r="A42" s="679" t="s">
        <v>845</v>
      </c>
      <c r="B42" s="682"/>
      <c r="C42" s="682">
        <v>10</v>
      </c>
      <c r="D42" s="682">
        <v>1800000</v>
      </c>
      <c r="E42" s="685">
        <f>C42*D42*8/12</f>
        <v>12000000</v>
      </c>
      <c r="F42" s="748"/>
      <c r="G42" s="690">
        <v>9</v>
      </c>
      <c r="H42" s="929">
        <v>2205000</v>
      </c>
      <c r="I42" s="547">
        <f>G42*H42*8/12</f>
        <v>13230000</v>
      </c>
      <c r="J42" s="588"/>
    </row>
    <row r="43" spans="1:18" ht="24" x14ac:dyDescent="0.2">
      <c r="A43" s="679" t="s">
        <v>942</v>
      </c>
      <c r="B43" s="682"/>
      <c r="C43" s="682"/>
      <c r="D43" s="682"/>
      <c r="E43" s="685"/>
      <c r="F43" s="638"/>
      <c r="G43" s="690">
        <v>0</v>
      </c>
      <c r="H43" s="929">
        <v>4419000</v>
      </c>
      <c r="I43" s="547">
        <f>G43*H43*8/12</f>
        <v>0</v>
      </c>
      <c r="J43" s="588"/>
    </row>
    <row r="44" spans="1:18" ht="24" x14ac:dyDescent="0.2">
      <c r="A44" s="679" t="s">
        <v>847</v>
      </c>
      <c r="B44" s="682"/>
      <c r="C44" s="682">
        <v>10</v>
      </c>
      <c r="D44" s="682">
        <v>1800000</v>
      </c>
      <c r="E44" s="682">
        <f>C44*D44*4/12</f>
        <v>6000000</v>
      </c>
      <c r="F44" s="638"/>
      <c r="G44" s="690">
        <v>9</v>
      </c>
      <c r="H44" s="929">
        <v>2205000</v>
      </c>
      <c r="I44" s="547">
        <f>G44*H44*4/12</f>
        <v>6615000</v>
      </c>
      <c r="J44" s="589"/>
    </row>
    <row r="45" spans="1:18" ht="39" x14ac:dyDescent="0.2">
      <c r="A45" s="679" t="s">
        <v>943</v>
      </c>
      <c r="B45" s="682"/>
      <c r="C45" s="682"/>
      <c r="D45" s="682"/>
      <c r="E45" s="682"/>
      <c r="F45" s="638"/>
      <c r="G45" s="690">
        <v>0</v>
      </c>
      <c r="H45" s="929">
        <v>4419000</v>
      </c>
      <c r="I45" s="547">
        <f>G45*H45*4/12</f>
        <v>0</v>
      </c>
      <c r="J45" s="589"/>
      <c r="K45" s="853" t="s">
        <v>913</v>
      </c>
      <c r="L45" s="688">
        <f>I12+I14+I17+I20+I23+I26+I29+I32</f>
        <v>671772369</v>
      </c>
      <c r="N45" s="854" t="s">
        <v>1036</v>
      </c>
      <c r="O45" s="688">
        <v>123432901</v>
      </c>
      <c r="P45" s="688">
        <f>I15+I18+I21+I24+I27+I30</f>
        <v>-47114742</v>
      </c>
      <c r="Q45" s="688">
        <f>O45+P45</f>
        <v>76318159</v>
      </c>
      <c r="R45" s="854" t="s">
        <v>914</v>
      </c>
    </row>
    <row r="46" spans="1:18" ht="12.75" x14ac:dyDescent="0.2">
      <c r="A46" s="551" t="s">
        <v>850</v>
      </c>
      <c r="B46" s="682"/>
      <c r="C46" s="682"/>
      <c r="D46" s="682"/>
      <c r="E46" s="682"/>
      <c r="F46" s="638"/>
      <c r="G46" s="687"/>
      <c r="H46" s="687"/>
      <c r="I46" s="638"/>
      <c r="J46" s="588"/>
    </row>
    <row r="47" spans="1:18" ht="24" x14ac:dyDescent="0.2">
      <c r="A47" s="679" t="s">
        <v>944</v>
      </c>
      <c r="B47" s="682"/>
      <c r="C47" s="682">
        <v>142</v>
      </c>
      <c r="D47" s="682">
        <v>70000</v>
      </c>
      <c r="E47" s="682">
        <f>C47*D47*8/12</f>
        <v>6626666.666666667</v>
      </c>
      <c r="F47" s="794"/>
      <c r="G47" s="934">
        <v>138</v>
      </c>
      <c r="H47" s="548">
        <v>81700</v>
      </c>
      <c r="I47" s="934">
        <f>G47*H47*8/12</f>
        <v>7516400</v>
      </c>
      <c r="J47" s="588"/>
    </row>
    <row r="48" spans="1:18" ht="24" x14ac:dyDescent="0.2">
      <c r="A48" s="679" t="s">
        <v>945</v>
      </c>
      <c r="B48" s="682"/>
      <c r="C48" s="682"/>
      <c r="D48" s="682"/>
      <c r="E48" s="682"/>
      <c r="F48" s="794"/>
      <c r="G48" s="547">
        <v>0</v>
      </c>
      <c r="H48" s="548">
        <v>80000</v>
      </c>
      <c r="I48" s="547">
        <v>0</v>
      </c>
      <c r="J48" s="588"/>
    </row>
    <row r="49" spans="1:12" ht="24" x14ac:dyDescent="0.2">
      <c r="A49" s="679" t="s">
        <v>899</v>
      </c>
      <c r="B49" s="682"/>
      <c r="C49" s="682">
        <v>142</v>
      </c>
      <c r="D49" s="682">
        <v>70000</v>
      </c>
      <c r="E49" s="682">
        <f>C49*D49*4/12</f>
        <v>3313333.3333333335</v>
      </c>
      <c r="F49" s="748"/>
      <c r="G49" s="547">
        <v>138</v>
      </c>
      <c r="H49" s="548">
        <v>81700</v>
      </c>
      <c r="I49" s="934">
        <f>G49*H49*4/12</f>
        <v>3758200</v>
      </c>
      <c r="J49" s="588"/>
    </row>
    <row r="50" spans="1:12" ht="24" x14ac:dyDescent="0.2">
      <c r="A50" s="679" t="s">
        <v>946</v>
      </c>
      <c r="B50" s="682"/>
      <c r="C50" s="682"/>
      <c r="D50" s="682"/>
      <c r="E50" s="682"/>
      <c r="F50" s="748"/>
      <c r="G50" s="547">
        <v>0</v>
      </c>
      <c r="H50" s="548">
        <v>80000</v>
      </c>
      <c r="I50" s="547">
        <v>0</v>
      </c>
      <c r="J50" s="588"/>
    </row>
    <row r="51" spans="1:12" ht="12.75" x14ac:dyDescent="0.2">
      <c r="A51" s="551" t="s">
        <v>900</v>
      </c>
      <c r="B51" s="682"/>
      <c r="C51" s="682"/>
      <c r="D51" s="682"/>
      <c r="E51" s="682"/>
      <c r="F51" s="638"/>
      <c r="G51" s="687"/>
      <c r="H51" s="687"/>
      <c r="I51" s="638"/>
      <c r="J51" s="588"/>
    </row>
    <row r="52" spans="1:12" ht="48" x14ac:dyDescent="0.2">
      <c r="A52" s="679" t="s">
        <v>1007</v>
      </c>
      <c r="B52" s="682"/>
      <c r="C52" s="682">
        <v>5</v>
      </c>
      <c r="D52" s="752" t="s">
        <v>299</v>
      </c>
      <c r="E52" s="682">
        <v>1760000</v>
      </c>
      <c r="F52" s="638"/>
      <c r="G52" s="939">
        <v>4</v>
      </c>
      <c r="H52" s="547">
        <v>401000</v>
      </c>
      <c r="I52" s="934">
        <f>G52*H52</f>
        <v>1604000</v>
      </c>
      <c r="J52" s="588"/>
    </row>
    <row r="53" spans="1:12" ht="48" x14ac:dyDescent="0.2">
      <c r="A53" s="679" t="s">
        <v>1008</v>
      </c>
      <c r="B53" s="682"/>
      <c r="C53" s="682"/>
      <c r="D53" s="682"/>
      <c r="E53" s="682"/>
      <c r="F53" s="638"/>
      <c r="G53" s="546">
        <v>0</v>
      </c>
      <c r="H53" s="547">
        <v>367583</v>
      </c>
      <c r="I53" s="547">
        <f>G53*H53</f>
        <v>0</v>
      </c>
      <c r="J53" s="588"/>
      <c r="K53" s="935">
        <f>SUM(I40:I53)</f>
        <v>87961100</v>
      </c>
      <c r="L53" s="6" t="s">
        <v>915</v>
      </c>
    </row>
    <row r="54" spans="1:12" ht="12.75" x14ac:dyDescent="0.2">
      <c r="A54" s="679"/>
      <c r="B54" s="682"/>
      <c r="C54" s="682"/>
      <c r="D54" s="682"/>
      <c r="E54" s="682"/>
      <c r="F54" s="638"/>
      <c r="G54" s="687"/>
      <c r="H54" s="687"/>
      <c r="I54" s="638"/>
      <c r="J54" s="588"/>
      <c r="K54" s="688"/>
    </row>
    <row r="55" spans="1:12" ht="12.75" x14ac:dyDescent="0.2">
      <c r="A55" s="689" t="s">
        <v>84</v>
      </c>
      <c r="B55" s="682"/>
      <c r="C55" s="682"/>
      <c r="D55" s="682"/>
      <c r="E55" s="682"/>
      <c r="F55" s="638"/>
      <c r="G55" s="687"/>
      <c r="H55" s="687"/>
      <c r="I55" s="638"/>
      <c r="J55" s="588"/>
    </row>
    <row r="56" spans="1:12" ht="12.75" x14ac:dyDescent="0.2">
      <c r="A56" s="686" t="s">
        <v>1009</v>
      </c>
      <c r="B56" s="682"/>
      <c r="C56" s="682"/>
      <c r="D56" s="682"/>
      <c r="E56" s="682">
        <v>0</v>
      </c>
      <c r="F56" s="638"/>
      <c r="G56" s="687"/>
      <c r="H56" s="687"/>
      <c r="I56" s="547">
        <v>0</v>
      </c>
      <c r="J56" s="590"/>
    </row>
    <row r="57" spans="1:12" ht="24" x14ac:dyDescent="0.2">
      <c r="A57" s="679" t="s">
        <v>860</v>
      </c>
      <c r="B57" s="682"/>
      <c r="C57" s="682"/>
      <c r="D57" s="682"/>
      <c r="E57" s="685">
        <v>0</v>
      </c>
      <c r="F57" s="638"/>
      <c r="G57" s="687"/>
      <c r="H57" s="687"/>
      <c r="I57" s="547">
        <v>0</v>
      </c>
      <c r="J57" s="588"/>
    </row>
    <row r="58" spans="1:12" ht="12.75" x14ac:dyDescent="0.2">
      <c r="A58" s="551" t="s">
        <v>861</v>
      </c>
      <c r="B58" s="682"/>
      <c r="C58" s="682"/>
      <c r="D58" s="682"/>
      <c r="E58" s="682"/>
      <c r="F58" s="638"/>
      <c r="G58" s="687"/>
      <c r="H58" s="687"/>
      <c r="I58" s="638"/>
      <c r="J58" s="588"/>
    </row>
    <row r="59" spans="1:12" ht="12.75" x14ac:dyDescent="0.2">
      <c r="A59" s="551" t="s">
        <v>862</v>
      </c>
      <c r="B59" s="682"/>
      <c r="C59" s="682"/>
      <c r="D59" s="682"/>
      <c r="E59" s="682"/>
      <c r="F59" s="638"/>
      <c r="G59" s="687"/>
      <c r="H59" s="687"/>
      <c r="I59" s="638"/>
      <c r="J59" s="588"/>
    </row>
    <row r="60" spans="1:12" ht="12.75" x14ac:dyDescent="0.2">
      <c r="A60" s="551" t="s">
        <v>863</v>
      </c>
      <c r="B60" s="682"/>
      <c r="C60" s="682"/>
      <c r="D60" s="682"/>
      <c r="E60" s="682"/>
      <c r="F60" s="638"/>
      <c r="G60" s="687"/>
      <c r="H60" s="687"/>
      <c r="I60" s="638"/>
      <c r="J60" s="588"/>
    </row>
    <row r="61" spans="1:12" ht="36" x14ac:dyDescent="0.2">
      <c r="A61" s="693" t="s">
        <v>1010</v>
      </c>
      <c r="B61" s="686"/>
      <c r="C61" s="695"/>
      <c r="D61" s="682"/>
      <c r="E61" s="682">
        <f>C61*D61/2</f>
        <v>0</v>
      </c>
      <c r="F61" s="548">
        <v>7822</v>
      </c>
      <c r="G61" s="696"/>
      <c r="H61" s="687"/>
      <c r="I61" s="638"/>
      <c r="J61" s="590"/>
    </row>
    <row r="62" spans="1:12" ht="24" x14ac:dyDescent="0.2">
      <c r="A62" s="679" t="s">
        <v>901</v>
      </c>
      <c r="B62" s="682"/>
      <c r="C62" s="686"/>
      <c r="D62" s="682"/>
      <c r="E62" s="682"/>
      <c r="F62" s="638"/>
      <c r="G62" s="553">
        <v>0</v>
      </c>
      <c r="H62" s="687"/>
      <c r="I62" s="638"/>
      <c r="J62" s="590"/>
    </row>
    <row r="63" spans="1:12" ht="12.75" x14ac:dyDescent="0.2">
      <c r="A63" s="551" t="s">
        <v>902</v>
      </c>
      <c r="B63" s="682"/>
      <c r="C63" s="686"/>
      <c r="D63" s="682"/>
      <c r="E63" s="682"/>
      <c r="F63" s="638"/>
      <c r="G63" s="552">
        <v>1</v>
      </c>
      <c r="H63" s="687"/>
      <c r="I63" s="638"/>
      <c r="J63" s="588"/>
    </row>
    <row r="64" spans="1:12" ht="12.75" x14ac:dyDescent="0.2">
      <c r="A64" s="551" t="s">
        <v>867</v>
      </c>
      <c r="B64" s="682"/>
      <c r="C64" s="697">
        <v>0.97299999999999998</v>
      </c>
      <c r="D64" s="682">
        <v>3000000</v>
      </c>
      <c r="E64" s="682"/>
      <c r="F64" s="638"/>
      <c r="G64" s="552">
        <v>2</v>
      </c>
      <c r="H64" s="548">
        <v>3000000</v>
      </c>
      <c r="I64" s="547">
        <f>(2*1+0)*3000000</f>
        <v>6000000</v>
      </c>
      <c r="J64" s="588"/>
    </row>
    <row r="65" spans="1:12" ht="12.75" x14ac:dyDescent="0.2">
      <c r="A65" s="551" t="s">
        <v>868</v>
      </c>
      <c r="B65" s="698"/>
      <c r="C65" s="682">
        <v>80</v>
      </c>
      <c r="D65" s="682">
        <v>55360</v>
      </c>
      <c r="E65" s="682">
        <f>C65*D65</f>
        <v>4428800</v>
      </c>
      <c r="F65" s="748"/>
      <c r="G65" s="548">
        <v>80</v>
      </c>
      <c r="H65" s="548">
        <v>55360</v>
      </c>
      <c r="I65" s="548">
        <f>G65*H65</f>
        <v>4428800</v>
      </c>
      <c r="J65" s="588"/>
    </row>
    <row r="66" spans="1:12" ht="12.75" x14ac:dyDescent="0.2">
      <c r="A66" s="551" t="s">
        <v>869</v>
      </c>
      <c r="B66" s="698"/>
      <c r="C66" s="682">
        <v>55</v>
      </c>
      <c r="D66" s="682">
        <v>145000</v>
      </c>
      <c r="E66" s="682">
        <f>C66*D66</f>
        <v>7975000</v>
      </c>
      <c r="F66" s="638"/>
      <c r="G66" s="682"/>
      <c r="H66" s="682"/>
      <c r="I66" s="682"/>
      <c r="J66" s="588"/>
    </row>
    <row r="67" spans="1:12" ht="12.75" x14ac:dyDescent="0.2">
      <c r="A67" s="551" t="s">
        <v>903</v>
      </c>
      <c r="B67" s="698"/>
      <c r="C67" s="682"/>
      <c r="D67" s="682"/>
      <c r="E67" s="682"/>
      <c r="F67" s="748"/>
      <c r="G67" s="940">
        <v>5</v>
      </c>
      <c r="H67" s="548">
        <v>25000</v>
      </c>
      <c r="I67" s="940">
        <f>G67*H67</f>
        <v>125000</v>
      </c>
      <c r="J67" s="588"/>
    </row>
    <row r="68" spans="1:12" ht="12.75" x14ac:dyDescent="0.2">
      <c r="A68" s="551" t="s">
        <v>904</v>
      </c>
      <c r="B68" s="698"/>
      <c r="C68" s="682"/>
      <c r="D68" s="682"/>
      <c r="E68" s="682"/>
      <c r="F68" s="748"/>
      <c r="G68" s="940">
        <v>49</v>
      </c>
      <c r="H68" s="548">
        <v>210000</v>
      </c>
      <c r="I68" s="940">
        <f>G68*H68</f>
        <v>10290000</v>
      </c>
      <c r="J68" s="588"/>
    </row>
    <row r="69" spans="1:12" ht="12.75" x14ac:dyDescent="0.2">
      <c r="A69" s="679" t="s">
        <v>905</v>
      </c>
      <c r="B69" s="753"/>
      <c r="C69" s="548">
        <v>23</v>
      </c>
      <c r="D69" s="548">
        <v>109000</v>
      </c>
      <c r="E69" s="548">
        <f>C69*D69</f>
        <v>2507000</v>
      </c>
      <c r="F69" s="547"/>
      <c r="G69" s="940">
        <v>25</v>
      </c>
      <c r="H69" s="548">
        <v>109000</v>
      </c>
      <c r="I69" s="940">
        <f>G69*H69</f>
        <v>2725000</v>
      </c>
      <c r="J69" s="588"/>
    </row>
    <row r="70" spans="1:12" ht="12.75" x14ac:dyDescent="0.2">
      <c r="A70" s="679" t="s">
        <v>871</v>
      </c>
      <c r="B70" s="753"/>
      <c r="C70" s="548"/>
      <c r="D70" s="548"/>
      <c r="E70" s="548"/>
      <c r="F70" s="547"/>
      <c r="G70" s="546"/>
      <c r="H70" s="546"/>
      <c r="I70" s="547"/>
      <c r="J70" s="588"/>
    </row>
    <row r="71" spans="1:12" ht="24" x14ac:dyDescent="0.2">
      <c r="A71" s="679" t="s">
        <v>1011</v>
      </c>
      <c r="B71" s="698"/>
      <c r="C71" s="682"/>
      <c r="D71" s="682"/>
      <c r="E71" s="682"/>
      <c r="F71" s="638"/>
      <c r="G71" s="687"/>
      <c r="H71" s="687"/>
      <c r="I71" s="638"/>
      <c r="J71" s="588"/>
    </row>
    <row r="72" spans="1:12" ht="24" x14ac:dyDescent="0.2">
      <c r="A72" s="693" t="s">
        <v>916</v>
      </c>
      <c r="B72" s="698"/>
      <c r="C72" s="682">
        <v>15</v>
      </c>
      <c r="D72" s="682">
        <v>2606040</v>
      </c>
      <c r="E72" s="682">
        <f>C72*D72</f>
        <v>39090600</v>
      </c>
      <c r="F72" s="748"/>
      <c r="G72" s="548">
        <v>15</v>
      </c>
      <c r="H72" s="548">
        <v>2606040</v>
      </c>
      <c r="I72" s="548">
        <f>G72*H72</f>
        <v>39090600</v>
      </c>
      <c r="J72" s="588"/>
    </row>
    <row r="73" spans="1:12" ht="36" x14ac:dyDescent="0.2">
      <c r="A73" s="551" t="s">
        <v>876</v>
      </c>
      <c r="B73" s="698"/>
      <c r="C73" s="682"/>
      <c r="D73" s="682"/>
      <c r="E73" s="685">
        <v>37834000</v>
      </c>
      <c r="F73" s="748" t="s">
        <v>1012</v>
      </c>
      <c r="G73" s="687"/>
      <c r="H73" s="687"/>
      <c r="I73" s="638">
        <v>30040000</v>
      </c>
      <c r="J73" s="592"/>
    </row>
    <row r="74" spans="1:12" ht="12.75" x14ac:dyDescent="0.2">
      <c r="A74" s="551" t="s">
        <v>1013</v>
      </c>
      <c r="B74" s="698"/>
      <c r="C74" s="682"/>
      <c r="D74" s="682"/>
      <c r="E74" s="682"/>
      <c r="F74" s="638"/>
      <c r="G74" s="687"/>
      <c r="H74" s="687"/>
      <c r="I74" s="638"/>
      <c r="J74" s="588"/>
    </row>
    <row r="75" spans="1:12" ht="12.75" x14ac:dyDescent="0.2">
      <c r="A75" s="551" t="s">
        <v>1014</v>
      </c>
      <c r="B75" s="682"/>
      <c r="C75" s="691">
        <v>12.33</v>
      </c>
      <c r="D75" s="682">
        <v>1632000</v>
      </c>
      <c r="E75" s="682">
        <f>C75*D75</f>
        <v>20122560</v>
      </c>
      <c r="F75" s="941" t="s">
        <v>1037</v>
      </c>
      <c r="G75" s="549">
        <v>14.4</v>
      </c>
      <c r="H75" s="930">
        <v>1900000</v>
      </c>
      <c r="I75" s="548">
        <f>G75*H75</f>
        <v>27360000</v>
      </c>
      <c r="J75" s="593"/>
    </row>
    <row r="76" spans="1:12" ht="36" x14ac:dyDescent="0.2">
      <c r="A76" s="551" t="s">
        <v>1015</v>
      </c>
      <c r="B76" s="682"/>
      <c r="C76" s="682"/>
      <c r="D76" s="682"/>
      <c r="E76" s="685">
        <v>7038795</v>
      </c>
      <c r="F76" s="748" t="s">
        <v>1012</v>
      </c>
      <c r="G76" s="687"/>
      <c r="H76" s="687"/>
      <c r="I76" s="638">
        <v>13278900</v>
      </c>
      <c r="J76" s="594"/>
    </row>
    <row r="77" spans="1:12" ht="24" x14ac:dyDescent="0.2">
      <c r="A77" s="679" t="s">
        <v>1016</v>
      </c>
      <c r="B77" s="682"/>
      <c r="C77" s="682"/>
      <c r="D77" s="682"/>
      <c r="E77" s="685"/>
      <c r="F77" s="748"/>
      <c r="G77" s="934">
        <v>0</v>
      </c>
      <c r="H77" s="547">
        <v>285</v>
      </c>
      <c r="I77" s="934">
        <f>G77*H77</f>
        <v>0</v>
      </c>
      <c r="J77" s="588"/>
    </row>
    <row r="78" spans="1:12" ht="12.75" x14ac:dyDescent="0.2">
      <c r="A78" s="679" t="s">
        <v>1017</v>
      </c>
      <c r="B78" s="682"/>
      <c r="C78" s="682"/>
      <c r="D78" s="682"/>
      <c r="E78" s="701"/>
      <c r="F78" s="748"/>
      <c r="G78" s="751"/>
      <c r="H78" s="547"/>
      <c r="I78" s="547"/>
      <c r="J78" s="588"/>
      <c r="K78" s="688">
        <f>SUM(I56:I82)</f>
        <v>147563700</v>
      </c>
      <c r="L78" s="6" t="s">
        <v>917</v>
      </c>
    </row>
    <row r="79" spans="1:12" ht="12.75" x14ac:dyDescent="0.2">
      <c r="A79" s="679" t="s">
        <v>1018</v>
      </c>
      <c r="B79" s="682"/>
      <c r="C79" s="682"/>
      <c r="D79" s="682"/>
      <c r="E79" s="701"/>
      <c r="F79" s="748"/>
      <c r="G79" s="751"/>
      <c r="H79" s="547"/>
      <c r="I79" s="547"/>
      <c r="J79" s="588"/>
      <c r="K79" s="688"/>
    </row>
    <row r="80" spans="1:12" ht="36" x14ac:dyDescent="0.2">
      <c r="A80" s="679" t="s">
        <v>1019</v>
      </c>
      <c r="B80" s="682"/>
      <c r="C80" s="682"/>
      <c r="D80" s="682"/>
      <c r="E80" s="701"/>
      <c r="F80" s="794" t="s">
        <v>1020</v>
      </c>
      <c r="G80" s="751">
        <v>1.8</v>
      </c>
      <c r="H80" s="547">
        <v>2993000</v>
      </c>
      <c r="I80" s="547">
        <f>G80*H80</f>
        <v>5387400</v>
      </c>
      <c r="J80" s="588"/>
      <c r="K80" s="688"/>
    </row>
    <row r="81" spans="1:14" ht="36" x14ac:dyDescent="0.2">
      <c r="A81" s="679" t="s">
        <v>1021</v>
      </c>
      <c r="B81" s="682"/>
      <c r="C81" s="682"/>
      <c r="D81" s="682"/>
      <c r="E81" s="701"/>
      <c r="F81" s="794" t="s">
        <v>1022</v>
      </c>
      <c r="G81" s="751">
        <v>2</v>
      </c>
      <c r="H81" s="547">
        <v>4419000</v>
      </c>
      <c r="I81" s="547">
        <f>G81*H81</f>
        <v>8838000</v>
      </c>
      <c r="J81" s="588"/>
      <c r="K81" s="688"/>
    </row>
    <row r="82" spans="1:14" ht="24" x14ac:dyDescent="0.2">
      <c r="A82" s="679" t="s">
        <v>1023</v>
      </c>
      <c r="B82" s="682"/>
      <c r="C82" s="682"/>
      <c r="D82" s="682"/>
      <c r="E82" s="701"/>
      <c r="F82" s="748"/>
      <c r="G82" s="751"/>
      <c r="H82" s="547">
        <v>0</v>
      </c>
      <c r="I82" s="547">
        <v>0</v>
      </c>
      <c r="J82" s="588"/>
      <c r="K82" s="688"/>
    </row>
    <row r="83" spans="1:14" ht="12.75" x14ac:dyDescent="0.2">
      <c r="A83" s="679"/>
      <c r="B83" s="682"/>
      <c r="C83" s="682"/>
      <c r="D83" s="682"/>
      <c r="E83" s="701"/>
      <c r="F83" s="748"/>
      <c r="G83" s="751"/>
      <c r="H83" s="547"/>
      <c r="I83" s="547"/>
      <c r="J83" s="588"/>
      <c r="K83" s="688"/>
    </row>
    <row r="84" spans="1:14" ht="12.75" x14ac:dyDescent="0.2">
      <c r="A84" s="551" t="s">
        <v>882</v>
      </c>
      <c r="B84" s="682"/>
      <c r="C84" s="682"/>
      <c r="D84" s="682"/>
      <c r="E84" s="701"/>
      <c r="F84" s="638"/>
      <c r="G84" s="687"/>
      <c r="H84" s="687"/>
      <c r="I84" s="638"/>
      <c r="J84" s="588"/>
    </row>
    <row r="85" spans="1:14" ht="12.75" x14ac:dyDescent="0.2">
      <c r="A85" s="551" t="s">
        <v>883</v>
      </c>
      <c r="B85" s="682"/>
      <c r="C85" s="682"/>
      <c r="D85" s="682"/>
      <c r="E85" s="701"/>
      <c r="F85" s="638"/>
      <c r="G85" s="687"/>
      <c r="H85" s="687"/>
      <c r="I85" s="638"/>
      <c r="J85" s="588"/>
    </row>
    <row r="86" spans="1:14" ht="12.75" x14ac:dyDescent="0.2">
      <c r="A86" s="551" t="s">
        <v>884</v>
      </c>
      <c r="B86" s="682"/>
      <c r="C86" s="682">
        <v>4865</v>
      </c>
      <c r="D86" s="682">
        <v>1140</v>
      </c>
      <c r="E86" s="702"/>
      <c r="F86" s="638"/>
      <c r="G86" s="548">
        <v>4705</v>
      </c>
      <c r="H86" s="930">
        <v>1210</v>
      </c>
      <c r="I86" s="287">
        <f>G86*H86</f>
        <v>5693050</v>
      </c>
      <c r="J86" s="588"/>
    </row>
    <row r="87" spans="1:14" ht="48" x14ac:dyDescent="0.2">
      <c r="A87" s="679" t="s">
        <v>885</v>
      </c>
      <c r="B87" s="682"/>
      <c r="C87" s="682"/>
      <c r="D87" s="682"/>
      <c r="E87" s="702"/>
      <c r="F87" s="794" t="s">
        <v>1024</v>
      </c>
      <c r="G87" s="682"/>
      <c r="H87" s="682"/>
      <c r="I87" s="287">
        <v>0</v>
      </c>
      <c r="J87" s="588"/>
    </row>
    <row r="88" spans="1:14" ht="48" x14ac:dyDescent="0.2">
      <c r="A88" s="679" t="s">
        <v>1025</v>
      </c>
      <c r="B88" s="682"/>
      <c r="C88" s="682"/>
      <c r="D88" s="682"/>
      <c r="E88" s="702"/>
      <c r="F88" s="794" t="s">
        <v>1026</v>
      </c>
      <c r="G88" s="682"/>
      <c r="H88" s="682"/>
      <c r="I88" s="287">
        <v>0</v>
      </c>
      <c r="J88" s="588"/>
    </row>
    <row r="89" spans="1:14" ht="12.75" x14ac:dyDescent="0.2">
      <c r="A89" s="693" t="s">
        <v>1027</v>
      </c>
      <c r="B89" s="698"/>
      <c r="C89" s="682"/>
      <c r="D89" s="696"/>
      <c r="E89" s="682"/>
      <c r="F89" s="638"/>
      <c r="G89" s="687"/>
      <c r="H89" s="687"/>
      <c r="I89" s="638"/>
      <c r="J89" s="588"/>
      <c r="K89" s="688">
        <f>SUM(I86+I87)</f>
        <v>5693050</v>
      </c>
      <c r="L89" s="6" t="s">
        <v>918</v>
      </c>
    </row>
    <row r="90" spans="1:14" ht="24" x14ac:dyDescent="0.2">
      <c r="A90" s="703" t="s">
        <v>1028</v>
      </c>
      <c r="B90" s="754"/>
      <c r="C90" s="755"/>
      <c r="D90" s="548"/>
      <c r="E90" s="548"/>
      <c r="F90" s="756"/>
      <c r="G90" s="546"/>
      <c r="H90" s="546"/>
      <c r="I90" s="638"/>
      <c r="J90" s="588"/>
      <c r="K90" s="688"/>
      <c r="L90" s="688">
        <f>I15+I18+I21+I24+I27+I30+I33</f>
        <v>-123432901</v>
      </c>
      <c r="M90" s="757" t="s">
        <v>919</v>
      </c>
      <c r="N90" s="286"/>
    </row>
    <row r="91" spans="1:14" ht="12.75" x14ac:dyDescent="0.2">
      <c r="A91" s="728" t="s">
        <v>1029</v>
      </c>
      <c r="B91" s="758"/>
      <c r="C91" s="759"/>
      <c r="D91" s="760"/>
      <c r="E91" s="760"/>
      <c r="F91" s="761"/>
      <c r="G91" s="762"/>
      <c r="H91" s="762"/>
      <c r="I91" s="763">
        <v>0</v>
      </c>
      <c r="J91" s="588"/>
      <c r="K91" s="688"/>
      <c r="L91" s="688"/>
      <c r="M91" s="757"/>
      <c r="N91" s="286"/>
    </row>
    <row r="92" spans="1:14" ht="12.75" x14ac:dyDescent="0.2">
      <c r="A92" s="728"/>
      <c r="B92" s="758"/>
      <c r="C92" s="759"/>
      <c r="D92" s="760"/>
      <c r="E92" s="760"/>
      <c r="F92" s="758"/>
      <c r="G92" s="762"/>
      <c r="H92" s="762"/>
      <c r="I92" s="709"/>
      <c r="J92" s="588"/>
      <c r="K92" s="688"/>
      <c r="L92" s="688"/>
      <c r="N92" s="286"/>
    </row>
    <row r="93" spans="1:14" ht="12.75" x14ac:dyDescent="0.2">
      <c r="A93" s="728" t="s">
        <v>906</v>
      </c>
      <c r="B93" s="758"/>
      <c r="C93" s="759"/>
      <c r="D93" s="760"/>
      <c r="E93" s="760"/>
      <c r="F93" s="758"/>
      <c r="G93" s="762"/>
      <c r="H93" s="762"/>
      <c r="I93" s="709"/>
      <c r="J93" s="588"/>
      <c r="K93" s="688"/>
      <c r="L93" s="688"/>
      <c r="N93" s="286"/>
    </row>
    <row r="94" spans="1:14" ht="12.75" x14ac:dyDescent="0.2">
      <c r="A94" s="728" t="s">
        <v>907</v>
      </c>
      <c r="B94" s="758"/>
      <c r="C94" s="759"/>
      <c r="D94" s="760"/>
      <c r="E94" s="760"/>
      <c r="F94" s="758"/>
      <c r="G94" s="762"/>
      <c r="H94" s="762"/>
      <c r="I94" s="763">
        <v>0</v>
      </c>
      <c r="J94" s="588"/>
      <c r="K94" s="688"/>
      <c r="L94" s="688"/>
      <c r="N94" s="286"/>
    </row>
    <row r="95" spans="1:14" ht="12.75" x14ac:dyDescent="0.2">
      <c r="A95" s="729" t="s">
        <v>908</v>
      </c>
      <c r="B95" s="758"/>
      <c r="C95" s="759"/>
      <c r="D95" s="760"/>
      <c r="E95" s="760"/>
      <c r="F95" s="758"/>
      <c r="G95" s="762"/>
      <c r="H95" s="762"/>
      <c r="I95" s="763">
        <v>0</v>
      </c>
      <c r="J95" s="588"/>
      <c r="K95" s="688">
        <f>I94+I95</f>
        <v>0</v>
      </c>
      <c r="L95" s="688" t="s">
        <v>920</v>
      </c>
      <c r="N95" s="286"/>
    </row>
    <row r="96" spans="1:14" ht="13.5" thickBot="1" x14ac:dyDescent="0.25">
      <c r="A96" s="705"/>
      <c r="B96" s="706"/>
      <c r="C96" s="707"/>
      <c r="D96" s="708"/>
      <c r="E96" s="707"/>
      <c r="F96" s="709"/>
      <c r="G96" s="710"/>
      <c r="H96" s="710"/>
      <c r="I96" s="709"/>
      <c r="J96" s="588"/>
    </row>
    <row r="97" spans="1:256" ht="12.75" thickBot="1" x14ac:dyDescent="0.25">
      <c r="A97" s="711" t="s">
        <v>887</v>
      </c>
      <c r="B97" s="712"/>
      <c r="C97" s="712"/>
      <c r="D97" s="713"/>
      <c r="E97" s="714" t="e">
        <f>E12+E14+E17+E20+E23+E28+E31+E34+E40+E41+#REF!+E42+E44+E47+E49+E52+E56+E57+E61+E62+E65+E66+E69+#REF!+E72+E73+E75+E76</f>
        <v>#REF!</v>
      </c>
      <c r="F97" s="1311">
        <f>I12+I16+I19+I22+I25+I28+I31+I34+I35+I36+I40+I41+I42+I43+I44+I45+I47+I48+I49+I50+I52+I53+I56+I57+I64+I65+I67+I68+I69+I72+I73+I75+I76+I77+I80+I81+I82+I86+I87+I88+I94+I95+I91</f>
        <v>789557318</v>
      </c>
      <c r="G97" s="1311"/>
      <c r="H97" s="1311"/>
      <c r="I97" s="1312"/>
      <c r="J97" s="7"/>
      <c r="K97" s="715">
        <f>K78+K53+K35+K89</f>
        <v>789557318</v>
      </c>
      <c r="L97" s="764" t="s">
        <v>921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65"/>
      <c r="B99" s="766"/>
      <c r="C99" s="766"/>
      <c r="D99" s="766"/>
      <c r="E99" s="767"/>
      <c r="F99" s="768"/>
      <c r="G99" s="768"/>
      <c r="H99" s="768"/>
      <c r="I99" s="768"/>
    </row>
    <row r="100" spans="1:256" ht="12.75" x14ac:dyDescent="0.2">
      <c r="A100" s="931" t="s">
        <v>1030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46"/>
  <sheetViews>
    <sheetView workbookViewId="0">
      <pane ySplit="7" topLeftCell="A26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29" customWidth="1"/>
    <col min="3" max="3" width="50.42578125" style="14" customWidth="1"/>
    <col min="4" max="4" width="11.85546875" style="157" customWidth="1"/>
    <col min="5" max="5" width="12.7109375" style="157" customWidth="1"/>
    <col min="6" max="6" width="13.5703125" style="157" customWidth="1"/>
    <col min="7" max="9" width="0" style="158" hidden="1" customWidth="1"/>
    <col min="10" max="16384" width="9.140625" style="10"/>
  </cols>
  <sheetData>
    <row r="1" spans="2:10" ht="14.45" customHeight="1" x14ac:dyDescent="0.2">
      <c r="C1" s="1303" t="s">
        <v>1357</v>
      </c>
      <c r="D1" s="1303"/>
      <c r="E1" s="1303"/>
      <c r="F1" s="1303"/>
      <c r="G1" s="1303"/>
      <c r="H1" s="1303"/>
      <c r="I1" s="1303"/>
    </row>
    <row r="2" spans="2:10" ht="14.45" customHeight="1" x14ac:dyDescent="0.2">
      <c r="C2" s="1303"/>
      <c r="D2" s="1303"/>
      <c r="E2" s="1303"/>
      <c r="F2" s="1303"/>
      <c r="G2" s="1303"/>
      <c r="H2" s="1303"/>
      <c r="I2" s="1303"/>
    </row>
    <row r="3" spans="2:10" ht="14.45" customHeight="1" x14ac:dyDescent="0.2">
      <c r="B3" s="1307" t="s">
        <v>54</v>
      </c>
      <c r="C3" s="1299"/>
      <c r="D3" s="1299"/>
      <c r="E3" s="1299"/>
      <c r="F3" s="1299"/>
      <c r="G3" s="1299"/>
      <c r="H3" s="1299"/>
      <c r="I3" s="1299"/>
    </row>
    <row r="4" spans="2:10" s="11" customFormat="1" ht="14.45" customHeight="1" x14ac:dyDescent="0.2">
      <c r="B4" s="1317" t="s">
        <v>1148</v>
      </c>
      <c r="C4" s="1299"/>
      <c r="D4" s="1299"/>
      <c r="E4" s="1299"/>
      <c r="F4" s="1299"/>
      <c r="G4" s="1299"/>
      <c r="H4" s="1299"/>
      <c r="I4" s="1299"/>
    </row>
    <row r="5" spans="2:10" s="11" customFormat="1" ht="14.45" customHeight="1" x14ac:dyDescent="0.15">
      <c r="B5" s="183"/>
    </row>
    <row r="6" spans="2:10" ht="14.45" customHeight="1" x14ac:dyDescent="0.2">
      <c r="B6" s="1321" t="s">
        <v>435</v>
      </c>
      <c r="C6" s="1299"/>
      <c r="D6" s="1299"/>
      <c r="E6" s="1299"/>
      <c r="F6" s="1299"/>
      <c r="G6" s="1299"/>
      <c r="H6" s="1299"/>
      <c r="I6" s="1299"/>
    </row>
    <row r="7" spans="2:10" s="12" customFormat="1" ht="36.75" customHeight="1" x14ac:dyDescent="0.2">
      <c r="B7" s="1318" t="s">
        <v>56</v>
      </c>
      <c r="C7" s="1319" t="s">
        <v>85</v>
      </c>
      <c r="D7" s="1320" t="s">
        <v>1147</v>
      </c>
      <c r="E7" s="1320"/>
      <c r="F7" s="1320"/>
      <c r="G7" s="174"/>
    </row>
    <row r="8" spans="2:10" s="12" customFormat="1" ht="40.9" customHeight="1" x14ac:dyDescent="0.2">
      <c r="B8" s="1318"/>
      <c r="C8" s="1319"/>
      <c r="D8" s="154" t="s">
        <v>62</v>
      </c>
      <c r="E8" s="154" t="s">
        <v>63</v>
      </c>
      <c r="F8" s="154" t="s">
        <v>64</v>
      </c>
      <c r="G8" s="174"/>
      <c r="J8" s="539"/>
    </row>
    <row r="9" spans="2:10" s="12" customFormat="1" ht="10.5" customHeight="1" x14ac:dyDescent="0.2">
      <c r="B9" s="330" t="s">
        <v>480</v>
      </c>
      <c r="C9" s="201"/>
      <c r="D9" s="202"/>
      <c r="E9" s="202"/>
      <c r="F9" s="442"/>
      <c r="G9" s="174"/>
      <c r="J9" s="539"/>
    </row>
    <row r="10" spans="2:10" s="12" customFormat="1" ht="14.45" customHeight="1" x14ac:dyDescent="0.2">
      <c r="B10" s="330" t="s">
        <v>488</v>
      </c>
      <c r="C10" s="203" t="s">
        <v>86</v>
      </c>
      <c r="D10" s="202"/>
      <c r="E10" s="202"/>
      <c r="F10" s="442"/>
      <c r="G10" s="174"/>
      <c r="J10" s="539"/>
    </row>
    <row r="11" spans="2:10" s="12" customFormat="1" ht="14.45" customHeight="1" x14ac:dyDescent="0.2">
      <c r="B11" s="330" t="s">
        <v>489</v>
      </c>
      <c r="C11" s="204" t="s">
        <v>1106</v>
      </c>
      <c r="D11" s="202"/>
      <c r="E11" s="202"/>
      <c r="F11" s="442"/>
      <c r="G11" s="174"/>
      <c r="J11" s="539"/>
    </row>
    <row r="12" spans="2:10" s="12" customFormat="1" ht="14.45" customHeight="1" x14ac:dyDescent="0.2">
      <c r="B12" s="330" t="s">
        <v>490</v>
      </c>
      <c r="C12" s="205" t="s">
        <v>98</v>
      </c>
      <c r="D12" s="158">
        <v>1447</v>
      </c>
      <c r="E12" s="158">
        <v>29300</v>
      </c>
      <c r="F12" s="443">
        <f>SUM(D12:E12)</f>
        <v>30747</v>
      </c>
      <c r="G12" s="174"/>
      <c r="J12" s="539"/>
    </row>
    <row r="13" spans="2:10" s="12" customFormat="1" ht="14.45" customHeight="1" x14ac:dyDescent="0.2">
      <c r="B13" s="330" t="s">
        <v>491</v>
      </c>
      <c r="C13" s="205" t="s">
        <v>284</v>
      </c>
      <c r="D13" s="158"/>
      <c r="E13" s="158">
        <v>4</v>
      </c>
      <c r="F13" s="443">
        <f>SUM(D13:E13)</f>
        <v>4</v>
      </c>
      <c r="G13" s="174"/>
      <c r="J13" s="539"/>
    </row>
    <row r="14" spans="2:10" s="12" customFormat="1" ht="14.45" customHeight="1" x14ac:dyDescent="0.2">
      <c r="B14" s="330" t="s">
        <v>492</v>
      </c>
      <c r="C14" s="14" t="s">
        <v>99</v>
      </c>
      <c r="D14" s="158"/>
      <c r="E14" s="158">
        <v>0</v>
      </c>
      <c r="F14" s="443">
        <f>SUM(D14:E14)</f>
        <v>0</v>
      </c>
      <c r="G14" s="174"/>
      <c r="J14" s="539"/>
    </row>
    <row r="15" spans="2:10" s="12" customFormat="1" ht="14.45" customHeight="1" thickBot="1" x14ac:dyDescent="0.25">
      <c r="B15" s="330" t="s">
        <v>493</v>
      </c>
      <c r="C15" s="14" t="s">
        <v>100</v>
      </c>
      <c r="D15" s="158"/>
      <c r="E15" s="158"/>
      <c r="F15" s="443"/>
      <c r="G15" s="174"/>
      <c r="J15" s="539"/>
    </row>
    <row r="16" spans="2:10" s="12" customFormat="1" ht="14.45" customHeight="1" thickBot="1" x14ac:dyDescent="0.25">
      <c r="B16" s="1049" t="s">
        <v>494</v>
      </c>
      <c r="C16" s="452" t="s">
        <v>1109</v>
      </c>
      <c r="D16" s="303">
        <f>SUM(D12:D15)</f>
        <v>1447</v>
      </c>
      <c r="E16" s="303">
        <f>SUM(E12:E15)</f>
        <v>29304</v>
      </c>
      <c r="F16" s="920">
        <f>SUM(F12:F15)</f>
        <v>30751</v>
      </c>
      <c r="G16" s="174"/>
      <c r="J16" s="539"/>
    </row>
    <row r="17" spans="2:10" s="12" customFormat="1" ht="14.45" customHeight="1" x14ac:dyDescent="0.2">
      <c r="B17" s="330" t="s">
        <v>495</v>
      </c>
      <c r="C17" s="206"/>
      <c r="D17" s="182"/>
      <c r="E17" s="182"/>
      <c r="F17" s="446"/>
      <c r="G17" s="174"/>
      <c r="J17" s="539"/>
    </row>
    <row r="18" spans="2:10" s="12" customFormat="1" ht="14.45" customHeight="1" x14ac:dyDescent="0.2">
      <c r="B18" s="330" t="s">
        <v>531</v>
      </c>
      <c r="C18" s="538" t="s">
        <v>285</v>
      </c>
      <c r="D18" s="182"/>
      <c r="E18" s="182"/>
      <c r="F18" s="446"/>
      <c r="G18" s="174"/>
      <c r="J18" s="539"/>
    </row>
    <row r="19" spans="2:10" s="12" customFormat="1" ht="14.45" customHeight="1" thickBot="1" x14ac:dyDescent="0.25">
      <c r="B19" s="330" t="s">
        <v>532</v>
      </c>
      <c r="C19" s="14" t="s">
        <v>1126</v>
      </c>
      <c r="D19" s="182"/>
      <c r="E19" s="158">
        <v>180</v>
      </c>
      <c r="F19" s="443">
        <f>D19+E19</f>
        <v>180</v>
      </c>
      <c r="G19" s="174"/>
      <c r="J19" s="539"/>
    </row>
    <row r="20" spans="2:10" s="12" customFormat="1" ht="14.45" customHeight="1" thickBot="1" x14ac:dyDescent="0.25">
      <c r="B20" s="1049" t="s">
        <v>533</v>
      </c>
      <c r="C20" s="452" t="s">
        <v>286</v>
      </c>
      <c r="D20" s="303">
        <f>D19</f>
        <v>0</v>
      </c>
      <c r="E20" s="303">
        <f>E19</f>
        <v>180</v>
      </c>
      <c r="F20" s="920">
        <f>F19</f>
        <v>180</v>
      </c>
      <c r="G20" s="174"/>
      <c r="J20" s="539"/>
    </row>
    <row r="21" spans="2:10" s="12" customFormat="1" ht="14.45" customHeight="1" x14ac:dyDescent="0.2">
      <c r="B21" s="330" t="s">
        <v>534</v>
      </c>
      <c r="C21" s="206"/>
      <c r="D21" s="182"/>
      <c r="E21" s="182"/>
      <c r="F21" s="182"/>
      <c r="G21" s="174"/>
      <c r="J21" s="539"/>
    </row>
    <row r="22" spans="2:10" s="12" customFormat="1" ht="14.45" customHeight="1" x14ac:dyDescent="0.2">
      <c r="B22" s="330" t="s">
        <v>535</v>
      </c>
      <c r="C22" s="208" t="s">
        <v>1107</v>
      </c>
      <c r="D22" s="182"/>
      <c r="E22" s="182"/>
      <c r="F22" s="182"/>
      <c r="G22" s="174"/>
      <c r="J22" s="539"/>
    </row>
    <row r="23" spans="2:10" s="12" customFormat="1" ht="14.45" customHeight="1" thickBot="1" x14ac:dyDescent="0.25">
      <c r="B23" s="330" t="s">
        <v>536</v>
      </c>
      <c r="C23" s="14" t="s">
        <v>1302</v>
      </c>
      <c r="D23" s="158"/>
      <c r="E23" s="158">
        <v>14540</v>
      </c>
      <c r="F23" s="158">
        <f>D23+E23</f>
        <v>14540</v>
      </c>
      <c r="G23" s="174"/>
      <c r="J23" s="539"/>
    </row>
    <row r="24" spans="2:10" s="12" customFormat="1" ht="14.45" customHeight="1" thickBot="1" x14ac:dyDescent="0.25">
      <c r="B24" s="1049" t="s">
        <v>537</v>
      </c>
      <c r="C24" s="452" t="s">
        <v>1108</v>
      </c>
      <c r="D24" s="303">
        <f>SUM(D23)</f>
        <v>0</v>
      </c>
      <c r="E24" s="303">
        <f t="shared" ref="E24:F24" si="0">SUM(E23)</f>
        <v>14540</v>
      </c>
      <c r="F24" s="920">
        <f t="shared" si="0"/>
        <v>14540</v>
      </c>
      <c r="G24" s="174"/>
      <c r="J24" s="539"/>
    </row>
    <row r="25" spans="2:10" s="12" customFormat="1" ht="12" customHeight="1" x14ac:dyDescent="0.2">
      <c r="B25" s="330" t="s">
        <v>538</v>
      </c>
      <c r="C25" s="207"/>
      <c r="D25" s="202"/>
      <c r="E25" s="202"/>
      <c r="F25" s="442"/>
      <c r="G25" s="174"/>
      <c r="J25" s="539"/>
    </row>
    <row r="26" spans="2:10" s="11" customFormat="1" ht="14.45" customHeight="1" thickBot="1" x14ac:dyDescent="0.25">
      <c r="B26" s="330" t="s">
        <v>540</v>
      </c>
      <c r="C26" s="543" t="s">
        <v>967</v>
      </c>
      <c r="D26" s="182"/>
      <c r="E26" s="182"/>
      <c r="F26" s="446"/>
      <c r="G26" s="183"/>
      <c r="J26" s="509"/>
    </row>
    <row r="27" spans="2:10" s="11" customFormat="1" ht="12.75" customHeight="1" thickBot="1" x14ac:dyDescent="0.25">
      <c r="B27" s="330" t="s">
        <v>541</v>
      </c>
      <c r="C27" s="1048"/>
      <c r="D27" s="182"/>
      <c r="E27" s="158"/>
      <c r="F27" s="443">
        <f>SUM(D27:E27)</f>
        <v>0</v>
      </c>
      <c r="G27" s="183"/>
      <c r="J27" s="509"/>
    </row>
    <row r="28" spans="2:10" ht="14.45" customHeight="1" thickBot="1" x14ac:dyDescent="0.25">
      <c r="B28" s="1049" t="s">
        <v>542</v>
      </c>
      <c r="C28" s="452" t="s">
        <v>1104</v>
      </c>
      <c r="D28" s="303">
        <f>SUM(D27)</f>
        <v>0</v>
      </c>
      <c r="E28" s="303">
        <f>SUM(E27)</f>
        <v>0</v>
      </c>
      <c r="F28" s="920">
        <f>SUM(F27)</f>
        <v>0</v>
      </c>
      <c r="G28" s="157"/>
      <c r="H28" s="10"/>
      <c r="I28" s="10"/>
      <c r="J28" s="190"/>
    </row>
    <row r="29" spans="2:10" ht="14.45" customHeight="1" x14ac:dyDescent="0.2">
      <c r="B29" s="330" t="s">
        <v>543</v>
      </c>
      <c r="C29" s="206"/>
      <c r="D29" s="182"/>
      <c r="E29" s="182"/>
      <c r="F29" s="446"/>
      <c r="G29" s="157"/>
      <c r="H29" s="10"/>
      <c r="I29" s="10"/>
      <c r="J29" s="190"/>
    </row>
    <row r="30" spans="2:10" ht="14.45" customHeight="1" x14ac:dyDescent="0.2">
      <c r="B30" s="330" t="s">
        <v>544</v>
      </c>
      <c r="C30" s="208" t="s">
        <v>169</v>
      </c>
      <c r="D30" s="182"/>
      <c r="E30" s="158"/>
      <c r="F30" s="443"/>
      <c r="G30" s="157"/>
      <c r="H30" s="10"/>
      <c r="I30" s="10"/>
      <c r="J30" s="190"/>
    </row>
    <row r="31" spans="2:10" ht="14.45" customHeight="1" thickBot="1" x14ac:dyDescent="0.25">
      <c r="B31" s="330" t="s">
        <v>545</v>
      </c>
      <c r="D31" s="182"/>
      <c r="E31" s="158"/>
      <c r="F31" s="443"/>
      <c r="G31" s="157"/>
      <c r="H31" s="10"/>
      <c r="I31" s="10"/>
      <c r="J31" s="190"/>
    </row>
    <row r="32" spans="2:10" ht="14.45" customHeight="1" thickBot="1" x14ac:dyDescent="0.25">
      <c r="B32" s="1049" t="s">
        <v>546</v>
      </c>
      <c r="C32" s="452" t="s">
        <v>1105</v>
      </c>
      <c r="D32" s="303"/>
      <c r="E32" s="303">
        <f>SUM(E31)</f>
        <v>0</v>
      </c>
      <c r="F32" s="920">
        <f>SUM(F31)</f>
        <v>0</v>
      </c>
      <c r="G32" s="157"/>
      <c r="H32" s="10"/>
      <c r="I32" s="10"/>
      <c r="J32" s="190"/>
    </row>
    <row r="33" spans="2:10" ht="14.45" customHeight="1" x14ac:dyDescent="0.2">
      <c r="B33" s="330" t="s">
        <v>547</v>
      </c>
      <c r="C33" s="206"/>
      <c r="D33" s="182"/>
      <c r="E33" s="182"/>
      <c r="F33" s="182"/>
      <c r="G33" s="157"/>
      <c r="H33" s="10"/>
      <c r="I33" s="10"/>
      <c r="J33" s="190"/>
    </row>
    <row r="34" spans="2:10" s="12" customFormat="1" ht="14.45" customHeight="1" x14ac:dyDescent="0.2">
      <c r="B34" s="330" t="s">
        <v>566</v>
      </c>
      <c r="C34" s="208" t="s">
        <v>101</v>
      </c>
      <c r="D34" s="174"/>
      <c r="E34" s="174"/>
      <c r="F34" s="451"/>
      <c r="G34" s="174"/>
      <c r="J34" s="539"/>
    </row>
    <row r="35" spans="2:10" s="12" customFormat="1" ht="14.45" customHeight="1" thickBot="1" x14ac:dyDescent="0.25">
      <c r="B35" s="330" t="s">
        <v>567</v>
      </c>
      <c r="C35" s="14" t="s">
        <v>102</v>
      </c>
      <c r="D35" s="174"/>
      <c r="E35" s="158">
        <v>2870</v>
      </c>
      <c r="F35" s="443">
        <f>SUM(E35)</f>
        <v>2870</v>
      </c>
      <c r="G35" s="174"/>
      <c r="J35" s="539"/>
    </row>
    <row r="36" spans="2:10" s="12" customFormat="1" ht="14.45" customHeight="1" thickBot="1" x14ac:dyDescent="0.25">
      <c r="B36" s="1049" t="s">
        <v>568</v>
      </c>
      <c r="C36" s="452" t="s">
        <v>103</v>
      </c>
      <c r="D36" s="303">
        <f>SUM(D35:D35)</f>
        <v>0</v>
      </c>
      <c r="E36" s="303">
        <f>SUM(E35:E35)</f>
        <v>2870</v>
      </c>
      <c r="F36" s="920">
        <f>SUM(F35:F35)</f>
        <v>2870</v>
      </c>
      <c r="G36" s="202"/>
      <c r="J36" s="539"/>
    </row>
    <row r="37" spans="2:10" s="12" customFormat="1" ht="15.75" customHeight="1" thickBot="1" x14ac:dyDescent="0.25">
      <c r="B37" s="330" t="s">
        <v>569</v>
      </c>
      <c r="C37" s="206"/>
      <c r="D37" s="174"/>
      <c r="E37" s="174"/>
      <c r="F37" s="451"/>
      <c r="G37" s="174"/>
      <c r="J37" s="539"/>
    </row>
    <row r="38" spans="2:10" s="12" customFormat="1" ht="14.45" customHeight="1" thickBot="1" x14ac:dyDescent="0.25">
      <c r="B38" s="1049" t="s">
        <v>570</v>
      </c>
      <c r="C38" s="452" t="s">
        <v>104</v>
      </c>
      <c r="D38" s="303">
        <f t="shared" ref="D38:I38" si="1">D16+D28+D32+D36+D24+D20</f>
        <v>1447</v>
      </c>
      <c r="E38" s="303">
        <f t="shared" si="1"/>
        <v>46894</v>
      </c>
      <c r="F38" s="920">
        <f t="shared" si="1"/>
        <v>48341</v>
      </c>
      <c r="G38" s="303">
        <f t="shared" si="1"/>
        <v>0</v>
      </c>
      <c r="H38" s="303">
        <f t="shared" si="1"/>
        <v>0</v>
      </c>
      <c r="I38" s="303">
        <f t="shared" si="1"/>
        <v>0</v>
      </c>
      <c r="J38" s="539"/>
    </row>
    <row r="39" spans="2:10" s="12" customFormat="1" ht="14.45" customHeight="1" x14ac:dyDescent="0.2">
      <c r="B39" s="330" t="s">
        <v>571</v>
      </c>
      <c r="C39" s="776"/>
      <c r="D39" s="173"/>
      <c r="E39" s="173"/>
      <c r="F39" s="173"/>
      <c r="G39" s="173"/>
      <c r="H39" s="173"/>
      <c r="I39" s="173"/>
      <c r="J39" s="539"/>
    </row>
    <row r="40" spans="2:10" s="12" customFormat="1" ht="14.45" customHeight="1" x14ac:dyDescent="0.2">
      <c r="B40" s="330" t="s">
        <v>572</v>
      </c>
      <c r="C40" s="776" t="s">
        <v>669</v>
      </c>
      <c r="D40" s="173"/>
      <c r="E40" s="173"/>
      <c r="F40" s="173"/>
      <c r="G40" s="173"/>
      <c r="H40" s="173"/>
      <c r="I40" s="173"/>
      <c r="J40" s="539"/>
    </row>
    <row r="41" spans="2:10" s="12" customFormat="1" ht="14.45" customHeight="1" x14ac:dyDescent="0.2">
      <c r="B41" s="330" t="s">
        <v>573</v>
      </c>
      <c r="C41" s="204" t="s">
        <v>1106</v>
      </c>
      <c r="D41" s="173"/>
      <c r="E41" s="173"/>
      <c r="F41" s="173"/>
      <c r="G41" s="173"/>
      <c r="H41" s="173"/>
      <c r="I41" s="173"/>
      <c r="J41" s="539"/>
    </row>
    <row r="42" spans="2:10" ht="14.45" customHeight="1" x14ac:dyDescent="0.2">
      <c r="B42" s="330" t="s">
        <v>574</v>
      </c>
      <c r="C42" s="209" t="s">
        <v>1303</v>
      </c>
      <c r="E42" s="157">
        <v>1285</v>
      </c>
      <c r="F42" s="157">
        <f>D42+E42</f>
        <v>1285</v>
      </c>
      <c r="J42" s="190"/>
    </row>
    <row r="43" spans="2:10" ht="14.45" customHeight="1" thickBot="1" x14ac:dyDescent="0.25">
      <c r="B43" s="330" t="s">
        <v>626</v>
      </c>
      <c r="C43" s="776" t="s">
        <v>1109</v>
      </c>
      <c r="D43" s="178">
        <f t="shared" ref="D43:F44" si="2">SUM(D42)</f>
        <v>0</v>
      </c>
      <c r="E43" s="178">
        <f t="shared" si="2"/>
        <v>1285</v>
      </c>
      <c r="F43" s="178">
        <f t="shared" si="2"/>
        <v>1285</v>
      </c>
      <c r="J43" s="190"/>
    </row>
    <row r="44" spans="2:10" ht="14.45" customHeight="1" thickBot="1" x14ac:dyDescent="0.25">
      <c r="B44" s="1049" t="s">
        <v>627</v>
      </c>
      <c r="C44" s="452" t="s">
        <v>674</v>
      </c>
      <c r="D44" s="503">
        <f t="shared" si="2"/>
        <v>0</v>
      </c>
      <c r="E44" s="503">
        <f t="shared" si="2"/>
        <v>1285</v>
      </c>
      <c r="F44" s="1087">
        <f t="shared" si="2"/>
        <v>1285</v>
      </c>
      <c r="J44" s="190"/>
    </row>
    <row r="45" spans="2:10" ht="14.45" customHeight="1" thickBot="1" x14ac:dyDescent="0.25">
      <c r="B45" s="330" t="s">
        <v>628</v>
      </c>
      <c r="C45" s="209"/>
      <c r="J45" s="190"/>
    </row>
    <row r="46" spans="2:10" ht="14.45" customHeight="1" thickBot="1" x14ac:dyDescent="0.25">
      <c r="B46" s="1049" t="s">
        <v>629</v>
      </c>
      <c r="C46" s="452" t="s">
        <v>997</v>
      </c>
      <c r="D46" s="303">
        <f>D38+D42</f>
        <v>1447</v>
      </c>
      <c r="E46" s="303">
        <f>E38+E42</f>
        <v>48179</v>
      </c>
      <c r="F46" s="920">
        <f>F38+F42</f>
        <v>49626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9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8" hidden="1" customWidth="1"/>
    <col min="2" max="2" width="5.7109375" style="151" customWidth="1"/>
    <col min="3" max="3" width="53" style="146" customWidth="1"/>
    <col min="4" max="4" width="9" style="145" customWidth="1"/>
    <col min="5" max="5" width="9.140625" style="145"/>
    <col min="6" max="6" width="9.7109375" style="145" customWidth="1"/>
    <col min="7" max="16384" width="9.140625" style="13"/>
  </cols>
  <sheetData>
    <row r="1" spans="1:7" x14ac:dyDescent="0.2">
      <c r="B1" s="1322" t="s">
        <v>1358</v>
      </c>
      <c r="C1" s="1322"/>
      <c r="D1" s="1322"/>
      <c r="E1" s="1322"/>
      <c r="F1" s="1322"/>
    </row>
    <row r="2" spans="1:7" x14ac:dyDescent="0.2">
      <c r="B2" s="292"/>
      <c r="C2" s="292"/>
      <c r="D2" s="292"/>
      <c r="E2" s="292"/>
      <c r="F2" s="292"/>
    </row>
    <row r="3" spans="1:7" ht="13.5" customHeight="1" x14ac:dyDescent="0.2">
      <c r="B3" s="1328" t="s">
        <v>1116</v>
      </c>
      <c r="C3" s="1328"/>
      <c r="D3" s="1328"/>
      <c r="E3" s="1328"/>
      <c r="F3" s="1328"/>
    </row>
    <row r="4" spans="1:7" x14ac:dyDescent="0.2">
      <c r="B4" s="1329" t="s">
        <v>1149</v>
      </c>
      <c r="C4" s="1329"/>
      <c r="D4" s="1329"/>
      <c r="E4" s="1330"/>
      <c r="F4" s="1330"/>
    </row>
    <row r="5" spans="1:7" x14ac:dyDescent="0.2">
      <c r="B5" s="144"/>
      <c r="C5" s="144"/>
      <c r="D5" s="144"/>
      <c r="E5" s="293"/>
      <c r="F5" s="293"/>
    </row>
    <row r="6" spans="1:7" ht="12.75" x14ac:dyDescent="0.2">
      <c r="B6" s="144"/>
      <c r="C6" s="1323" t="s">
        <v>303</v>
      </c>
      <c r="D6" s="1324"/>
      <c r="E6" s="1324"/>
      <c r="F6" s="1324"/>
    </row>
    <row r="7" spans="1:7" ht="19.149999999999999" customHeight="1" x14ac:dyDescent="0.2">
      <c r="B7" s="1325" t="s">
        <v>76</v>
      </c>
      <c r="C7" s="1326" t="s">
        <v>85</v>
      </c>
      <c r="D7" s="1327" t="s">
        <v>1140</v>
      </c>
      <c r="E7" s="1327"/>
      <c r="F7" s="1327"/>
    </row>
    <row r="8" spans="1:7" s="8" customFormat="1" ht="42.75" customHeight="1" x14ac:dyDescent="0.2">
      <c r="A8" s="149"/>
      <c r="B8" s="1325"/>
      <c r="C8" s="1326"/>
      <c r="D8" s="884" t="s">
        <v>62</v>
      </c>
      <c r="E8" s="884" t="s">
        <v>63</v>
      </c>
      <c r="F8" s="884" t="s">
        <v>64</v>
      </c>
    </row>
    <row r="9" spans="1:7" ht="14.25" customHeight="1" x14ac:dyDescent="0.2">
      <c r="B9" s="150" t="s">
        <v>480</v>
      </c>
      <c r="C9" s="885" t="s">
        <v>86</v>
      </c>
      <c r="D9" s="886"/>
      <c r="E9" s="147"/>
      <c r="F9" s="887"/>
      <c r="G9" s="596"/>
    </row>
    <row r="10" spans="1:7" ht="28.9" customHeight="1" x14ac:dyDescent="0.2">
      <c r="B10" s="924" t="s">
        <v>488</v>
      </c>
      <c r="C10" s="925" t="s">
        <v>455</v>
      </c>
      <c r="D10" s="894"/>
      <c r="E10" s="926"/>
      <c r="F10" s="894"/>
      <c r="G10" s="596"/>
    </row>
    <row r="11" spans="1:7" x14ac:dyDescent="0.2">
      <c r="B11" s="150" t="s">
        <v>489</v>
      </c>
      <c r="C11" s="888" t="s">
        <v>436</v>
      </c>
      <c r="D11" s="628"/>
      <c r="E11" s="147"/>
      <c r="F11" s="628"/>
      <c r="G11" s="596"/>
    </row>
    <row r="12" spans="1:7" x14ac:dyDescent="0.2">
      <c r="B12" s="150" t="s">
        <v>490</v>
      </c>
      <c r="C12" s="888" t="s">
        <v>1206</v>
      </c>
      <c r="D12" s="628"/>
      <c r="E12" s="147">
        <v>20000</v>
      </c>
      <c r="F12" s="628">
        <f t="shared" ref="F12:F21" si="0">SUM(D12:E12)</f>
        <v>20000</v>
      </c>
      <c r="G12" s="596"/>
    </row>
    <row r="13" spans="1:7" x14ac:dyDescent="0.2">
      <c r="B13" s="150" t="s">
        <v>491</v>
      </c>
      <c r="C13" s="888" t="s">
        <v>1207</v>
      </c>
      <c r="D13" s="628"/>
      <c r="E13" s="147">
        <v>25000</v>
      </c>
      <c r="F13" s="628">
        <f t="shared" si="0"/>
        <v>25000</v>
      </c>
      <c r="G13" s="596"/>
    </row>
    <row r="14" spans="1:7" x14ac:dyDescent="0.2">
      <c r="B14" s="150" t="s">
        <v>492</v>
      </c>
      <c r="C14" s="888" t="s">
        <v>1205</v>
      </c>
      <c r="D14" s="628"/>
      <c r="E14" s="147">
        <v>7020</v>
      </c>
      <c r="F14" s="628">
        <f t="shared" si="0"/>
        <v>7020</v>
      </c>
      <c r="G14" s="596"/>
    </row>
    <row r="15" spans="1:7" x14ac:dyDescent="0.2">
      <c r="B15" s="150" t="s">
        <v>493</v>
      </c>
      <c r="C15" s="888" t="s">
        <v>437</v>
      </c>
      <c r="D15" s="628">
        <v>4500</v>
      </c>
      <c r="E15" s="147"/>
      <c r="F15" s="628">
        <f t="shared" si="0"/>
        <v>4500</v>
      </c>
      <c r="G15" s="596"/>
    </row>
    <row r="16" spans="1:7" x14ac:dyDescent="0.2">
      <c r="B16" s="150" t="s">
        <v>494</v>
      </c>
      <c r="C16" s="889" t="s">
        <v>438</v>
      </c>
      <c r="D16" s="628"/>
      <c r="E16" s="147">
        <v>2000</v>
      </c>
      <c r="F16" s="628">
        <f t="shared" si="0"/>
        <v>2000</v>
      </c>
      <c r="G16" s="596"/>
    </row>
    <row r="17" spans="1:7" ht="13.5" customHeight="1" x14ac:dyDescent="0.2">
      <c r="B17" s="150" t="s">
        <v>495</v>
      </c>
      <c r="C17" s="889" t="s">
        <v>468</v>
      </c>
      <c r="D17" s="628">
        <v>1350</v>
      </c>
      <c r="E17" s="628"/>
      <c r="F17" s="628">
        <f t="shared" si="0"/>
        <v>1350</v>
      </c>
      <c r="G17" s="596"/>
    </row>
    <row r="18" spans="1:7" ht="13.5" customHeight="1" x14ac:dyDescent="0.2">
      <c r="B18" s="150" t="s">
        <v>531</v>
      </c>
      <c r="C18" s="942" t="s">
        <v>308</v>
      </c>
      <c r="D18" s="943"/>
      <c r="E18" s="944">
        <v>50</v>
      </c>
      <c r="F18" s="943">
        <f t="shared" si="0"/>
        <v>50</v>
      </c>
      <c r="G18" s="596"/>
    </row>
    <row r="19" spans="1:7" ht="13.5" customHeight="1" x14ac:dyDescent="0.2">
      <c r="B19" s="150" t="s">
        <v>532</v>
      </c>
      <c r="C19" s="942" t="s">
        <v>1041</v>
      </c>
      <c r="D19" s="943"/>
      <c r="E19" s="944">
        <v>2802</v>
      </c>
      <c r="F19" s="943">
        <f t="shared" si="0"/>
        <v>2802</v>
      </c>
      <c r="G19" s="596"/>
    </row>
    <row r="20" spans="1:7" ht="13.5" customHeight="1" x14ac:dyDescent="0.2">
      <c r="B20" s="150" t="s">
        <v>533</v>
      </c>
      <c r="C20" s="942" t="s">
        <v>1084</v>
      </c>
      <c r="D20" s="943"/>
      <c r="E20" s="944">
        <v>191</v>
      </c>
      <c r="F20" s="943">
        <f t="shared" si="0"/>
        <v>191</v>
      </c>
      <c r="G20" s="596"/>
    </row>
    <row r="21" spans="1:7" ht="13.5" customHeight="1" thickBot="1" x14ac:dyDescent="0.25">
      <c r="B21" s="150" t="s">
        <v>534</v>
      </c>
      <c r="C21" s="942" t="s">
        <v>1304</v>
      </c>
      <c r="D21" s="943"/>
      <c r="E21" s="944">
        <v>1778</v>
      </c>
      <c r="F21" s="1221">
        <f t="shared" si="0"/>
        <v>1778</v>
      </c>
      <c r="G21" s="1088"/>
    </row>
    <row r="22" spans="1:7" ht="15" customHeight="1" thickBot="1" x14ac:dyDescent="0.25">
      <c r="B22" s="150" t="s">
        <v>535</v>
      </c>
      <c r="C22" s="1089" t="s">
        <v>456</v>
      </c>
      <c r="D22" s="896">
        <f>SUM(D12:D20)</f>
        <v>5850</v>
      </c>
      <c r="E22" s="896">
        <f>SUM(E12:E21)</f>
        <v>58841</v>
      </c>
      <c r="F22" s="897">
        <f>SUM(F12:F21)</f>
        <v>64691</v>
      </c>
      <c r="G22" s="1088"/>
    </row>
    <row r="23" spans="1:7" ht="15" customHeight="1" x14ac:dyDescent="0.2">
      <c r="B23" s="150" t="s">
        <v>536</v>
      </c>
      <c r="C23" s="892"/>
      <c r="D23" s="1186"/>
      <c r="E23" s="1187"/>
      <c r="F23" s="1188"/>
      <c r="G23" s="1088"/>
    </row>
    <row r="24" spans="1:7" x14ac:dyDescent="0.2">
      <c r="B24" s="150" t="s">
        <v>537</v>
      </c>
      <c r="C24" s="892" t="s">
        <v>457</v>
      </c>
      <c r="D24" s="628"/>
      <c r="E24" s="890"/>
      <c r="F24" s="628"/>
      <c r="G24" s="596"/>
    </row>
    <row r="25" spans="1:7" s="8" customFormat="1" ht="15.6" customHeight="1" x14ac:dyDescent="0.2">
      <c r="A25" s="149"/>
      <c r="B25" s="150" t="s">
        <v>538</v>
      </c>
      <c r="C25" s="893" t="s">
        <v>469</v>
      </c>
      <c r="D25" s="628">
        <v>103858</v>
      </c>
      <c r="E25" s="890"/>
      <c r="F25" s="628">
        <f>D25</f>
        <v>103858</v>
      </c>
      <c r="G25" s="595"/>
    </row>
    <row r="26" spans="1:7" s="8" customFormat="1" ht="12" customHeight="1" x14ac:dyDescent="0.2">
      <c r="A26" s="149"/>
      <c r="B26" s="150" t="s">
        <v>540</v>
      </c>
      <c r="C26" s="893" t="s">
        <v>312</v>
      </c>
      <c r="D26" s="628">
        <v>11554</v>
      </c>
      <c r="E26" s="890"/>
      <c r="F26" s="628">
        <f t="shared" ref="F26:F31" si="1">SUM(D26:E26)</f>
        <v>11554</v>
      </c>
      <c r="G26" s="595"/>
    </row>
    <row r="27" spans="1:7" s="8" customFormat="1" ht="12" customHeight="1" x14ac:dyDescent="0.2">
      <c r="A27" s="149"/>
      <c r="B27" s="150" t="s">
        <v>541</v>
      </c>
      <c r="C27" s="893" t="s">
        <v>971</v>
      </c>
      <c r="D27" s="628"/>
      <c r="E27" s="890"/>
      <c r="F27" s="628">
        <f t="shared" si="1"/>
        <v>0</v>
      </c>
      <c r="G27" s="595"/>
    </row>
    <row r="28" spans="1:7" s="8" customFormat="1" x14ac:dyDescent="0.2">
      <c r="A28" s="149"/>
      <c r="B28" s="150" t="s">
        <v>542</v>
      </c>
      <c r="C28" s="891" t="s">
        <v>1052</v>
      </c>
      <c r="D28" s="628"/>
      <c r="E28" s="890">
        <v>19500</v>
      </c>
      <c r="F28" s="628">
        <f t="shared" si="1"/>
        <v>19500</v>
      </c>
      <c r="G28" s="595"/>
    </row>
    <row r="29" spans="1:7" s="8" customFormat="1" x14ac:dyDescent="0.2">
      <c r="A29" s="149"/>
      <c r="B29" s="150" t="s">
        <v>543</v>
      </c>
      <c r="C29" s="891" t="s">
        <v>310</v>
      </c>
      <c r="D29" s="628"/>
      <c r="E29" s="890">
        <v>65000</v>
      </c>
      <c r="F29" s="628">
        <f t="shared" si="1"/>
        <v>65000</v>
      </c>
      <c r="G29" s="595"/>
    </row>
    <row r="30" spans="1:7" s="8" customFormat="1" x14ac:dyDescent="0.2">
      <c r="A30" s="149"/>
      <c r="B30" s="150" t="s">
        <v>544</v>
      </c>
      <c r="C30" s="891" t="s">
        <v>1048</v>
      </c>
      <c r="D30" s="628"/>
      <c r="E30" s="890">
        <v>5000</v>
      </c>
      <c r="F30" s="628">
        <f t="shared" si="1"/>
        <v>5000</v>
      </c>
      <c r="G30" s="595"/>
    </row>
    <row r="31" spans="1:7" s="8" customFormat="1" x14ac:dyDescent="0.2">
      <c r="A31" s="149"/>
      <c r="B31" s="150" t="s">
        <v>545</v>
      </c>
      <c r="C31" s="891" t="s">
        <v>1244</v>
      </c>
      <c r="D31" s="628"/>
      <c r="E31" s="890">
        <v>50000</v>
      </c>
      <c r="F31" s="628">
        <f t="shared" si="1"/>
        <v>50000</v>
      </c>
      <c r="G31" s="595"/>
    </row>
    <row r="32" spans="1:7" s="8" customFormat="1" x14ac:dyDescent="0.2">
      <c r="A32" s="149"/>
      <c r="B32" s="150" t="s">
        <v>546</v>
      </c>
      <c r="C32" s="809" t="s">
        <v>181</v>
      </c>
      <c r="D32" s="894"/>
      <c r="E32" s="895">
        <v>2000</v>
      </c>
      <c r="F32" s="894">
        <f>D32+E32</f>
        <v>2000</v>
      </c>
      <c r="G32" s="595"/>
    </row>
    <row r="33" spans="1:7" s="8" customFormat="1" x14ac:dyDescent="0.2">
      <c r="A33" s="149"/>
      <c r="B33" s="150" t="s">
        <v>547</v>
      </c>
      <c r="C33" s="809" t="s">
        <v>311</v>
      </c>
      <c r="D33" s="894"/>
      <c r="E33" s="895">
        <v>3500</v>
      </c>
      <c r="F33" s="894">
        <f>D33+E33</f>
        <v>3500</v>
      </c>
      <c r="G33" s="595"/>
    </row>
    <row r="34" spans="1:7" s="8" customFormat="1" x14ac:dyDescent="0.2">
      <c r="A34" s="149"/>
      <c r="B34" s="150" t="s">
        <v>566</v>
      </c>
      <c r="C34" s="809" t="s">
        <v>313</v>
      </c>
      <c r="D34" s="894"/>
      <c r="E34" s="895">
        <v>500</v>
      </c>
      <c r="F34" s="894">
        <f>D34+E34</f>
        <v>500</v>
      </c>
      <c r="G34" s="595"/>
    </row>
    <row r="35" spans="1:7" s="8" customFormat="1" x14ac:dyDescent="0.2">
      <c r="A35" s="149"/>
      <c r="B35" s="150" t="s">
        <v>567</v>
      </c>
      <c r="C35" s="891" t="s">
        <v>314</v>
      </c>
      <c r="D35" s="894"/>
      <c r="E35" s="895">
        <v>1000</v>
      </c>
      <c r="F35" s="894">
        <f>E35</f>
        <v>1000</v>
      </c>
      <c r="G35" s="595"/>
    </row>
    <row r="36" spans="1:7" s="8" customFormat="1" x14ac:dyDescent="0.2">
      <c r="A36" s="149"/>
      <c r="B36" s="150" t="s">
        <v>568</v>
      </c>
      <c r="C36" s="891" t="s">
        <v>1296</v>
      </c>
      <c r="D36" s="894"/>
      <c r="E36" s="895">
        <v>1200</v>
      </c>
      <c r="F36" s="894">
        <f>SUM(D36:E36)</f>
        <v>1200</v>
      </c>
      <c r="G36" s="1050"/>
    </row>
    <row r="37" spans="1:7" s="8" customFormat="1" x14ac:dyDescent="0.2">
      <c r="A37" s="149"/>
      <c r="B37" s="150" t="s">
        <v>569</v>
      </c>
      <c r="C37" s="891" t="s">
        <v>170</v>
      </c>
      <c r="D37" s="894"/>
      <c r="E37" s="895">
        <v>300</v>
      </c>
      <c r="F37" s="894">
        <f t="shared" ref="F37:F59" si="2">D37+E37</f>
        <v>300</v>
      </c>
      <c r="G37" s="595"/>
    </row>
    <row r="38" spans="1:7" s="8" customFormat="1" x14ac:dyDescent="0.2">
      <c r="A38" s="149"/>
      <c r="B38" s="150" t="s">
        <v>570</v>
      </c>
      <c r="C38" s="891" t="s">
        <v>171</v>
      </c>
      <c r="D38" s="894"/>
      <c r="E38" s="895">
        <v>2000</v>
      </c>
      <c r="F38" s="894">
        <f t="shared" si="2"/>
        <v>2000</v>
      </c>
      <c r="G38" s="595"/>
    </row>
    <row r="39" spans="1:7" s="8" customFormat="1" x14ac:dyDescent="0.2">
      <c r="A39" s="149"/>
      <c r="B39" s="150" t="s">
        <v>571</v>
      </c>
      <c r="C39" s="891" t="s">
        <v>287</v>
      </c>
      <c r="D39" s="894"/>
      <c r="E39" s="895">
        <v>1000</v>
      </c>
      <c r="F39" s="894">
        <f t="shared" si="2"/>
        <v>1000</v>
      </c>
      <c r="G39" s="595"/>
    </row>
    <row r="40" spans="1:7" s="8" customFormat="1" x14ac:dyDescent="0.2">
      <c r="A40" s="149"/>
      <c r="B40" s="150" t="s">
        <v>572</v>
      </c>
      <c r="C40" s="891" t="s">
        <v>288</v>
      </c>
      <c r="D40" s="894"/>
      <c r="E40" s="895">
        <v>2000</v>
      </c>
      <c r="F40" s="894">
        <f t="shared" si="2"/>
        <v>2000</v>
      </c>
      <c r="G40" s="595"/>
    </row>
    <row r="41" spans="1:7" s="8" customFormat="1" x14ac:dyDescent="0.2">
      <c r="A41" s="149"/>
      <c r="B41" s="150" t="s">
        <v>573</v>
      </c>
      <c r="C41" s="891" t="s">
        <v>939</v>
      </c>
      <c r="D41" s="894"/>
      <c r="E41" s="1219">
        <v>500</v>
      </c>
      <c r="F41" s="894">
        <v>500</v>
      </c>
      <c r="G41" s="595"/>
    </row>
    <row r="42" spans="1:7" s="8" customFormat="1" x14ac:dyDescent="0.2">
      <c r="A42" s="149"/>
      <c r="B42" s="150" t="s">
        <v>574</v>
      </c>
      <c r="C42" s="891" t="s">
        <v>940</v>
      </c>
      <c r="D42" s="894"/>
      <c r="E42" s="895">
        <v>300</v>
      </c>
      <c r="F42" s="894">
        <f t="shared" si="2"/>
        <v>300</v>
      </c>
      <c r="G42" s="595"/>
    </row>
    <row r="43" spans="1:7" s="8" customFormat="1" x14ac:dyDescent="0.2">
      <c r="A43" s="149"/>
      <c r="B43" s="150" t="s">
        <v>626</v>
      </c>
      <c r="C43" s="891" t="s">
        <v>968</v>
      </c>
      <c r="D43" s="894"/>
      <c r="E43" s="895">
        <v>50</v>
      </c>
      <c r="F43" s="894">
        <f t="shared" si="2"/>
        <v>50</v>
      </c>
      <c r="G43" s="595"/>
    </row>
    <row r="44" spans="1:7" s="8" customFormat="1" ht="12.75" customHeight="1" x14ac:dyDescent="0.2">
      <c r="A44" s="149"/>
      <c r="B44" s="150" t="s">
        <v>627</v>
      </c>
      <c r="C44" s="891" t="s">
        <v>1051</v>
      </c>
      <c r="D44" s="894"/>
      <c r="E44" s="895">
        <v>900</v>
      </c>
      <c r="F44" s="894">
        <f t="shared" si="2"/>
        <v>900</v>
      </c>
      <c r="G44" s="595"/>
    </row>
    <row r="45" spans="1:7" s="8" customFormat="1" x14ac:dyDescent="0.2">
      <c r="A45" s="149"/>
      <c r="B45" s="150" t="s">
        <v>628</v>
      </c>
      <c r="C45" s="891" t="s">
        <v>969</v>
      </c>
      <c r="D45" s="894"/>
      <c r="E45" s="895">
        <v>100</v>
      </c>
      <c r="F45" s="894">
        <f t="shared" si="2"/>
        <v>100</v>
      </c>
      <c r="G45" s="595"/>
    </row>
    <row r="46" spans="1:7" s="8" customFormat="1" x14ac:dyDescent="0.2">
      <c r="A46" s="149"/>
      <c r="B46" s="150" t="s">
        <v>629</v>
      </c>
      <c r="C46" s="945" t="s">
        <v>970</v>
      </c>
      <c r="D46" s="946"/>
      <c r="E46" s="947">
        <v>75</v>
      </c>
      <c r="F46" s="946">
        <f t="shared" si="2"/>
        <v>75</v>
      </c>
      <c r="G46" s="595"/>
    </row>
    <row r="47" spans="1:7" s="8" customFormat="1" x14ac:dyDescent="0.2">
      <c r="A47" s="149"/>
      <c r="B47" s="150" t="s">
        <v>116</v>
      </c>
      <c r="C47" s="945" t="s">
        <v>1245</v>
      </c>
      <c r="D47" s="946"/>
      <c r="E47" s="947">
        <v>2500</v>
      </c>
      <c r="F47" s="946">
        <f t="shared" si="2"/>
        <v>2500</v>
      </c>
      <c r="G47" s="595"/>
    </row>
    <row r="48" spans="1:7" s="8" customFormat="1" x14ac:dyDescent="0.2">
      <c r="A48" s="149"/>
      <c r="B48" s="150" t="s">
        <v>654</v>
      </c>
      <c r="C48" s="945" t="s">
        <v>1049</v>
      </c>
      <c r="D48" s="946"/>
      <c r="E48" s="947">
        <v>50</v>
      </c>
      <c r="F48" s="946">
        <f t="shared" si="2"/>
        <v>50</v>
      </c>
      <c r="G48" s="595"/>
    </row>
    <row r="49" spans="1:7" s="8" customFormat="1" ht="24" x14ac:dyDescent="0.2">
      <c r="A49" s="149"/>
      <c r="B49" s="150" t="s">
        <v>655</v>
      </c>
      <c r="C49" s="1120" t="s">
        <v>1050</v>
      </c>
      <c r="D49" s="946"/>
      <c r="E49" s="947">
        <v>150</v>
      </c>
      <c r="F49" s="946">
        <f t="shared" si="2"/>
        <v>150</v>
      </c>
      <c r="G49" s="595"/>
    </row>
    <row r="50" spans="1:7" s="8" customFormat="1" x14ac:dyDescent="0.2">
      <c r="A50" s="149"/>
      <c r="B50" s="150" t="s">
        <v>119</v>
      </c>
      <c r="C50" s="945" t="s">
        <v>1057</v>
      </c>
      <c r="D50" s="946"/>
      <c r="E50" s="947">
        <v>127</v>
      </c>
      <c r="F50" s="946">
        <f t="shared" si="2"/>
        <v>127</v>
      </c>
      <c r="G50" s="595"/>
    </row>
    <row r="51" spans="1:7" s="8" customFormat="1" ht="25.5" customHeight="1" x14ac:dyDescent="0.2">
      <c r="A51" s="149"/>
      <c r="B51" s="150" t="s">
        <v>120</v>
      </c>
      <c r="C51" s="1120" t="s">
        <v>1130</v>
      </c>
      <c r="D51" s="946"/>
      <c r="E51" s="947"/>
      <c r="F51" s="946">
        <f t="shared" si="2"/>
        <v>0</v>
      </c>
      <c r="G51" s="595"/>
    </row>
    <row r="52" spans="1:7" s="8" customFormat="1" ht="12.75" customHeight="1" x14ac:dyDescent="0.2">
      <c r="A52" s="149"/>
      <c r="B52" s="150" t="s">
        <v>121</v>
      </c>
      <c r="C52" s="945" t="s">
        <v>1127</v>
      </c>
      <c r="D52" s="946"/>
      <c r="E52" s="947"/>
      <c r="F52" s="946">
        <f t="shared" si="2"/>
        <v>0</v>
      </c>
      <c r="G52" s="595"/>
    </row>
    <row r="53" spans="1:7" s="8" customFormat="1" ht="25.5" customHeight="1" x14ac:dyDescent="0.2">
      <c r="A53" s="149"/>
      <c r="B53" s="150" t="s">
        <v>124</v>
      </c>
      <c r="C53" s="1120" t="s">
        <v>1129</v>
      </c>
      <c r="D53" s="946"/>
      <c r="E53" s="947"/>
      <c r="F53" s="946">
        <f t="shared" si="2"/>
        <v>0</v>
      </c>
      <c r="G53" s="595"/>
    </row>
    <row r="54" spans="1:7" s="8" customFormat="1" ht="12.75" customHeight="1" x14ac:dyDescent="0.2">
      <c r="A54" s="149"/>
      <c r="B54" s="150" t="s">
        <v>127</v>
      </c>
      <c r="C54" s="945" t="s">
        <v>1128</v>
      </c>
      <c r="D54" s="946"/>
      <c r="E54" s="947"/>
      <c r="F54" s="946">
        <f t="shared" si="2"/>
        <v>0</v>
      </c>
      <c r="G54" s="595"/>
    </row>
    <row r="55" spans="1:7" s="8" customFormat="1" ht="27" customHeight="1" x14ac:dyDescent="0.2">
      <c r="A55" s="149"/>
      <c r="B55" s="150" t="s">
        <v>128</v>
      </c>
      <c r="C55" s="945" t="s">
        <v>1230</v>
      </c>
      <c r="D55" s="946"/>
      <c r="E55" s="947">
        <v>16674</v>
      </c>
      <c r="F55" s="946">
        <f t="shared" si="2"/>
        <v>16674</v>
      </c>
      <c r="G55" s="595"/>
    </row>
    <row r="56" spans="1:7" s="8" customFormat="1" ht="15" customHeight="1" x14ac:dyDescent="0.2">
      <c r="A56" s="149"/>
      <c r="B56" s="150" t="s">
        <v>129</v>
      </c>
      <c r="C56" s="945" t="s">
        <v>1282</v>
      </c>
      <c r="D56" s="946"/>
      <c r="E56" s="947">
        <v>1000</v>
      </c>
      <c r="F56" s="946">
        <f t="shared" si="2"/>
        <v>1000</v>
      </c>
      <c r="G56" s="595"/>
    </row>
    <row r="57" spans="1:7" s="8" customFormat="1" ht="15" customHeight="1" x14ac:dyDescent="0.2">
      <c r="A57" s="149"/>
      <c r="B57" s="150" t="s">
        <v>130</v>
      </c>
      <c r="C57" s="945" t="s">
        <v>1283</v>
      </c>
      <c r="D57" s="946"/>
      <c r="E57" s="947">
        <v>500</v>
      </c>
      <c r="F57" s="946">
        <f t="shared" si="2"/>
        <v>500</v>
      </c>
      <c r="G57" s="595"/>
    </row>
    <row r="58" spans="1:7" s="8" customFormat="1" ht="15" customHeight="1" x14ac:dyDescent="0.2">
      <c r="A58" s="149"/>
      <c r="B58" s="150" t="s">
        <v>133</v>
      </c>
      <c r="C58" s="945" t="s">
        <v>1305</v>
      </c>
      <c r="D58" s="946"/>
      <c r="E58" s="947">
        <v>200</v>
      </c>
      <c r="F58" s="946">
        <f t="shared" si="2"/>
        <v>200</v>
      </c>
      <c r="G58" s="595"/>
    </row>
    <row r="59" spans="1:7" s="8" customFormat="1" ht="15" customHeight="1" x14ac:dyDescent="0.2">
      <c r="A59" s="149"/>
      <c r="B59" s="150" t="s">
        <v>136</v>
      </c>
      <c r="C59" s="945" t="s">
        <v>1306</v>
      </c>
      <c r="D59" s="946"/>
      <c r="E59" s="947">
        <v>50</v>
      </c>
      <c r="F59" s="946">
        <f t="shared" si="2"/>
        <v>50</v>
      </c>
      <c r="G59" s="595"/>
    </row>
    <row r="60" spans="1:7" s="8" customFormat="1" ht="12.75" thickBot="1" x14ac:dyDescent="0.25">
      <c r="A60" s="149"/>
      <c r="B60" s="150" t="s">
        <v>139</v>
      </c>
      <c r="C60" s="891" t="s">
        <v>1039</v>
      </c>
      <c r="D60" s="894">
        <v>0</v>
      </c>
      <c r="E60" s="895">
        <v>430</v>
      </c>
      <c r="F60" s="894">
        <f>SUM(D60:E60)</f>
        <v>430</v>
      </c>
      <c r="G60" s="595"/>
    </row>
    <row r="61" spans="1:7" s="8" customFormat="1" ht="12.75" thickBot="1" x14ac:dyDescent="0.25">
      <c r="A61" s="149"/>
      <c r="B61" s="150" t="s">
        <v>140</v>
      </c>
      <c r="C61" s="1089" t="s">
        <v>458</v>
      </c>
      <c r="D61" s="896">
        <f>SUM(D24:D60)</f>
        <v>115412</v>
      </c>
      <c r="E61" s="896">
        <f>SUM(E28:E60)</f>
        <v>176606</v>
      </c>
      <c r="F61" s="897">
        <f>SUM(F24:F60)</f>
        <v>292018</v>
      </c>
      <c r="G61" s="847"/>
    </row>
    <row r="62" spans="1:7" ht="12.75" thickBot="1" x14ac:dyDescent="0.25">
      <c r="B62" s="150" t="s">
        <v>143</v>
      </c>
      <c r="C62" s="888"/>
      <c r="D62" s="628"/>
      <c r="E62" s="147"/>
      <c r="F62" s="628"/>
      <c r="G62" s="596"/>
    </row>
    <row r="63" spans="1:7" ht="12.75" thickBot="1" x14ac:dyDescent="0.25">
      <c r="B63" s="150" t="s">
        <v>144</v>
      </c>
      <c r="C63" s="1091" t="s">
        <v>1110</v>
      </c>
      <c r="D63" s="1092">
        <f>D22+D61</f>
        <v>121262</v>
      </c>
      <c r="E63" s="1092">
        <f>E22+E61</f>
        <v>235447</v>
      </c>
      <c r="F63" s="1104">
        <f>F22+F61</f>
        <v>356709</v>
      </c>
    </row>
    <row r="64" spans="1:7" x14ac:dyDescent="0.2">
      <c r="B64" s="150" t="s">
        <v>145</v>
      </c>
    </row>
    <row r="65" spans="2:11" x14ac:dyDescent="0.2">
      <c r="B65" s="150" t="s">
        <v>146</v>
      </c>
      <c r="C65" s="1222" t="s">
        <v>328</v>
      </c>
      <c r="D65" s="1228"/>
      <c r="E65" s="1228"/>
      <c r="F65" s="1228"/>
    </row>
    <row r="66" spans="2:11" x14ac:dyDescent="0.2">
      <c r="B66" s="150" t="s">
        <v>147</v>
      </c>
      <c r="C66" s="1223" t="s">
        <v>455</v>
      </c>
      <c r="D66" s="1228"/>
      <c r="E66" s="1228"/>
      <c r="F66" s="1228"/>
    </row>
    <row r="67" spans="2:11" ht="12.75" thickBot="1" x14ac:dyDescent="0.25">
      <c r="B67" s="150" t="s">
        <v>149</v>
      </c>
      <c r="C67" s="1224" t="s">
        <v>1307</v>
      </c>
      <c r="D67" s="1228">
        <v>13</v>
      </c>
      <c r="E67" s="1228"/>
      <c r="F67" s="1228">
        <f>D67+E67</f>
        <v>13</v>
      </c>
    </row>
    <row r="68" spans="2:11" ht="12.75" thickBot="1" x14ac:dyDescent="0.25">
      <c r="B68" s="150" t="s">
        <v>152</v>
      </c>
      <c r="C68" s="1225" t="s">
        <v>1113</v>
      </c>
      <c r="D68" s="1229">
        <f>SUM(D67)</f>
        <v>13</v>
      </c>
      <c r="E68" s="1229">
        <f t="shared" ref="E68:F68" si="3">SUM(E67)</f>
        <v>0</v>
      </c>
      <c r="F68" s="1237">
        <f t="shared" si="3"/>
        <v>13</v>
      </c>
      <c r="G68" s="1238"/>
    </row>
    <row r="69" spans="2:11" x14ac:dyDescent="0.2">
      <c r="B69" s="150"/>
      <c r="C69" s="1226"/>
      <c r="D69" s="1230"/>
      <c r="E69" s="1230"/>
      <c r="F69" s="1230"/>
    </row>
    <row r="70" spans="2:11" x14ac:dyDescent="0.2">
      <c r="B70" s="150"/>
      <c r="C70" s="1223" t="s">
        <v>457</v>
      </c>
      <c r="D70" s="1230"/>
      <c r="E70" s="1230"/>
      <c r="F70" s="1230"/>
      <c r="K70" s="1088"/>
    </row>
    <row r="71" spans="2:11" ht="12.75" thickBot="1" x14ac:dyDescent="0.25">
      <c r="B71" s="150"/>
      <c r="C71" s="1234" t="s">
        <v>1308</v>
      </c>
      <c r="D71" s="1228">
        <v>9</v>
      </c>
      <c r="E71" s="1228"/>
      <c r="F71" s="1228">
        <f>E71+D71</f>
        <v>9</v>
      </c>
    </row>
    <row r="72" spans="2:11" ht="12.75" thickBot="1" x14ac:dyDescent="0.25">
      <c r="B72" s="150" t="s">
        <v>154</v>
      </c>
      <c r="C72" s="1235" t="s">
        <v>1309</v>
      </c>
      <c r="D72" s="1229">
        <f>SUM(D71)</f>
        <v>9</v>
      </c>
      <c r="E72" s="1229"/>
      <c r="F72" s="1236">
        <f>SUM(F71)</f>
        <v>9</v>
      </c>
    </row>
    <row r="73" spans="2:11" ht="12.75" thickBot="1" x14ac:dyDescent="0.25">
      <c r="B73" s="150"/>
      <c r="C73" s="1223"/>
      <c r="D73" s="1230"/>
      <c r="E73" s="1230"/>
      <c r="F73" s="1230"/>
    </row>
    <row r="74" spans="2:11" ht="12.75" thickBot="1" x14ac:dyDescent="0.25">
      <c r="B74" s="150" t="s">
        <v>155</v>
      </c>
      <c r="C74" s="1227" t="s">
        <v>1111</v>
      </c>
      <c r="D74" s="1229">
        <f>D68+D72</f>
        <v>22</v>
      </c>
      <c r="E74" s="1229">
        <f t="shared" ref="E74:F74" si="4">E68+E72</f>
        <v>0</v>
      </c>
      <c r="F74" s="1229">
        <f t="shared" si="4"/>
        <v>22</v>
      </c>
    </row>
    <row r="75" spans="2:11" x14ac:dyDescent="0.2">
      <c r="B75" s="150" t="s">
        <v>156</v>
      </c>
      <c r="C75" s="1090"/>
      <c r="D75" s="1093"/>
      <c r="E75" s="1093"/>
      <c r="F75" s="1093"/>
    </row>
    <row r="76" spans="2:11" ht="24" x14ac:dyDescent="0.2">
      <c r="B76" s="150" t="s">
        <v>1082</v>
      </c>
      <c r="C76" s="1223" t="s">
        <v>1114</v>
      </c>
      <c r="D76" s="1231">
        <f>D22+D68</f>
        <v>5863</v>
      </c>
      <c r="E76" s="1231">
        <f>E22+E68</f>
        <v>58841</v>
      </c>
      <c r="F76" s="1231">
        <f>F22+F68</f>
        <v>64704</v>
      </c>
    </row>
    <row r="77" spans="2:11" ht="24" x14ac:dyDescent="0.2">
      <c r="B77" s="150" t="s">
        <v>1083</v>
      </c>
      <c r="C77" s="1223" t="s">
        <v>1115</v>
      </c>
      <c r="D77" s="1231">
        <f>D61+D72</f>
        <v>115421</v>
      </c>
      <c r="E77" s="1231">
        <f t="shared" ref="E77:F77" si="5">E61+E72</f>
        <v>176606</v>
      </c>
      <c r="F77" s="1231">
        <f t="shared" si="5"/>
        <v>292027</v>
      </c>
    </row>
    <row r="78" spans="2:11" ht="12.75" thickBot="1" x14ac:dyDescent="0.25">
      <c r="B78" s="150" t="s">
        <v>1278</v>
      </c>
      <c r="C78" s="1224"/>
      <c r="D78" s="1228"/>
      <c r="E78" s="1228"/>
      <c r="F78" s="1233"/>
    </row>
    <row r="79" spans="2:11" ht="24.75" thickBot="1" x14ac:dyDescent="0.25">
      <c r="B79" s="150" t="s">
        <v>1279</v>
      </c>
      <c r="C79" s="1227" t="s">
        <v>1112</v>
      </c>
      <c r="D79" s="1232">
        <f>D63+D74</f>
        <v>121284</v>
      </c>
      <c r="E79" s="1232">
        <f>E63+E74</f>
        <v>235447</v>
      </c>
      <c r="F79" s="1208">
        <f>F63+F74</f>
        <v>356731</v>
      </c>
    </row>
  </sheetData>
  <sheetProtection selectLockedCells="1" selectUnlockedCells="1"/>
  <mergeCells count="7">
    <mergeCell ref="B1:F1"/>
    <mergeCell ref="C6:F6"/>
    <mergeCell ref="B7:B8"/>
    <mergeCell ref="C7:C8"/>
    <mergeCell ref="D7:F7"/>
    <mergeCell ref="B3:F3"/>
    <mergeCell ref="B4:F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66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36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26" customWidth="1"/>
    <col min="2" max="2" width="41.42578125" style="336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4" customWidth="1"/>
    <col min="8" max="8" width="7.28515625" style="114" customWidth="1"/>
    <col min="9" max="16384" width="9.140625" style="84"/>
  </cols>
  <sheetData>
    <row r="1" spans="1:9" ht="12.75" customHeight="1" x14ac:dyDescent="0.2">
      <c r="A1" s="1331" t="s">
        <v>1359</v>
      </c>
      <c r="B1" s="1331"/>
      <c r="C1" s="1331"/>
      <c r="D1" s="1331"/>
      <c r="E1" s="1331"/>
      <c r="F1" s="1331"/>
      <c r="G1" s="1299"/>
      <c r="H1" s="1299"/>
    </row>
    <row r="2" spans="1:9" ht="14.1" customHeight="1" x14ac:dyDescent="0.2">
      <c r="A2" s="1332" t="s">
        <v>77</v>
      </c>
      <c r="B2" s="1332"/>
      <c r="C2" s="1332"/>
      <c r="D2" s="1332"/>
      <c r="E2" s="1332"/>
      <c r="F2" s="1332"/>
      <c r="G2" s="1299"/>
      <c r="H2" s="1299"/>
    </row>
    <row r="3" spans="1:9" ht="14.1" customHeight="1" x14ac:dyDescent="0.2">
      <c r="A3" s="337"/>
      <c r="B3" s="1343" t="s">
        <v>1159</v>
      </c>
      <c r="C3" s="1343"/>
      <c r="D3" s="1343"/>
      <c r="E3" s="1343"/>
      <c r="F3" s="1343"/>
      <c r="G3" s="1343"/>
      <c r="H3" s="1343"/>
    </row>
    <row r="4" spans="1:9" ht="14.25" customHeight="1" thickBot="1" x14ac:dyDescent="0.25">
      <c r="A4" s="1335" t="s">
        <v>303</v>
      </c>
      <c r="B4" s="1335"/>
      <c r="C4" s="1335"/>
      <c r="D4" s="1335"/>
      <c r="E4" s="1335"/>
      <c r="F4" s="1335"/>
      <c r="G4" s="1336"/>
      <c r="H4" s="1336"/>
    </row>
    <row r="5" spans="1:9" ht="24" customHeight="1" thickBot="1" x14ac:dyDescent="0.25">
      <c r="A5" s="1337" t="s">
        <v>470</v>
      </c>
      <c r="B5" s="334" t="s">
        <v>57</v>
      </c>
      <c r="C5" s="87" t="s">
        <v>58</v>
      </c>
      <c r="D5" s="87" t="s">
        <v>59</v>
      </c>
      <c r="E5" s="87" t="s">
        <v>60</v>
      </c>
      <c r="F5" s="88" t="s">
        <v>471</v>
      </c>
      <c r="G5" s="88" t="s">
        <v>472</v>
      </c>
      <c r="H5" s="540" t="s">
        <v>473</v>
      </c>
    </row>
    <row r="6" spans="1:9" ht="1.9" hidden="1" customHeight="1" thickBot="1" x14ac:dyDescent="0.25">
      <c r="A6" s="1337"/>
      <c r="B6" s="335"/>
      <c r="C6" s="141"/>
      <c r="D6" s="141"/>
      <c r="E6" s="141"/>
      <c r="F6" s="142"/>
    </row>
    <row r="7" spans="1:9" s="268" customFormat="1" ht="23.25" customHeight="1" thickBot="1" x14ac:dyDescent="0.25">
      <c r="A7" s="1337"/>
      <c r="B7" s="335"/>
      <c r="C7" s="141"/>
      <c r="D7" s="1344" t="s">
        <v>316</v>
      </c>
      <c r="E7" s="1345"/>
      <c r="F7" s="1346"/>
      <c r="G7" s="1333" t="s">
        <v>1140</v>
      </c>
      <c r="H7" s="1334"/>
    </row>
    <row r="8" spans="1:9" s="83" customFormat="1" ht="30.75" customHeight="1" thickBot="1" x14ac:dyDescent="0.25">
      <c r="A8" s="1337"/>
      <c r="B8" s="1338" t="s">
        <v>85</v>
      </c>
      <c r="C8" s="1338" t="s">
        <v>474</v>
      </c>
      <c r="D8" s="1347" t="s">
        <v>475</v>
      </c>
      <c r="E8" s="1347" t="s">
        <v>476</v>
      </c>
      <c r="F8" s="1340" t="s">
        <v>477</v>
      </c>
      <c r="G8" s="1339" t="s">
        <v>62</v>
      </c>
      <c r="H8" s="1341" t="s">
        <v>63</v>
      </c>
    </row>
    <row r="9" spans="1:9" s="83" customFormat="1" ht="41.25" customHeight="1" thickBot="1" x14ac:dyDescent="0.25">
      <c r="A9" s="1337"/>
      <c r="B9" s="1338"/>
      <c r="C9" s="1338"/>
      <c r="D9" s="1347"/>
      <c r="E9" s="1347"/>
      <c r="F9" s="1340"/>
      <c r="G9" s="1340"/>
      <c r="H9" s="1342"/>
    </row>
    <row r="10" spans="1:9" ht="14.1" customHeight="1" x14ac:dyDescent="0.2">
      <c r="A10" s="130"/>
      <c r="B10" s="89" t="s">
        <v>77</v>
      </c>
      <c r="C10" s="90"/>
      <c r="D10" s="90"/>
      <c r="E10" s="90"/>
      <c r="F10" s="91"/>
      <c r="H10" s="613"/>
      <c r="I10" s="597"/>
    </row>
    <row r="11" spans="1:9" ht="14.1" customHeight="1" x14ac:dyDescent="0.2">
      <c r="A11" s="130"/>
      <c r="B11" s="89"/>
      <c r="C11" s="90"/>
      <c r="D11" s="90"/>
      <c r="E11" s="90"/>
      <c r="F11" s="91"/>
      <c r="H11" s="614"/>
      <c r="I11" s="597"/>
    </row>
    <row r="12" spans="1:9" ht="14.1" customHeight="1" x14ac:dyDescent="0.2">
      <c r="A12" s="322" t="s">
        <v>478</v>
      </c>
      <c r="B12" s="89" t="s">
        <v>479</v>
      </c>
      <c r="C12" s="90"/>
      <c r="D12" s="90"/>
      <c r="E12" s="90"/>
      <c r="F12" s="91"/>
      <c r="H12" s="614"/>
      <c r="I12" s="597"/>
    </row>
    <row r="13" spans="1:9" ht="18.75" customHeight="1" x14ac:dyDescent="0.2">
      <c r="A13" s="282" t="s">
        <v>480</v>
      </c>
      <c r="B13" s="109" t="s">
        <v>1233</v>
      </c>
      <c r="C13" s="795" t="s">
        <v>947</v>
      </c>
      <c r="D13" s="128">
        <v>1930</v>
      </c>
      <c r="E13" s="128">
        <v>520</v>
      </c>
      <c r="F13" s="107">
        <f t="shared" ref="F13" si="0">D13+E13</f>
        <v>2450</v>
      </c>
      <c r="G13" s="86">
        <f t="shared" ref="G13" si="1">F13</f>
        <v>2450</v>
      </c>
      <c r="H13" s="614"/>
      <c r="I13" s="597"/>
    </row>
    <row r="14" spans="1:9" s="101" customFormat="1" ht="14.25" customHeight="1" x14ac:dyDescent="0.2">
      <c r="A14" s="282" t="s">
        <v>488</v>
      </c>
      <c r="B14" s="92" t="s">
        <v>1246</v>
      </c>
      <c r="C14" s="476" t="s">
        <v>481</v>
      </c>
      <c r="D14" s="128">
        <v>12000</v>
      </c>
      <c r="E14" s="128">
        <v>3240</v>
      </c>
      <c r="F14" s="107">
        <f>D14+E14</f>
        <v>15240</v>
      </c>
      <c r="G14" s="85"/>
      <c r="H14" s="90">
        <f>F14</f>
        <v>15240</v>
      </c>
      <c r="I14" s="598"/>
    </row>
    <row r="15" spans="1:9" s="101" customFormat="1" ht="16.5" customHeight="1" x14ac:dyDescent="0.2">
      <c r="A15" s="282" t="s">
        <v>489</v>
      </c>
      <c r="B15" s="92" t="s">
        <v>1284</v>
      </c>
      <c r="C15" s="795" t="s">
        <v>947</v>
      </c>
      <c r="D15" s="128">
        <v>14540</v>
      </c>
      <c r="E15" s="128">
        <v>3926</v>
      </c>
      <c r="F15" s="107">
        <f>SUM(D15:E15)</f>
        <v>18466</v>
      </c>
      <c r="G15" s="85"/>
      <c r="H15" s="90">
        <f>F15</f>
        <v>18466</v>
      </c>
      <c r="I15" s="598"/>
    </row>
    <row r="16" spans="1:9" s="101" customFormat="1" ht="16.5" customHeight="1" x14ac:dyDescent="0.2">
      <c r="A16" s="282" t="s">
        <v>490</v>
      </c>
      <c r="B16" s="92" t="s">
        <v>1310</v>
      </c>
      <c r="C16" s="795" t="s">
        <v>947</v>
      </c>
      <c r="D16" s="128">
        <v>276</v>
      </c>
      <c r="E16" s="128">
        <v>75</v>
      </c>
      <c r="F16" s="107">
        <f>SUM(D16:E16)</f>
        <v>351</v>
      </c>
      <c r="G16" s="85">
        <f>F16</f>
        <v>351</v>
      </c>
      <c r="H16" s="90"/>
      <c r="I16" s="598"/>
    </row>
    <row r="17" spans="1:11" s="101" customFormat="1" ht="10.5" customHeight="1" thickBot="1" x14ac:dyDescent="0.25">
      <c r="A17" s="282"/>
      <c r="B17" s="92"/>
      <c r="C17" s="795"/>
      <c r="D17" s="128"/>
      <c r="E17" s="128"/>
      <c r="F17" s="107"/>
      <c r="G17" s="85"/>
      <c r="H17" s="90"/>
      <c r="I17" s="598"/>
    </row>
    <row r="18" spans="1:11" s="101" customFormat="1" ht="15" customHeight="1" thickBot="1" x14ac:dyDescent="0.25">
      <c r="A18" s="323"/>
      <c r="B18" s="93" t="s">
        <v>482</v>
      </c>
      <c r="C18" s="94"/>
      <c r="D18" s="810">
        <f t="shared" ref="D18:F18" si="2">SUM(D13:D16)</f>
        <v>28746</v>
      </c>
      <c r="E18" s="810">
        <f t="shared" si="2"/>
        <v>7761</v>
      </c>
      <c r="F18" s="810">
        <f t="shared" si="2"/>
        <v>36507</v>
      </c>
      <c r="G18" s="810">
        <f>SUM(G13:G16)</f>
        <v>2801</v>
      </c>
      <c r="H18" s="810">
        <f>SUM(H13:H16)</f>
        <v>33706</v>
      </c>
      <c r="I18" s="600"/>
    </row>
    <row r="19" spans="1:11" ht="14.1" customHeight="1" x14ac:dyDescent="0.2">
      <c r="A19" s="324"/>
      <c r="B19" s="92"/>
      <c r="C19" s="90"/>
      <c r="D19" s="90"/>
      <c r="E19" s="90"/>
      <c r="F19" s="91"/>
      <c r="H19" s="614"/>
      <c r="I19" s="597"/>
    </row>
    <row r="20" spans="1:11" ht="15" customHeight="1" x14ac:dyDescent="0.2">
      <c r="A20" s="324" t="s">
        <v>483</v>
      </c>
      <c r="B20" s="89" t="s">
        <v>484</v>
      </c>
      <c r="C20" s="90"/>
      <c r="D20" s="90"/>
      <c r="E20" s="90"/>
      <c r="F20" s="91"/>
      <c r="H20" s="614"/>
      <c r="I20" s="597"/>
    </row>
    <row r="21" spans="1:11" ht="15" customHeight="1" x14ac:dyDescent="0.2">
      <c r="A21" s="130" t="s">
        <v>480</v>
      </c>
      <c r="B21" s="109" t="s">
        <v>1311</v>
      </c>
      <c r="C21" s="795" t="s">
        <v>947</v>
      </c>
      <c r="D21" s="90">
        <v>1969</v>
      </c>
      <c r="E21" s="90">
        <v>531</v>
      </c>
      <c r="F21" s="91">
        <f>D21+E21</f>
        <v>2500</v>
      </c>
      <c r="H21" s="128">
        <f>F21</f>
        <v>2500</v>
      </c>
      <c r="I21" s="597"/>
    </row>
    <row r="22" spans="1:11" ht="24.75" customHeight="1" x14ac:dyDescent="0.2">
      <c r="A22" s="130" t="s">
        <v>488</v>
      </c>
      <c r="B22" s="109" t="s">
        <v>1312</v>
      </c>
      <c r="C22" s="795" t="s">
        <v>947</v>
      </c>
      <c r="D22" s="90">
        <v>30709</v>
      </c>
      <c r="E22" s="90">
        <v>8291</v>
      </c>
      <c r="F22" s="91">
        <f t="shared" ref="F22:F24" si="3">D22+E22</f>
        <v>39000</v>
      </c>
      <c r="G22" s="86">
        <f>F22</f>
        <v>39000</v>
      </c>
      <c r="H22" s="614"/>
      <c r="I22" s="597"/>
      <c r="K22" s="1239"/>
    </row>
    <row r="23" spans="1:11" ht="15" customHeight="1" x14ac:dyDescent="0.2">
      <c r="A23" s="130" t="s">
        <v>489</v>
      </c>
      <c r="B23" s="109" t="s">
        <v>1313</v>
      </c>
      <c r="C23" s="90"/>
      <c r="D23" s="90">
        <v>4500</v>
      </c>
      <c r="E23" s="90">
        <v>1215</v>
      </c>
      <c r="F23" s="91">
        <f t="shared" si="3"/>
        <v>5715</v>
      </c>
      <c r="G23" s="1240">
        <f>F23</f>
        <v>5715</v>
      </c>
      <c r="H23" s="1241"/>
      <c r="I23" s="597"/>
    </row>
    <row r="24" spans="1:11" ht="24.75" customHeight="1" x14ac:dyDescent="0.2">
      <c r="A24" s="130" t="s">
        <v>490</v>
      </c>
      <c r="B24" s="109" t="s">
        <v>1314</v>
      </c>
      <c r="C24" s="795" t="s">
        <v>947</v>
      </c>
      <c r="D24" s="90">
        <v>3937</v>
      </c>
      <c r="E24" s="90">
        <v>1063</v>
      </c>
      <c r="F24" s="91">
        <f t="shared" si="3"/>
        <v>5000</v>
      </c>
      <c r="G24" s="1240">
        <f>F24</f>
        <v>5000</v>
      </c>
      <c r="H24" s="1241"/>
      <c r="I24" s="597"/>
    </row>
    <row r="25" spans="1:11" ht="13.5" customHeight="1" thickBot="1" x14ac:dyDescent="0.25">
      <c r="A25" s="130"/>
      <c r="B25" s="109"/>
      <c r="C25" s="90"/>
      <c r="D25" s="128"/>
      <c r="E25" s="128"/>
      <c r="F25" s="107"/>
      <c r="G25" s="86"/>
      <c r="H25" s="128"/>
      <c r="I25" s="797"/>
    </row>
    <row r="26" spans="1:11" ht="12" customHeight="1" thickBot="1" x14ac:dyDescent="0.25">
      <c r="A26" s="486"/>
      <c r="B26" s="479" t="s">
        <v>485</v>
      </c>
      <c r="C26" s="153"/>
      <c r="D26" s="811">
        <f>SUM(D21:D24)</f>
        <v>41115</v>
      </c>
      <c r="E26" s="811">
        <f t="shared" ref="E26:H26" si="4">SUM(E21:E24)</f>
        <v>11100</v>
      </c>
      <c r="F26" s="811">
        <f t="shared" si="4"/>
        <v>52215</v>
      </c>
      <c r="G26" s="811">
        <f t="shared" si="4"/>
        <v>49715</v>
      </c>
      <c r="H26" s="811">
        <f t="shared" si="4"/>
        <v>2500</v>
      </c>
      <c r="I26" s="597"/>
    </row>
    <row r="27" spans="1:11" ht="12" customHeight="1" x14ac:dyDescent="0.2">
      <c r="A27" s="324"/>
      <c r="B27" s="95"/>
      <c r="C27" s="90"/>
      <c r="D27" s="90"/>
      <c r="E27" s="90"/>
      <c r="F27" s="91"/>
      <c r="H27" s="614"/>
      <c r="I27" s="597"/>
    </row>
    <row r="28" spans="1:11" ht="15.75" customHeight="1" x14ac:dyDescent="0.2">
      <c r="A28" s="572" t="s">
        <v>486</v>
      </c>
      <c r="B28" s="100" t="s">
        <v>487</v>
      </c>
      <c r="C28" s="97"/>
      <c r="D28" s="90"/>
      <c r="E28" s="90"/>
      <c r="F28" s="91"/>
      <c r="H28" s="614"/>
      <c r="I28" s="597"/>
    </row>
    <row r="29" spans="1:11" s="101" customFormat="1" ht="19.5" customHeight="1" x14ac:dyDescent="0.2">
      <c r="A29" s="970" t="s">
        <v>1234</v>
      </c>
      <c r="B29" s="96" t="s">
        <v>979</v>
      </c>
      <c r="C29" s="476" t="s">
        <v>481</v>
      </c>
      <c r="D29" s="795">
        <v>0</v>
      </c>
      <c r="E29" s="795">
        <v>0</v>
      </c>
      <c r="F29" s="796">
        <f>D29+E29</f>
        <v>0</v>
      </c>
      <c r="G29" s="477">
        <f t="shared" ref="G29:G33" si="5">F29</f>
        <v>0</v>
      </c>
      <c r="H29" s="128"/>
      <c r="I29" s="598"/>
    </row>
    <row r="30" spans="1:11" s="101" customFormat="1" ht="24.75" customHeight="1" x14ac:dyDescent="0.2">
      <c r="A30" s="970" t="s">
        <v>1235</v>
      </c>
      <c r="B30" s="96" t="s">
        <v>1055</v>
      </c>
      <c r="C30" s="795" t="s">
        <v>947</v>
      </c>
      <c r="D30" s="795">
        <v>24980</v>
      </c>
      <c r="E30" s="795">
        <v>6745</v>
      </c>
      <c r="F30" s="796">
        <f>SUM(D30:E30)</f>
        <v>31725</v>
      </c>
      <c r="G30" s="477">
        <f t="shared" si="5"/>
        <v>31725</v>
      </c>
      <c r="H30" s="128"/>
      <c r="I30" s="598"/>
    </row>
    <row r="31" spans="1:11" s="101" customFormat="1" ht="23.25" customHeight="1" x14ac:dyDescent="0.2">
      <c r="A31" s="970" t="s">
        <v>488</v>
      </c>
      <c r="B31" s="96" t="s">
        <v>1315</v>
      </c>
      <c r="C31" s="476" t="s">
        <v>481</v>
      </c>
      <c r="D31" s="795">
        <v>21871</v>
      </c>
      <c r="E31" s="795">
        <v>5905</v>
      </c>
      <c r="F31" s="796">
        <f t="shared" ref="F31:F42" si="6">D31+E31</f>
        <v>27776</v>
      </c>
      <c r="G31" s="477">
        <f t="shared" si="5"/>
        <v>27776</v>
      </c>
      <c r="H31" s="795"/>
      <c r="I31" s="598"/>
    </row>
    <row r="32" spans="1:11" s="101" customFormat="1" ht="24.75" customHeight="1" x14ac:dyDescent="0.2">
      <c r="A32" s="970" t="s">
        <v>489</v>
      </c>
      <c r="B32" s="96" t="s">
        <v>959</v>
      </c>
      <c r="C32" s="476" t="s">
        <v>481</v>
      </c>
      <c r="D32" s="795">
        <f>23622-15748</f>
        <v>7874</v>
      </c>
      <c r="E32" s="795">
        <f>6378-4252</f>
        <v>2126</v>
      </c>
      <c r="F32" s="796">
        <f t="shared" si="6"/>
        <v>10000</v>
      </c>
      <c r="G32" s="477">
        <f t="shared" si="5"/>
        <v>10000</v>
      </c>
      <c r="H32" s="128"/>
      <c r="I32" s="598"/>
    </row>
    <row r="33" spans="1:12" s="101" customFormat="1" ht="36.75" customHeight="1" x14ac:dyDescent="0.2">
      <c r="A33" s="970" t="s">
        <v>490</v>
      </c>
      <c r="B33" s="92" t="s">
        <v>1351</v>
      </c>
      <c r="C33" s="476" t="s">
        <v>481</v>
      </c>
      <c r="D33" s="1128">
        <v>193374</v>
      </c>
      <c r="E33" s="1128">
        <v>13302</v>
      </c>
      <c r="F33" s="1129">
        <f t="shared" si="6"/>
        <v>206676</v>
      </c>
      <c r="G33" s="1130">
        <f t="shared" si="5"/>
        <v>206676</v>
      </c>
      <c r="H33" s="128"/>
      <c r="I33" s="598"/>
    </row>
    <row r="34" spans="1:12" s="101" customFormat="1" ht="27" customHeight="1" x14ac:dyDescent="0.2">
      <c r="A34" s="970" t="s">
        <v>491</v>
      </c>
      <c r="B34" s="738" t="s">
        <v>1316</v>
      </c>
      <c r="C34" s="476" t="s">
        <v>481</v>
      </c>
      <c r="D34" s="795">
        <v>10000</v>
      </c>
      <c r="E34" s="795">
        <v>2700</v>
      </c>
      <c r="F34" s="796">
        <f t="shared" si="6"/>
        <v>12700</v>
      </c>
      <c r="G34" s="477"/>
      <c r="H34" s="795">
        <f>F34</f>
        <v>12700</v>
      </c>
      <c r="I34" s="598"/>
    </row>
    <row r="35" spans="1:12" s="101" customFormat="1" ht="36.75" customHeight="1" x14ac:dyDescent="0.2">
      <c r="A35" s="970" t="s">
        <v>1236</v>
      </c>
      <c r="B35" s="972" t="s">
        <v>1040</v>
      </c>
      <c r="C35" s="795" t="s">
        <v>481</v>
      </c>
      <c r="D35" s="795">
        <v>145378</v>
      </c>
      <c r="E35" s="795">
        <v>39252</v>
      </c>
      <c r="F35" s="796">
        <f t="shared" si="6"/>
        <v>184630</v>
      </c>
      <c r="G35" s="477">
        <f>F35</f>
        <v>184630</v>
      </c>
      <c r="H35" s="795"/>
      <c r="I35" s="948"/>
      <c r="J35" s="949"/>
      <c r="K35" s="949"/>
      <c r="L35" s="949"/>
    </row>
    <row r="36" spans="1:12" s="101" customFormat="1" ht="27" customHeight="1" x14ac:dyDescent="0.2">
      <c r="A36" s="970" t="s">
        <v>1237</v>
      </c>
      <c r="B36" s="738" t="s">
        <v>1087</v>
      </c>
      <c r="C36" s="476"/>
      <c r="D36" s="795">
        <v>118110</v>
      </c>
      <c r="E36" s="795">
        <v>31890</v>
      </c>
      <c r="F36" s="796">
        <f t="shared" si="6"/>
        <v>150000</v>
      </c>
      <c r="G36" s="477">
        <f>F36</f>
        <v>150000</v>
      </c>
      <c r="H36" s="795"/>
      <c r="I36" s="598"/>
    </row>
    <row r="37" spans="1:12" s="101" customFormat="1" ht="26.25" customHeight="1" x14ac:dyDescent="0.2">
      <c r="A37" s="970" t="s">
        <v>493</v>
      </c>
      <c r="B37" s="738" t="s">
        <v>1033</v>
      </c>
      <c r="C37" s="476" t="s">
        <v>481</v>
      </c>
      <c r="D37" s="795">
        <v>9213</v>
      </c>
      <c r="E37" s="795">
        <v>2488</v>
      </c>
      <c r="F37" s="796">
        <f t="shared" ref="F37" si="7">D37+E37</f>
        <v>11701</v>
      </c>
      <c r="G37" s="477">
        <f t="shared" ref="G37" si="8">F37</f>
        <v>11701</v>
      </c>
      <c r="H37" s="795"/>
      <c r="I37" s="598"/>
    </row>
    <row r="38" spans="1:12" s="101" customFormat="1" ht="21.75" customHeight="1" x14ac:dyDescent="0.2">
      <c r="A38" s="970" t="s">
        <v>494</v>
      </c>
      <c r="B38" s="738" t="s">
        <v>948</v>
      </c>
      <c r="C38" s="476" t="s">
        <v>481</v>
      </c>
      <c r="D38" s="795">
        <v>12367</v>
      </c>
      <c r="E38" s="795">
        <v>3339</v>
      </c>
      <c r="F38" s="796">
        <f t="shared" si="6"/>
        <v>15706</v>
      </c>
      <c r="G38" s="477">
        <f t="shared" ref="G38" si="9">F38</f>
        <v>15706</v>
      </c>
      <c r="H38" s="795"/>
      <c r="I38" s="797"/>
    </row>
    <row r="39" spans="1:12" s="101" customFormat="1" ht="21.75" customHeight="1" x14ac:dyDescent="0.2">
      <c r="A39" s="1051" t="s">
        <v>1285</v>
      </c>
      <c r="B39" s="738" t="s">
        <v>978</v>
      </c>
      <c r="C39" s="476" t="s">
        <v>481</v>
      </c>
      <c r="D39" s="795">
        <v>0</v>
      </c>
      <c r="E39" s="795">
        <v>0</v>
      </c>
      <c r="F39" s="796">
        <f t="shared" si="6"/>
        <v>0</v>
      </c>
      <c r="G39" s="477"/>
      <c r="H39" s="795">
        <f>F39</f>
        <v>0</v>
      </c>
      <c r="I39" s="797"/>
    </row>
    <row r="40" spans="1:12" s="101" customFormat="1" ht="27" customHeight="1" x14ac:dyDescent="0.2">
      <c r="A40" s="1051" t="s">
        <v>1286</v>
      </c>
      <c r="B40" s="738" t="s">
        <v>1085</v>
      </c>
      <c r="C40" s="795" t="s">
        <v>947</v>
      </c>
      <c r="D40" s="795">
        <v>69000</v>
      </c>
      <c r="E40" s="795">
        <v>0</v>
      </c>
      <c r="F40" s="796">
        <f t="shared" si="6"/>
        <v>69000</v>
      </c>
      <c r="G40" s="477"/>
      <c r="H40" s="795">
        <f>F40</f>
        <v>69000</v>
      </c>
      <c r="I40" s="797"/>
    </row>
    <row r="41" spans="1:12" s="101" customFormat="1" ht="26.25" customHeight="1" x14ac:dyDescent="0.2">
      <c r="A41" s="1051" t="s">
        <v>1318</v>
      </c>
      <c r="B41" s="738" t="s">
        <v>1337</v>
      </c>
      <c r="C41" s="476" t="s">
        <v>481</v>
      </c>
      <c r="D41" s="795">
        <v>77153</v>
      </c>
      <c r="E41" s="795">
        <v>20832</v>
      </c>
      <c r="F41" s="796">
        <f t="shared" si="6"/>
        <v>97985</v>
      </c>
      <c r="G41" s="477">
        <f t="shared" ref="G41:G45" si="10">F41</f>
        <v>97985</v>
      </c>
      <c r="H41" s="795"/>
      <c r="I41" s="797"/>
    </row>
    <row r="42" spans="1:12" s="101" customFormat="1" ht="39.75" customHeight="1" x14ac:dyDescent="0.2">
      <c r="A42" s="1051" t="s">
        <v>1319</v>
      </c>
      <c r="B42" s="738" t="s">
        <v>1320</v>
      </c>
      <c r="C42" s="795" t="s">
        <v>947</v>
      </c>
      <c r="D42" s="795">
        <v>17395</v>
      </c>
      <c r="E42" s="795">
        <v>4697</v>
      </c>
      <c r="F42" s="796">
        <f t="shared" si="6"/>
        <v>22092</v>
      </c>
      <c r="G42" s="477">
        <f>F42</f>
        <v>22092</v>
      </c>
      <c r="H42" s="795"/>
      <c r="I42" s="797"/>
    </row>
    <row r="43" spans="1:12" s="101" customFormat="1" ht="27.75" customHeight="1" x14ac:dyDescent="0.2">
      <c r="A43" s="970" t="s">
        <v>532</v>
      </c>
      <c r="B43" s="954" t="s">
        <v>1001</v>
      </c>
      <c r="C43" s="476" t="s">
        <v>481</v>
      </c>
      <c r="D43" s="795">
        <v>13950</v>
      </c>
      <c r="E43" s="795">
        <v>3767</v>
      </c>
      <c r="F43" s="796">
        <f t="shared" ref="F43:F51" si="11">SUM(D43:E43)</f>
        <v>17717</v>
      </c>
      <c r="G43" s="477">
        <f t="shared" si="10"/>
        <v>17717</v>
      </c>
      <c r="H43" s="795"/>
      <c r="I43" s="598"/>
    </row>
    <row r="44" spans="1:12" s="101" customFormat="1" ht="27.75" customHeight="1" x14ac:dyDescent="0.2">
      <c r="A44" s="970" t="s">
        <v>533</v>
      </c>
      <c r="B44" s="1029" t="s">
        <v>1231</v>
      </c>
      <c r="C44" s="795" t="s">
        <v>309</v>
      </c>
      <c r="D44" s="795">
        <v>67355</v>
      </c>
      <c r="E44" s="795">
        <v>612</v>
      </c>
      <c r="F44" s="796">
        <f t="shared" si="11"/>
        <v>67967</v>
      </c>
      <c r="G44" s="477">
        <f t="shared" si="10"/>
        <v>67967</v>
      </c>
      <c r="H44" s="795"/>
      <c r="I44" s="598"/>
    </row>
    <row r="45" spans="1:12" s="101" customFormat="1" ht="41.25" customHeight="1" x14ac:dyDescent="0.2">
      <c r="A45" s="970" t="s">
        <v>534</v>
      </c>
      <c r="B45" s="1029" t="s">
        <v>1317</v>
      </c>
      <c r="C45" s="795" t="s">
        <v>309</v>
      </c>
      <c r="D45" s="795">
        <v>19020</v>
      </c>
      <c r="E45" s="795">
        <v>5135</v>
      </c>
      <c r="F45" s="796">
        <f t="shared" si="11"/>
        <v>24155</v>
      </c>
      <c r="G45" s="477">
        <f t="shared" si="10"/>
        <v>24155</v>
      </c>
      <c r="H45" s="795"/>
      <c r="I45" s="598"/>
    </row>
    <row r="46" spans="1:12" s="101" customFormat="1" ht="27.75" customHeight="1" x14ac:dyDescent="0.2">
      <c r="A46" s="970" t="s">
        <v>535</v>
      </c>
      <c r="B46" s="1029" t="s">
        <v>1204</v>
      </c>
      <c r="C46" s="795" t="s">
        <v>309</v>
      </c>
      <c r="D46" s="795">
        <v>1181</v>
      </c>
      <c r="E46" s="795">
        <v>319</v>
      </c>
      <c r="F46" s="796">
        <f t="shared" si="11"/>
        <v>1500</v>
      </c>
      <c r="G46" s="477"/>
      <c r="H46" s="795">
        <f>F46</f>
        <v>1500</v>
      </c>
      <c r="I46" s="598"/>
    </row>
    <row r="47" spans="1:12" s="101" customFormat="1" ht="27.75" customHeight="1" x14ac:dyDescent="0.2">
      <c r="A47" s="970" t="s">
        <v>536</v>
      </c>
      <c r="B47" s="1029" t="s">
        <v>1287</v>
      </c>
      <c r="C47" s="795" t="s">
        <v>309</v>
      </c>
      <c r="D47" s="795">
        <v>0</v>
      </c>
      <c r="E47" s="795">
        <v>0</v>
      </c>
      <c r="F47" s="796">
        <f t="shared" si="11"/>
        <v>0</v>
      </c>
      <c r="G47" s="477"/>
      <c r="H47" s="795">
        <v>0</v>
      </c>
      <c r="I47" s="598"/>
    </row>
    <row r="48" spans="1:12" s="101" customFormat="1" ht="27.75" customHeight="1" x14ac:dyDescent="0.2">
      <c r="A48" s="970" t="s">
        <v>537</v>
      </c>
      <c r="B48" s="1029" t="s">
        <v>1288</v>
      </c>
      <c r="C48" s="795"/>
      <c r="D48" s="795">
        <v>41000</v>
      </c>
      <c r="E48" s="795">
        <v>11070</v>
      </c>
      <c r="F48" s="796">
        <f t="shared" si="11"/>
        <v>52070</v>
      </c>
      <c r="G48" s="477">
        <f>F48</f>
        <v>52070</v>
      </c>
      <c r="H48" s="795"/>
      <c r="I48" s="598"/>
    </row>
    <row r="49" spans="1:9" s="101" customFormat="1" ht="20.25" customHeight="1" x14ac:dyDescent="0.2">
      <c r="A49" s="970" t="s">
        <v>538</v>
      </c>
      <c r="B49" s="1029" t="s">
        <v>1321</v>
      </c>
      <c r="C49" s="795" t="s">
        <v>309</v>
      </c>
      <c r="D49" s="795">
        <v>1200</v>
      </c>
      <c r="E49" s="795">
        <v>324</v>
      </c>
      <c r="F49" s="796">
        <f t="shared" si="11"/>
        <v>1524</v>
      </c>
      <c r="G49" s="477"/>
      <c r="H49" s="795">
        <f>F49</f>
        <v>1524</v>
      </c>
      <c r="I49" s="598"/>
    </row>
    <row r="50" spans="1:9" s="101" customFormat="1" ht="24.75" customHeight="1" x14ac:dyDescent="0.2">
      <c r="A50" s="970" t="s">
        <v>540</v>
      </c>
      <c r="B50" s="1029" t="s">
        <v>1322</v>
      </c>
      <c r="C50" s="795" t="s">
        <v>309</v>
      </c>
      <c r="D50" s="795">
        <v>975</v>
      </c>
      <c r="E50" s="795">
        <v>264</v>
      </c>
      <c r="F50" s="796">
        <f t="shared" si="11"/>
        <v>1239</v>
      </c>
      <c r="G50" s="477">
        <f>F50</f>
        <v>1239</v>
      </c>
      <c r="H50" s="795"/>
      <c r="I50" s="598"/>
    </row>
    <row r="51" spans="1:9" s="101" customFormat="1" ht="24.75" customHeight="1" x14ac:dyDescent="0.2">
      <c r="A51" s="970" t="s">
        <v>541</v>
      </c>
      <c r="B51" s="1029" t="s">
        <v>1335</v>
      </c>
      <c r="C51" s="795"/>
      <c r="D51" s="795">
        <v>8662</v>
      </c>
      <c r="E51" s="795">
        <v>2338</v>
      </c>
      <c r="F51" s="796">
        <f t="shared" si="11"/>
        <v>11000</v>
      </c>
      <c r="G51" s="477">
        <v>11000</v>
      </c>
      <c r="H51" s="795"/>
      <c r="I51" s="598"/>
    </row>
    <row r="52" spans="1:9" s="101" customFormat="1" ht="10.5" customHeight="1" thickBot="1" x14ac:dyDescent="0.25">
      <c r="A52" s="970"/>
      <c r="B52" s="1029"/>
      <c r="C52" s="795"/>
      <c r="D52" s="795"/>
      <c r="E52" s="795"/>
      <c r="F52" s="796"/>
      <c r="G52" s="477"/>
      <c r="H52" s="795"/>
      <c r="I52" s="598"/>
    </row>
    <row r="53" spans="1:9" ht="13.9" customHeight="1" thickBot="1" x14ac:dyDescent="0.25">
      <c r="A53" s="487"/>
      <c r="B53" s="93" t="s">
        <v>496</v>
      </c>
      <c r="C53" s="102"/>
      <c r="D53" s="810">
        <f>SUM(D29:D51)</f>
        <v>860058</v>
      </c>
      <c r="E53" s="810">
        <f>SUM(E29:E51)</f>
        <v>157105</v>
      </c>
      <c r="F53" s="810">
        <f>SUM(F29:F51)</f>
        <v>1017163</v>
      </c>
      <c r="G53" s="810">
        <f>SUM(G29:G51)</f>
        <v>932439</v>
      </c>
      <c r="H53" s="810">
        <f>SUM(H29:H51)</f>
        <v>84724</v>
      </c>
      <c r="I53" s="597"/>
    </row>
    <row r="54" spans="1:9" s="101" customFormat="1" ht="13.9" customHeight="1" x14ac:dyDescent="0.2">
      <c r="A54" s="282"/>
      <c r="B54" s="92"/>
      <c r="C54" s="97"/>
      <c r="D54" s="90"/>
      <c r="E54" s="90"/>
      <c r="F54" s="91"/>
      <c r="G54" s="85"/>
      <c r="H54" s="91"/>
      <c r="I54" s="598"/>
    </row>
    <row r="55" spans="1:9" s="101" customFormat="1" ht="13.9" customHeight="1" x14ac:dyDescent="0.2">
      <c r="A55" s="130"/>
      <c r="B55" s="92"/>
      <c r="C55" s="97"/>
      <c r="D55" s="90"/>
      <c r="E55" s="90"/>
      <c r="F55" s="91"/>
      <c r="G55" s="85"/>
      <c r="H55" s="90"/>
      <c r="I55" s="598"/>
    </row>
    <row r="56" spans="1:9" s="105" customFormat="1" ht="15.75" customHeight="1" x14ac:dyDescent="0.15">
      <c r="A56" s="324" t="s">
        <v>497</v>
      </c>
      <c r="B56" s="103" t="s">
        <v>498</v>
      </c>
      <c r="C56" s="104"/>
      <c r="D56" s="91"/>
      <c r="E56" s="91"/>
      <c r="F56" s="91"/>
      <c r="G56" s="115"/>
      <c r="H56" s="615"/>
      <c r="I56" s="599"/>
    </row>
    <row r="57" spans="1:9" s="105" customFormat="1" ht="15.75" customHeight="1" x14ac:dyDescent="0.15">
      <c r="A57" s="970" t="s">
        <v>480</v>
      </c>
      <c r="B57" s="92" t="s">
        <v>549</v>
      </c>
      <c r="C57" s="475" t="s">
        <v>307</v>
      </c>
      <c r="D57" s="950">
        <v>7606</v>
      </c>
      <c r="E57" s="950">
        <v>2054</v>
      </c>
      <c r="F57" s="951">
        <f>D57+E57</f>
        <v>9660</v>
      </c>
      <c r="G57" s="952">
        <v>6350</v>
      </c>
      <c r="H57" s="950">
        <v>3310</v>
      </c>
      <c r="I57" s="599"/>
    </row>
    <row r="58" spans="1:9" s="105" customFormat="1" ht="15.75" customHeight="1" x14ac:dyDescent="0.2">
      <c r="A58" s="970" t="s">
        <v>488</v>
      </c>
      <c r="B58" s="106" t="s">
        <v>172</v>
      </c>
      <c r="C58" s="475" t="s">
        <v>307</v>
      </c>
      <c r="D58" s="476">
        <v>1000</v>
      </c>
      <c r="E58" s="476">
        <v>270</v>
      </c>
      <c r="F58" s="478">
        <f>SUM(D58:E58)</f>
        <v>1270</v>
      </c>
      <c r="G58" s="953"/>
      <c r="H58" s="476">
        <v>1270</v>
      </c>
      <c r="I58" s="599"/>
    </row>
    <row r="59" spans="1:9" s="105" customFormat="1" ht="27" customHeight="1" x14ac:dyDescent="0.15">
      <c r="A59" s="970" t="s">
        <v>489</v>
      </c>
      <c r="B59" s="738" t="s">
        <v>1088</v>
      </c>
      <c r="C59" s="475" t="s">
        <v>307</v>
      </c>
      <c r="D59" s="476">
        <v>0</v>
      </c>
      <c r="E59" s="476"/>
      <c r="F59" s="478">
        <f t="shared" ref="F59:F60" si="12">D59+E59</f>
        <v>0</v>
      </c>
      <c r="G59" s="912">
        <f>F59</f>
        <v>0</v>
      </c>
      <c r="H59" s="476"/>
      <c r="I59" s="599"/>
    </row>
    <row r="60" spans="1:9" s="105" customFormat="1" ht="31.5" customHeight="1" x14ac:dyDescent="0.15">
      <c r="A60" s="970" t="s">
        <v>490</v>
      </c>
      <c r="B60" s="738" t="s">
        <v>1086</v>
      </c>
      <c r="C60" s="475" t="s">
        <v>307</v>
      </c>
      <c r="D60" s="476">
        <v>12598</v>
      </c>
      <c r="E60" s="476">
        <v>3402</v>
      </c>
      <c r="F60" s="478">
        <f t="shared" si="12"/>
        <v>16000</v>
      </c>
      <c r="G60" s="953"/>
      <c r="H60" s="476">
        <f>F60</f>
        <v>16000</v>
      </c>
      <c r="I60" s="599"/>
    </row>
    <row r="61" spans="1:9" s="105" customFormat="1" ht="9.75" customHeight="1" thickBot="1" x14ac:dyDescent="0.2">
      <c r="A61" s="970"/>
      <c r="B61" s="738"/>
      <c r="C61" s="475"/>
      <c r="D61" s="476"/>
      <c r="E61" s="476"/>
      <c r="F61" s="478"/>
      <c r="G61" s="953"/>
      <c r="H61" s="476"/>
      <c r="I61" s="599"/>
    </row>
    <row r="62" spans="1:9" s="105" customFormat="1" ht="12" customHeight="1" thickBot="1" x14ac:dyDescent="0.2">
      <c r="A62" s="325"/>
      <c r="B62" s="93" t="s">
        <v>500</v>
      </c>
      <c r="C62" s="102"/>
      <c r="D62" s="94">
        <f>SUM(D57:D60)</f>
        <v>21204</v>
      </c>
      <c r="E62" s="94">
        <f>SUM(E57:E60)</f>
        <v>5726</v>
      </c>
      <c r="F62" s="94">
        <f>SUM(F57:F60)</f>
        <v>26930</v>
      </c>
      <c r="G62" s="94">
        <f>SUM(G57:G60)</f>
        <v>6350</v>
      </c>
      <c r="H62" s="94">
        <f>SUM(H57:H60)</f>
        <v>20580</v>
      </c>
      <c r="I62" s="1191"/>
    </row>
    <row r="63" spans="1:9" s="105" customFormat="1" ht="12" customHeight="1" x14ac:dyDescent="0.15">
      <c r="A63" s="324"/>
      <c r="B63" s="103"/>
      <c r="C63" s="104"/>
      <c r="D63" s="91"/>
      <c r="E63" s="91"/>
      <c r="F63" s="91"/>
      <c r="G63" s="91"/>
      <c r="H63" s="91"/>
      <c r="I63" s="599"/>
    </row>
    <row r="64" spans="1:9" s="105" customFormat="1" ht="12" customHeight="1" x14ac:dyDescent="0.15">
      <c r="A64" s="324"/>
      <c r="B64" s="103"/>
      <c r="C64" s="104"/>
      <c r="D64" s="91"/>
      <c r="E64" s="91"/>
      <c r="F64" s="91"/>
      <c r="G64" s="115"/>
      <c r="H64" s="615"/>
      <c r="I64" s="599"/>
    </row>
    <row r="65" spans="1:15" s="83" customFormat="1" ht="15" customHeight="1" x14ac:dyDescent="0.2">
      <c r="A65" s="324" t="s">
        <v>501</v>
      </c>
      <c r="B65" s="89" t="s">
        <v>502</v>
      </c>
      <c r="C65" s="91"/>
      <c r="D65" s="91"/>
      <c r="E65" s="91"/>
      <c r="F65" s="91"/>
      <c r="G65" s="86"/>
      <c r="H65" s="128"/>
      <c r="I65" s="600"/>
    </row>
    <row r="66" spans="1:15" s="83" customFormat="1" ht="15" customHeight="1" thickBot="1" x14ac:dyDescent="0.25">
      <c r="A66" s="324"/>
      <c r="B66" s="109"/>
      <c r="C66" s="97"/>
      <c r="D66" s="90"/>
      <c r="E66" s="90"/>
      <c r="F66" s="91"/>
      <c r="G66" s="86"/>
      <c r="H66" s="128"/>
      <c r="I66" s="600"/>
    </row>
    <row r="67" spans="1:15" s="83" customFormat="1" ht="13.5" customHeight="1" thickBot="1" x14ac:dyDescent="0.25">
      <c r="A67" s="325"/>
      <c r="B67" s="108" t="s">
        <v>503</v>
      </c>
      <c r="C67" s="94"/>
      <c r="D67" s="94">
        <f>SUM(D66)</f>
        <v>0</v>
      </c>
      <c r="E67" s="94">
        <f>SUM(E66)</f>
        <v>0</v>
      </c>
      <c r="F67" s="94">
        <f>SUM(F66)</f>
        <v>0</v>
      </c>
      <c r="G67" s="94">
        <f>SUM(G66)</f>
        <v>0</v>
      </c>
      <c r="H67" s="94">
        <f>SUM(H66)</f>
        <v>0</v>
      </c>
      <c r="I67" s="600"/>
    </row>
    <row r="68" spans="1:15" s="83" customFormat="1" ht="13.5" customHeight="1" x14ac:dyDescent="0.2">
      <c r="A68" s="324"/>
      <c r="B68" s="89"/>
      <c r="C68" s="91"/>
      <c r="D68" s="91"/>
      <c r="E68" s="91"/>
      <c r="F68" s="91"/>
      <c r="G68" s="91"/>
      <c r="H68" s="91"/>
      <c r="I68" s="600"/>
    </row>
    <row r="69" spans="1:15" s="83" customFormat="1" ht="13.5" customHeight="1" x14ac:dyDescent="0.2">
      <c r="A69" s="324" t="s">
        <v>88</v>
      </c>
      <c r="B69" s="89" t="s">
        <v>173</v>
      </c>
      <c r="C69" s="91"/>
      <c r="D69" s="612"/>
      <c r="E69" s="612"/>
      <c r="F69" s="90"/>
      <c r="G69" s="128"/>
      <c r="H69" s="1213"/>
      <c r="I69" s="612"/>
    </row>
    <row r="70" spans="1:15" s="83" customFormat="1" ht="20.25" customHeight="1" x14ac:dyDescent="0.2">
      <c r="A70" s="130" t="s">
        <v>499</v>
      </c>
      <c r="B70" s="109" t="s">
        <v>1002</v>
      </c>
      <c r="C70" s="91" t="s">
        <v>307</v>
      </c>
      <c r="D70" s="476">
        <v>10000</v>
      </c>
      <c r="E70" s="476">
        <v>2700</v>
      </c>
      <c r="F70" s="478">
        <f>SUM(D70:E70)</f>
        <v>12700</v>
      </c>
      <c r="G70" s="795"/>
      <c r="H70" s="1214">
        <f>SUM(F70:G70)</f>
        <v>12700</v>
      </c>
      <c r="I70" s="612"/>
    </row>
    <row r="71" spans="1:15" s="83" customFormat="1" ht="25.5" customHeight="1" x14ac:dyDescent="0.2">
      <c r="A71" s="130" t="s">
        <v>667</v>
      </c>
      <c r="B71" s="1210" t="s">
        <v>1038</v>
      </c>
      <c r="C71" s="475" t="s">
        <v>307</v>
      </c>
      <c r="D71" s="476">
        <v>2000</v>
      </c>
      <c r="E71" s="476">
        <v>540</v>
      </c>
      <c r="F71" s="478">
        <f>SUM(D71:E71)</f>
        <v>2540</v>
      </c>
      <c r="G71" s="795"/>
      <c r="H71" s="1214">
        <f>F71</f>
        <v>2540</v>
      </c>
      <c r="I71" s="612"/>
    </row>
    <row r="72" spans="1:15" s="83" customFormat="1" ht="25.5" customHeight="1" x14ac:dyDescent="0.2">
      <c r="A72" s="130" t="s">
        <v>1324</v>
      </c>
      <c r="B72" s="1210" t="s">
        <v>1323</v>
      </c>
      <c r="C72" s="475" t="s">
        <v>307</v>
      </c>
      <c r="D72" s="476">
        <v>22700</v>
      </c>
      <c r="E72" s="476">
        <v>6129</v>
      </c>
      <c r="F72" s="478">
        <f>SUM(D72:E72)</f>
        <v>28829</v>
      </c>
      <c r="G72" s="795">
        <f>F72</f>
        <v>28829</v>
      </c>
      <c r="H72" s="1214"/>
      <c r="I72" s="612"/>
    </row>
    <row r="73" spans="1:15" s="83" customFormat="1" ht="7.5" customHeight="1" thickBot="1" x14ac:dyDescent="0.25">
      <c r="A73" s="485"/>
      <c r="B73" s="481"/>
      <c r="C73" s="1211"/>
      <c r="D73" s="915"/>
      <c r="E73" s="915"/>
      <c r="F73" s="916"/>
      <c r="G73" s="1212"/>
      <c r="H73" s="1215"/>
      <c r="I73" s="1209"/>
    </row>
    <row r="74" spans="1:15" s="83" customFormat="1" ht="12.75" customHeight="1" thickBot="1" x14ac:dyDescent="0.25">
      <c r="A74" s="485"/>
      <c r="B74" s="480" t="s">
        <v>174</v>
      </c>
      <c r="C74" s="488"/>
      <c r="D74" s="488">
        <f>SUM(D70:D73)</f>
        <v>34700</v>
      </c>
      <c r="E74" s="488">
        <f>SUM(E70:E73)</f>
        <v>9369</v>
      </c>
      <c r="F74" s="488">
        <f>SUM(F70:F73)</f>
        <v>44069</v>
      </c>
      <c r="G74" s="488">
        <f>SUM(G70:G73)</f>
        <v>28829</v>
      </c>
      <c r="H74" s="488">
        <f>SUM(H70:H73)</f>
        <v>15240</v>
      </c>
      <c r="I74" s="1192"/>
      <c r="K74" s="1190"/>
      <c r="L74" s="1190"/>
      <c r="N74" s="1190"/>
      <c r="O74" s="1190"/>
    </row>
    <row r="75" spans="1:15" s="83" customFormat="1" ht="12.75" customHeight="1" x14ac:dyDescent="0.2">
      <c r="A75" s="130"/>
      <c r="B75" s="89"/>
      <c r="C75" s="91"/>
      <c r="D75" s="91"/>
      <c r="E75" s="91"/>
      <c r="F75" s="91"/>
      <c r="G75" s="86"/>
      <c r="H75" s="128"/>
      <c r="I75" s="1192"/>
      <c r="N75" s="1190"/>
    </row>
    <row r="76" spans="1:15" s="83" customFormat="1" ht="24" customHeight="1" x14ac:dyDescent="0.2">
      <c r="A76" s="324" t="s">
        <v>89</v>
      </c>
      <c r="B76" s="89" t="s">
        <v>72</v>
      </c>
      <c r="C76" s="91"/>
      <c r="D76" s="91"/>
      <c r="E76" s="91"/>
      <c r="F76" s="91"/>
      <c r="G76" s="86"/>
      <c r="H76" s="128"/>
      <c r="I76" s="600"/>
    </row>
    <row r="77" spans="1:15" s="83" customFormat="1" ht="33.75" customHeight="1" x14ac:dyDescent="0.2">
      <c r="A77" s="324" t="s">
        <v>480</v>
      </c>
      <c r="B77" s="109" t="s">
        <v>1325</v>
      </c>
      <c r="C77" s="91"/>
      <c r="D77" s="90">
        <v>12004</v>
      </c>
      <c r="E77" s="90"/>
      <c r="F77" s="91">
        <f>D77+E77</f>
        <v>12004</v>
      </c>
      <c r="G77" s="86">
        <f>F77</f>
        <v>12004</v>
      </c>
      <c r="H77" s="128"/>
      <c r="I77" s="600"/>
    </row>
    <row r="78" spans="1:15" s="83" customFormat="1" ht="24" customHeight="1" x14ac:dyDescent="0.2">
      <c r="A78" s="324" t="s">
        <v>488</v>
      </c>
      <c r="B78" s="109" t="s">
        <v>1326</v>
      </c>
      <c r="C78" s="91"/>
      <c r="D78" s="90">
        <v>78232</v>
      </c>
      <c r="E78" s="91"/>
      <c r="F78" s="91">
        <f>D78+E78</f>
        <v>78232</v>
      </c>
      <c r="G78" s="86"/>
      <c r="H78" s="128">
        <f>F78</f>
        <v>78232</v>
      </c>
      <c r="I78" s="600"/>
    </row>
    <row r="79" spans="1:15" s="83" customFormat="1" ht="8.25" customHeight="1" thickBot="1" x14ac:dyDescent="0.25">
      <c r="A79" s="130"/>
      <c r="B79" s="109"/>
      <c r="C79" s="475"/>
      <c r="D79" s="476"/>
      <c r="E79" s="476"/>
      <c r="F79" s="478"/>
      <c r="G79" s="477"/>
      <c r="H79" s="795"/>
      <c r="I79" s="600"/>
    </row>
    <row r="80" spans="1:15" s="83" customFormat="1" ht="22.5" customHeight="1" thickBot="1" x14ac:dyDescent="0.25">
      <c r="A80" s="482"/>
      <c r="B80" s="483" t="s">
        <v>504</v>
      </c>
      <c r="C80" s="490"/>
      <c r="D80" s="94">
        <f>SUM(D77:D78)</f>
        <v>90236</v>
      </c>
      <c r="E80" s="94">
        <f t="shared" ref="E80:H80" si="13">SUM(E77:E78)</f>
        <v>0</v>
      </c>
      <c r="F80" s="94">
        <f t="shared" si="13"/>
        <v>90236</v>
      </c>
      <c r="G80" s="94">
        <f t="shared" si="13"/>
        <v>12004</v>
      </c>
      <c r="H80" s="94">
        <f t="shared" si="13"/>
        <v>78232</v>
      </c>
      <c r="I80" s="600"/>
    </row>
    <row r="81" spans="1:13" s="83" customFormat="1" ht="12.75" customHeight="1" x14ac:dyDescent="0.2">
      <c r="A81" s="130"/>
      <c r="B81" s="110"/>
      <c r="C81" s="90"/>
      <c r="D81" s="91"/>
      <c r="E81" s="91"/>
      <c r="F81" s="91"/>
      <c r="G81" s="86"/>
      <c r="H81" s="128"/>
      <c r="I81" s="600"/>
    </row>
    <row r="82" spans="1:13" s="83" customFormat="1" ht="12" customHeight="1" x14ac:dyDescent="0.2">
      <c r="A82" s="130"/>
      <c r="B82" s="109"/>
      <c r="C82" s="90"/>
      <c r="D82" s="90"/>
      <c r="E82" s="90"/>
      <c r="F82" s="91"/>
      <c r="G82" s="86"/>
      <c r="H82" s="128"/>
      <c r="I82" s="600"/>
    </row>
    <row r="83" spans="1:13" s="83" customFormat="1" ht="12.75" customHeight="1" x14ac:dyDescent="0.2">
      <c r="A83" s="324" t="s">
        <v>90</v>
      </c>
      <c r="B83" s="89" t="s">
        <v>302</v>
      </c>
      <c r="C83" s="90"/>
      <c r="D83" s="90"/>
      <c r="E83" s="90"/>
      <c r="F83" s="91"/>
      <c r="G83" s="86"/>
      <c r="H83" s="128"/>
      <c r="I83" s="600"/>
    </row>
    <row r="84" spans="1:13" s="111" customFormat="1" ht="13.5" customHeight="1" x14ac:dyDescent="0.2">
      <c r="A84" s="130" t="s">
        <v>480</v>
      </c>
      <c r="B84" s="109" t="s">
        <v>73</v>
      </c>
      <c r="C84" s="90"/>
      <c r="D84" s="1183">
        <v>49688</v>
      </c>
      <c r="E84" s="1183"/>
      <c r="F84" s="1184">
        <f>SUM(D84:E84)</f>
        <v>49688</v>
      </c>
      <c r="G84" s="1185">
        <f>F84</f>
        <v>49688</v>
      </c>
      <c r="H84" s="734"/>
      <c r="I84" s="601"/>
    </row>
    <row r="85" spans="1:13" s="111" customFormat="1" ht="24.75" customHeight="1" x14ac:dyDescent="0.2">
      <c r="A85" s="130" t="s">
        <v>488</v>
      </c>
      <c r="B85" s="809" t="s">
        <v>1163</v>
      </c>
      <c r="C85" s="795"/>
      <c r="D85" s="795"/>
      <c r="E85" s="795"/>
      <c r="F85" s="796">
        <f>D85+E85</f>
        <v>0</v>
      </c>
      <c r="G85" s="477"/>
      <c r="H85" s="795">
        <f>F85</f>
        <v>0</v>
      </c>
      <c r="I85" s="601"/>
    </row>
    <row r="86" spans="1:13" s="111" customFormat="1" ht="15.75" customHeight="1" x14ac:dyDescent="0.2">
      <c r="A86" s="130" t="s">
        <v>489</v>
      </c>
      <c r="B86" s="809" t="s">
        <v>288</v>
      </c>
      <c r="C86" s="795"/>
      <c r="D86" s="795">
        <v>4350</v>
      </c>
      <c r="E86" s="795"/>
      <c r="F86" s="796">
        <f>D86+E86</f>
        <v>4350</v>
      </c>
      <c r="G86" s="477"/>
      <c r="H86" s="795">
        <f>F86</f>
        <v>4350</v>
      </c>
      <c r="I86" s="601"/>
    </row>
    <row r="87" spans="1:13" s="111" customFormat="1" ht="12" customHeight="1" thickBot="1" x14ac:dyDescent="0.25">
      <c r="A87" s="130"/>
      <c r="B87" s="809"/>
      <c r="C87" s="795"/>
      <c r="D87" s="795"/>
      <c r="E87" s="795"/>
      <c r="F87" s="796"/>
      <c r="G87" s="477"/>
      <c r="H87" s="795"/>
      <c r="I87" s="601"/>
    </row>
    <row r="88" spans="1:13" s="83" customFormat="1" ht="13.5" customHeight="1" thickBot="1" x14ac:dyDescent="0.25">
      <c r="A88" s="482"/>
      <c r="B88" s="108" t="s">
        <v>505</v>
      </c>
      <c r="C88" s="94"/>
      <c r="D88" s="94">
        <f>SUM(D84:D87)</f>
        <v>54038</v>
      </c>
      <c r="E88" s="94">
        <f>SUM(E84:E87)</f>
        <v>0</v>
      </c>
      <c r="F88" s="94">
        <f>SUM(F84:F87)</f>
        <v>54038</v>
      </c>
      <c r="G88" s="94">
        <f>SUM(G84:G87)</f>
        <v>49688</v>
      </c>
      <c r="H88" s="94">
        <f>SUM(H84:H87)</f>
        <v>4350</v>
      </c>
      <c r="I88" s="600"/>
    </row>
    <row r="89" spans="1:13" s="83" customFormat="1" ht="12.75" customHeight="1" x14ac:dyDescent="0.2">
      <c r="A89" s="130"/>
      <c r="B89" s="89"/>
      <c r="C89" s="90"/>
      <c r="D89" s="90"/>
      <c r="E89" s="90"/>
      <c r="F89" s="91"/>
      <c r="G89" s="86"/>
      <c r="H89" s="128"/>
      <c r="I89" s="600"/>
    </row>
    <row r="90" spans="1:13" ht="12.75" customHeight="1" x14ac:dyDescent="0.2">
      <c r="A90" s="324" t="s">
        <v>507</v>
      </c>
      <c r="B90" s="89" t="s">
        <v>1042</v>
      </c>
      <c r="C90" s="90"/>
      <c r="D90" s="90"/>
      <c r="E90" s="90"/>
      <c r="F90" s="91"/>
      <c r="H90" s="614"/>
      <c r="I90" s="597"/>
    </row>
    <row r="91" spans="1:13" s="111" customFormat="1" ht="15" customHeight="1" x14ac:dyDescent="0.2">
      <c r="A91" s="130" t="s">
        <v>480</v>
      </c>
      <c r="B91" s="109" t="s">
        <v>1146</v>
      </c>
      <c r="C91" s="476"/>
      <c r="D91" s="476">
        <v>5000</v>
      </c>
      <c r="E91" s="476"/>
      <c r="F91" s="478">
        <f>D91</f>
        <v>5000</v>
      </c>
      <c r="G91" s="1121"/>
      <c r="H91" s="476">
        <f>F91</f>
        <v>5000</v>
      </c>
      <c r="I91" s="601"/>
      <c r="M91" s="1052"/>
    </row>
    <row r="92" spans="1:13" s="111" customFormat="1" ht="12" customHeight="1" thickBot="1" x14ac:dyDescent="0.25">
      <c r="A92" s="130"/>
      <c r="B92" s="109"/>
      <c r="C92" s="90"/>
      <c r="D92" s="90"/>
      <c r="E92" s="90"/>
      <c r="F92" s="91"/>
      <c r="G92" s="152"/>
      <c r="H92" s="90"/>
      <c r="I92" s="601"/>
    </row>
    <row r="93" spans="1:13" s="83" customFormat="1" ht="21.75" customHeight="1" thickBot="1" x14ac:dyDescent="0.25">
      <c r="A93" s="482"/>
      <c r="B93" s="108" t="s">
        <v>506</v>
      </c>
      <c r="C93" s="512"/>
      <c r="D93" s="512">
        <f>SUM(D91:D91)</f>
        <v>5000</v>
      </c>
      <c r="E93" s="512">
        <f>SUM(E91:E91)</f>
        <v>0</v>
      </c>
      <c r="F93" s="512">
        <f>SUM(F91:F91)</f>
        <v>5000</v>
      </c>
      <c r="G93" s="512">
        <f>SUM(G91:G91)</f>
        <v>0</v>
      </c>
      <c r="H93" s="512">
        <f>SUM(H91:H91)</f>
        <v>5000</v>
      </c>
      <c r="I93" s="600"/>
    </row>
    <row r="94" spans="1:13" s="83" customFormat="1" ht="13.5" customHeight="1" x14ac:dyDescent="0.2">
      <c r="A94" s="130"/>
      <c r="B94" s="89"/>
      <c r="C94" s="91"/>
      <c r="D94" s="91"/>
      <c r="E94" s="91"/>
      <c r="F94" s="91"/>
      <c r="G94" s="91"/>
      <c r="H94" s="91"/>
      <c r="I94" s="600"/>
    </row>
    <row r="95" spans="1:13" s="83" customFormat="1" ht="13.5" customHeight="1" thickBot="1" x14ac:dyDescent="0.25">
      <c r="A95" s="485"/>
      <c r="B95" s="480"/>
      <c r="C95" s="488"/>
      <c r="D95" s="488"/>
      <c r="E95" s="488"/>
      <c r="F95" s="488"/>
      <c r="G95" s="489"/>
      <c r="H95" s="489"/>
      <c r="I95" s="600"/>
    </row>
    <row r="96" spans="1:13" s="83" customFormat="1" ht="13.5" customHeight="1" thickBot="1" x14ac:dyDescent="0.25">
      <c r="A96" s="482"/>
      <c r="B96" s="479" t="s">
        <v>175</v>
      </c>
      <c r="C96" s="153"/>
      <c r="D96" s="153">
        <f>D18+D26+D53+D62+D67+D74+D80+D88+D93</f>
        <v>1135097</v>
      </c>
      <c r="E96" s="153">
        <f>E18+E26+E53+E62+E67+E74+E80+E88+E93</f>
        <v>191061</v>
      </c>
      <c r="F96" s="153">
        <f>F18+F26+F53+F62+F67+F74+F80+F88+F93</f>
        <v>1326158</v>
      </c>
      <c r="G96" s="153">
        <f>G18+G26+G53+G62+G67+G74+G80+G88+G93</f>
        <v>1081826</v>
      </c>
      <c r="H96" s="798">
        <f>H18+H26+H53+H62+H67+H74+H80+H88+H93</f>
        <v>244332</v>
      </c>
      <c r="I96" s="612"/>
    </row>
    <row r="97" spans="1:19" s="83" customFormat="1" ht="13.5" customHeight="1" x14ac:dyDescent="0.2">
      <c r="A97" s="130"/>
      <c r="B97" s="89"/>
      <c r="C97" s="91"/>
      <c r="D97" s="91"/>
      <c r="E97" s="91"/>
      <c r="F97" s="91"/>
      <c r="G97" s="128"/>
      <c r="H97" s="128"/>
      <c r="I97" s="600"/>
    </row>
    <row r="98" spans="1:19" s="112" customFormat="1" ht="13.5" customHeight="1" x14ac:dyDescent="0.15">
      <c r="A98" s="130"/>
      <c r="B98" s="89"/>
      <c r="C98" s="91"/>
      <c r="D98" s="91"/>
      <c r="E98" s="91"/>
      <c r="F98" s="91"/>
      <c r="G98" s="107"/>
      <c r="H98" s="107"/>
      <c r="I98" s="602"/>
    </row>
    <row r="99" spans="1:19" s="112" customFormat="1" ht="15.75" customHeight="1" x14ac:dyDescent="0.15">
      <c r="A99" s="324" t="s">
        <v>510</v>
      </c>
      <c r="B99" s="89" t="s">
        <v>508</v>
      </c>
      <c r="C99" s="91"/>
      <c r="D99" s="91"/>
      <c r="E99" s="91"/>
      <c r="F99" s="91"/>
      <c r="G99" s="107"/>
      <c r="H99" s="1216"/>
      <c r="I99" s="625"/>
    </row>
    <row r="100" spans="1:19" s="914" customFormat="1" ht="21.75" customHeight="1" x14ac:dyDescent="0.2">
      <c r="A100" s="130" t="s">
        <v>480</v>
      </c>
      <c r="B100" s="109" t="s">
        <v>1080</v>
      </c>
      <c r="C100" s="476" t="s">
        <v>307</v>
      </c>
      <c r="D100" s="795">
        <v>1500</v>
      </c>
      <c r="E100" s="795">
        <v>464</v>
      </c>
      <c r="F100" s="796">
        <f>SUM(D100:E100)</f>
        <v>1964</v>
      </c>
      <c r="G100" s="795"/>
      <c r="H100" s="1217">
        <v>1964</v>
      </c>
      <c r="I100" s="1189"/>
    </row>
    <row r="101" spans="1:19" s="112" customFormat="1" ht="21.75" customHeight="1" x14ac:dyDescent="0.15">
      <c r="A101" s="130" t="s">
        <v>488</v>
      </c>
      <c r="B101" s="109" t="s">
        <v>980</v>
      </c>
      <c r="C101" s="476" t="s">
        <v>307</v>
      </c>
      <c r="D101" s="476">
        <v>5500</v>
      </c>
      <c r="E101" s="476">
        <v>1704</v>
      </c>
      <c r="F101" s="478">
        <f>SUM(D101:E101)</f>
        <v>7204</v>
      </c>
      <c r="G101" s="795">
        <v>2833</v>
      </c>
      <c r="H101" s="1218">
        <v>4371</v>
      </c>
      <c r="I101" s="625"/>
      <c r="S101" s="625"/>
    </row>
    <row r="102" spans="1:19" s="112" customFormat="1" ht="12.75" customHeight="1" thickBot="1" x14ac:dyDescent="0.2">
      <c r="A102" s="485"/>
      <c r="B102" s="109"/>
      <c r="C102" s="476"/>
      <c r="D102" s="476"/>
      <c r="E102" s="476"/>
      <c r="F102" s="478"/>
      <c r="G102" s="477"/>
      <c r="H102" s="795"/>
      <c r="I102" s="602"/>
    </row>
    <row r="103" spans="1:19" s="112" customFormat="1" ht="21.75" customHeight="1" thickBot="1" x14ac:dyDescent="0.2">
      <c r="A103" s="482"/>
      <c r="B103" s="108" t="s">
        <v>509</v>
      </c>
      <c r="C103" s="94"/>
      <c r="D103" s="1030">
        <f>SUM(D100:D101)</f>
        <v>7000</v>
      </c>
      <c r="E103" s="1030">
        <f>SUM(E100:E101)</f>
        <v>2168</v>
      </c>
      <c r="F103" s="1030">
        <f>SUM(F100:F101)</f>
        <v>9168</v>
      </c>
      <c r="G103" s="1030">
        <f>SUM(G100:G101)</f>
        <v>2833</v>
      </c>
      <c r="H103" s="1030">
        <f>SUM(H100:H101)</f>
        <v>6335</v>
      </c>
      <c r="I103" s="602"/>
    </row>
    <row r="104" spans="1:19" s="112" customFormat="1" ht="13.5" customHeight="1" x14ac:dyDescent="0.15">
      <c r="A104" s="130"/>
      <c r="B104" s="89"/>
      <c r="C104" s="91"/>
      <c r="D104" s="91"/>
      <c r="E104" s="91"/>
      <c r="F104" s="91"/>
      <c r="G104" s="99"/>
      <c r="H104" s="107"/>
      <c r="I104" s="602"/>
    </row>
    <row r="105" spans="1:19" s="112" customFormat="1" ht="13.5" customHeight="1" x14ac:dyDescent="0.15">
      <c r="A105" s="324" t="s">
        <v>176</v>
      </c>
      <c r="B105" s="89" t="s">
        <v>75</v>
      </c>
      <c r="C105" s="91"/>
      <c r="D105" s="107"/>
      <c r="E105" s="107"/>
      <c r="F105" s="107"/>
      <c r="G105" s="99"/>
      <c r="H105" s="107"/>
      <c r="I105" s="602"/>
    </row>
    <row r="106" spans="1:19" s="83" customFormat="1" ht="17.25" customHeight="1" x14ac:dyDescent="0.2">
      <c r="A106" s="130" t="s">
        <v>480</v>
      </c>
      <c r="B106" s="109" t="s">
        <v>1229</v>
      </c>
      <c r="C106" s="476" t="s">
        <v>309</v>
      </c>
      <c r="D106" s="795">
        <v>24881</v>
      </c>
      <c r="E106" s="795">
        <v>6719</v>
      </c>
      <c r="F106" s="796">
        <f>D106+E106</f>
        <v>31600</v>
      </c>
      <c r="G106" s="477"/>
      <c r="H106" s="795">
        <f>F106</f>
        <v>31600</v>
      </c>
      <c r="I106" s="600"/>
    </row>
    <row r="107" spans="1:19" s="83" customFormat="1" ht="17.25" customHeight="1" x14ac:dyDescent="0.2">
      <c r="A107" s="130" t="s">
        <v>488</v>
      </c>
      <c r="B107" s="109" t="s">
        <v>1289</v>
      </c>
      <c r="C107" s="476" t="s">
        <v>309</v>
      </c>
      <c r="D107" s="795">
        <v>3937</v>
      </c>
      <c r="E107" s="795">
        <v>1063</v>
      </c>
      <c r="F107" s="796">
        <f>D107+E107</f>
        <v>5000</v>
      </c>
      <c r="G107" s="477"/>
      <c r="H107" s="795">
        <f>F107</f>
        <v>5000</v>
      </c>
      <c r="I107" s="600"/>
    </row>
    <row r="108" spans="1:19" s="83" customFormat="1" ht="10.5" customHeight="1" thickBot="1" x14ac:dyDescent="0.25">
      <c r="A108" s="130"/>
      <c r="B108" s="109"/>
      <c r="C108" s="476"/>
      <c r="D108" s="1171"/>
      <c r="E108" s="1171"/>
      <c r="F108" s="1172"/>
      <c r="G108" s="1173"/>
      <c r="H108" s="1171"/>
      <c r="I108" s="600"/>
    </row>
    <row r="109" spans="1:19" s="83" customFormat="1" ht="21.75" customHeight="1" thickBot="1" x14ac:dyDescent="0.25">
      <c r="A109" s="482"/>
      <c r="B109" s="479" t="s">
        <v>74</v>
      </c>
      <c r="C109" s="846"/>
      <c r="D109" s="846">
        <f>SUM(D106:D107)</f>
        <v>28818</v>
      </c>
      <c r="E109" s="846">
        <f t="shared" ref="E109:H109" si="14">SUM(E106:E107)</f>
        <v>7782</v>
      </c>
      <c r="F109" s="846">
        <f t="shared" si="14"/>
        <v>36600</v>
      </c>
      <c r="G109" s="846">
        <f t="shared" si="14"/>
        <v>0</v>
      </c>
      <c r="H109" s="846">
        <f t="shared" si="14"/>
        <v>36600</v>
      </c>
      <c r="I109" s="600"/>
    </row>
    <row r="110" spans="1:19" s="83" customFormat="1" ht="13.5" customHeight="1" x14ac:dyDescent="0.2">
      <c r="A110" s="130"/>
      <c r="B110" s="109"/>
      <c r="C110" s="90"/>
      <c r="D110" s="90"/>
      <c r="E110" s="90"/>
      <c r="F110" s="90"/>
      <c r="G110" s="86"/>
      <c r="H110" s="128"/>
      <c r="I110" s="600"/>
    </row>
    <row r="111" spans="1:19" s="112" customFormat="1" ht="26.25" customHeight="1" x14ac:dyDescent="0.2">
      <c r="A111" s="130"/>
      <c r="B111" s="89" t="s">
        <v>950</v>
      </c>
      <c r="C111" s="91"/>
      <c r="D111" s="90"/>
      <c r="E111" s="90"/>
      <c r="F111" s="91"/>
      <c r="G111" s="99"/>
      <c r="H111" s="107"/>
      <c r="I111" s="602"/>
    </row>
    <row r="112" spans="1:19" s="112" customFormat="1" ht="21.75" customHeight="1" x14ac:dyDescent="0.15">
      <c r="A112" s="130" t="s">
        <v>480</v>
      </c>
      <c r="B112" s="799" t="s">
        <v>1142</v>
      </c>
      <c r="C112" s="476" t="s">
        <v>307</v>
      </c>
      <c r="D112" s="795">
        <v>958</v>
      </c>
      <c r="E112" s="795">
        <v>258</v>
      </c>
      <c r="F112" s="796">
        <f>SUM(D112:E112)</f>
        <v>1216</v>
      </c>
      <c r="G112" s="511"/>
      <c r="H112" s="795">
        <f>F112</f>
        <v>1216</v>
      </c>
      <c r="I112" s="602"/>
    </row>
    <row r="113" spans="1:14" s="112" customFormat="1" ht="21.75" customHeight="1" x14ac:dyDescent="0.15">
      <c r="A113" s="130" t="s">
        <v>488</v>
      </c>
      <c r="B113" s="799" t="s">
        <v>1290</v>
      </c>
      <c r="C113" s="476" t="s">
        <v>307</v>
      </c>
      <c r="D113" s="795">
        <v>1011</v>
      </c>
      <c r="E113" s="795">
        <v>273</v>
      </c>
      <c r="F113" s="796">
        <f>D113+E113</f>
        <v>1284</v>
      </c>
      <c r="G113" s="511"/>
      <c r="H113" s="795">
        <f>F113</f>
        <v>1284</v>
      </c>
      <c r="I113" s="602"/>
    </row>
    <row r="114" spans="1:14" s="112" customFormat="1" ht="21.75" customHeight="1" x14ac:dyDescent="0.15">
      <c r="A114" s="130" t="s">
        <v>489</v>
      </c>
      <c r="B114" s="799" t="s">
        <v>1291</v>
      </c>
      <c r="C114" s="476" t="s">
        <v>307</v>
      </c>
      <c r="D114" s="795">
        <v>1969</v>
      </c>
      <c r="E114" s="795">
        <v>531</v>
      </c>
      <c r="F114" s="796">
        <f>D114+E114</f>
        <v>2500</v>
      </c>
      <c r="G114" s="511">
        <f>F114</f>
        <v>2500</v>
      </c>
      <c r="H114" s="795"/>
      <c r="I114" s="602"/>
    </row>
    <row r="115" spans="1:14" s="112" customFormat="1" ht="12" customHeight="1" thickBot="1" x14ac:dyDescent="0.25">
      <c r="A115" s="130"/>
      <c r="B115" s="737"/>
      <c r="C115" s="734"/>
      <c r="D115" s="128"/>
      <c r="E115" s="128"/>
      <c r="F115" s="128"/>
      <c r="G115" s="99"/>
      <c r="H115" s="128"/>
      <c r="I115" s="602"/>
    </row>
    <row r="116" spans="1:14" s="112" customFormat="1" ht="21.75" customHeight="1" thickBot="1" x14ac:dyDescent="0.2">
      <c r="A116" s="486"/>
      <c r="B116" s="484" t="s">
        <v>949</v>
      </c>
      <c r="C116" s="845"/>
      <c r="D116" s="846">
        <f>SUM(D112:D115)</f>
        <v>3938</v>
      </c>
      <c r="E116" s="846">
        <f>SUM(E112:E115)</f>
        <v>1062</v>
      </c>
      <c r="F116" s="846">
        <f>SUM(F112:F115)</f>
        <v>5000</v>
      </c>
      <c r="G116" s="846">
        <f>SUM(G112:G115)</f>
        <v>2500</v>
      </c>
      <c r="H116" s="846">
        <f>SUM(H112:H115)</f>
        <v>2500</v>
      </c>
      <c r="I116" s="602"/>
    </row>
    <row r="117" spans="1:14" s="112" customFormat="1" ht="13.5" customHeight="1" x14ac:dyDescent="0.15">
      <c r="A117" s="324"/>
      <c r="B117" s="89"/>
      <c r="C117" s="91"/>
      <c r="D117" s="91"/>
      <c r="E117" s="91"/>
      <c r="F117" s="91"/>
      <c r="G117" s="91"/>
      <c r="H117" s="91"/>
      <c r="I117" s="602"/>
    </row>
    <row r="118" spans="1:14" s="112" customFormat="1" ht="13.5" customHeight="1" x14ac:dyDescent="0.15">
      <c r="A118" s="324"/>
      <c r="B118" s="89" t="s">
        <v>693</v>
      </c>
      <c r="C118" s="91"/>
      <c r="D118" s="91"/>
      <c r="E118" s="91"/>
      <c r="F118" s="91"/>
      <c r="G118" s="91"/>
      <c r="H118" s="91"/>
      <c r="I118" s="602"/>
    </row>
    <row r="119" spans="1:14" s="914" customFormat="1" ht="21.75" customHeight="1" x14ac:dyDescent="0.2">
      <c r="A119" s="130" t="s">
        <v>480</v>
      </c>
      <c r="B119" s="109" t="s">
        <v>1142</v>
      </c>
      <c r="C119" s="476" t="s">
        <v>307</v>
      </c>
      <c r="D119" s="795">
        <v>1874</v>
      </c>
      <c r="E119" s="795">
        <v>506</v>
      </c>
      <c r="F119" s="796">
        <f>SUM(D119:E119)</f>
        <v>2380</v>
      </c>
      <c r="G119" s="795">
        <v>0</v>
      </c>
      <c r="H119" s="795">
        <f>F119</f>
        <v>2380</v>
      </c>
      <c r="I119" s="913"/>
    </row>
    <row r="120" spans="1:14" s="914" customFormat="1" ht="12.75" customHeight="1" thickBot="1" x14ac:dyDescent="0.25">
      <c r="A120" s="130"/>
      <c r="B120" s="109"/>
      <c r="C120" s="476"/>
      <c r="D120" s="476"/>
      <c r="E120" s="476"/>
      <c r="F120" s="478"/>
      <c r="G120" s="476"/>
      <c r="H120" s="476"/>
      <c r="I120" s="913"/>
    </row>
    <row r="121" spans="1:14" s="112" customFormat="1" ht="21.75" customHeight="1" thickBot="1" x14ac:dyDescent="0.2">
      <c r="A121" s="486"/>
      <c r="B121" s="479" t="s">
        <v>16</v>
      </c>
      <c r="C121" s="846"/>
      <c r="D121" s="846">
        <f>SUM(D119:D120)</f>
        <v>1874</v>
      </c>
      <c r="E121" s="846">
        <f>SUM(E119:E120)</f>
        <v>506</v>
      </c>
      <c r="F121" s="846">
        <f>SUM(F119:F120)</f>
        <v>2380</v>
      </c>
      <c r="G121" s="846">
        <f>SUM(G119:G120)</f>
        <v>0</v>
      </c>
      <c r="H121" s="846">
        <f>SUM(H119:H120)</f>
        <v>2380</v>
      </c>
      <c r="I121" s="602"/>
    </row>
    <row r="122" spans="1:14" s="112" customFormat="1" ht="13.5" customHeight="1" x14ac:dyDescent="0.15">
      <c r="A122" s="324"/>
      <c r="B122" s="89"/>
      <c r="C122" s="91"/>
      <c r="D122" s="91"/>
      <c r="E122" s="91"/>
      <c r="F122" s="91"/>
      <c r="G122" s="91"/>
      <c r="H122" s="91"/>
      <c r="I122" s="602"/>
    </row>
    <row r="123" spans="1:14" s="112" customFormat="1" ht="13.5" customHeight="1" x14ac:dyDescent="0.15">
      <c r="A123" s="324"/>
      <c r="B123" s="89" t="s">
        <v>1117</v>
      </c>
      <c r="C123" s="91"/>
      <c r="D123" s="91"/>
      <c r="E123" s="91"/>
      <c r="F123" s="91"/>
      <c r="G123" s="91"/>
      <c r="H123" s="91"/>
      <c r="I123" s="602"/>
    </row>
    <row r="124" spans="1:14" s="914" customFormat="1" ht="21.75" customHeight="1" x14ac:dyDescent="0.2">
      <c r="A124" s="130" t="s">
        <v>480</v>
      </c>
      <c r="B124" s="109" t="s">
        <v>185</v>
      </c>
      <c r="C124" s="476" t="s">
        <v>307</v>
      </c>
      <c r="D124" s="795">
        <v>393</v>
      </c>
      <c r="E124" s="795">
        <v>107</v>
      </c>
      <c r="F124" s="796">
        <f>D124+E124</f>
        <v>500</v>
      </c>
      <c r="G124" s="795">
        <f>F124</f>
        <v>500</v>
      </c>
      <c r="H124" s="955"/>
      <c r="I124" s="913"/>
    </row>
    <row r="125" spans="1:14" s="914" customFormat="1" ht="21.75" customHeight="1" x14ac:dyDescent="0.2">
      <c r="A125" s="130" t="s">
        <v>488</v>
      </c>
      <c r="B125" s="109" t="s">
        <v>1143</v>
      </c>
      <c r="C125" s="476" t="s">
        <v>307</v>
      </c>
      <c r="D125" s="795">
        <v>1181</v>
      </c>
      <c r="E125" s="795">
        <v>319</v>
      </c>
      <c r="F125" s="796">
        <f>SUM(D125:E125)</f>
        <v>1500</v>
      </c>
      <c r="G125" s="795">
        <f>F125</f>
        <v>1500</v>
      </c>
      <c r="H125" s="955"/>
      <c r="I125" s="1189"/>
    </row>
    <row r="126" spans="1:14" s="914" customFormat="1" ht="12" customHeight="1" thickBot="1" x14ac:dyDescent="0.25">
      <c r="A126" s="485"/>
      <c r="B126" s="481"/>
      <c r="C126" s="915"/>
      <c r="D126" s="915"/>
      <c r="E126" s="915"/>
      <c r="F126" s="916"/>
      <c r="G126" s="915"/>
      <c r="H126" s="916"/>
      <c r="I126" s="913"/>
    </row>
    <row r="127" spans="1:14" s="914" customFormat="1" ht="21.75" customHeight="1" thickBot="1" x14ac:dyDescent="0.25">
      <c r="A127" s="486"/>
      <c r="B127" s="479" t="s">
        <v>186</v>
      </c>
      <c r="C127" s="846"/>
      <c r="D127" s="846">
        <f>SUM(D124:D125)</f>
        <v>1574</v>
      </c>
      <c r="E127" s="846">
        <f>SUM(E124:E125)</f>
        <v>426</v>
      </c>
      <c r="F127" s="846">
        <f>SUM(F124:F125)</f>
        <v>2000</v>
      </c>
      <c r="G127" s="846">
        <f>SUM(G124:G125)</f>
        <v>2000</v>
      </c>
      <c r="H127" s="846"/>
      <c r="I127" s="913"/>
    </row>
    <row r="128" spans="1:14" s="112" customFormat="1" ht="13.5" customHeight="1" x14ac:dyDescent="0.2">
      <c r="A128" s="130"/>
      <c r="B128" s="109"/>
      <c r="C128" s="90"/>
      <c r="D128" s="90"/>
      <c r="E128" s="90"/>
      <c r="F128" s="91"/>
      <c r="G128" s="99"/>
      <c r="H128" s="107"/>
      <c r="I128" s="602"/>
      <c r="N128" s="625"/>
    </row>
    <row r="129" spans="1:9" s="112" customFormat="1" ht="13.5" customHeight="1" x14ac:dyDescent="0.15">
      <c r="A129" s="324" t="s">
        <v>511</v>
      </c>
      <c r="B129" s="89" t="s">
        <v>512</v>
      </c>
      <c r="C129" s="91"/>
      <c r="D129" s="91"/>
      <c r="E129" s="91"/>
      <c r="F129" s="91"/>
      <c r="G129" s="99"/>
      <c r="H129" s="107"/>
      <c r="I129" s="602"/>
    </row>
    <row r="130" spans="1:9" s="112" customFormat="1" ht="11.25" customHeight="1" thickBot="1" x14ac:dyDescent="0.25">
      <c r="A130" s="485"/>
      <c r="B130" s="109"/>
      <c r="C130" s="90"/>
      <c r="D130" s="90"/>
      <c r="E130" s="90"/>
      <c r="F130" s="91"/>
      <c r="G130" s="86"/>
      <c r="H130" s="616"/>
      <c r="I130" s="602"/>
    </row>
    <row r="131" spans="1:9" s="112" customFormat="1" ht="21.75" customHeight="1" thickBot="1" x14ac:dyDescent="0.25">
      <c r="A131" s="482"/>
      <c r="B131" s="108" t="s">
        <v>513</v>
      </c>
      <c r="C131" s="113"/>
      <c r="D131" s="94">
        <f>D129</f>
        <v>0</v>
      </c>
      <c r="E131" s="94">
        <f t="shared" ref="E131:G131" si="15">E129</f>
        <v>0</v>
      </c>
      <c r="F131" s="94">
        <f t="shared" si="15"/>
        <v>0</v>
      </c>
      <c r="G131" s="94">
        <f t="shared" si="15"/>
        <v>0</v>
      </c>
      <c r="H131" s="94"/>
      <c r="I131" s="602"/>
    </row>
    <row r="132" spans="1:9" s="83" customFormat="1" ht="13.5" customHeight="1" thickBot="1" x14ac:dyDescent="0.25">
      <c r="A132" s="130"/>
      <c r="B132" s="109"/>
      <c r="C132" s="90"/>
      <c r="D132" s="90"/>
      <c r="E132" s="90"/>
      <c r="F132" s="91"/>
      <c r="G132" s="86"/>
      <c r="H132" s="128"/>
      <c r="I132" s="600"/>
    </row>
    <row r="133" spans="1:9" s="112" customFormat="1" ht="20.25" customHeight="1" thickBot="1" x14ac:dyDescent="0.2">
      <c r="A133" s="482"/>
      <c r="B133" s="108" t="s">
        <v>514</v>
      </c>
      <c r="C133" s="512"/>
      <c r="D133" s="512">
        <f>D18+D26+D53+D62+D67+D74+D80+D88+D93+D103+D109+D116+D121+D131+D127</f>
        <v>1178301</v>
      </c>
      <c r="E133" s="512">
        <f>E18+E26+E53+E62+E67+E74+E80+E88+E93+E103+E109+E116+E121+E131+E127</f>
        <v>203005</v>
      </c>
      <c r="F133" s="512">
        <f>F18+F26+F53+F62+F67+F74+F80+F88+F93+F103+F109+F116+F121+F131+F127</f>
        <v>1381306</v>
      </c>
      <c r="G133" s="512">
        <f>G18+G26+G53+G62+G67+G74+G80+G88+G93+G103+G109+G116+G121+G131+G127</f>
        <v>1089159</v>
      </c>
      <c r="H133" s="512">
        <f>H18+H26+H53+H62+H67+H74+H80+H88+H93+H103+H109+H116+H121+H131+H127</f>
        <v>292147</v>
      </c>
      <c r="I133" s="602"/>
    </row>
    <row r="136" spans="1:9" ht="14.1" customHeight="1" x14ac:dyDescent="0.2">
      <c r="E136" s="114"/>
      <c r="F136" s="115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3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9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8" x14ac:dyDescent="0.25">
      <c r="B1" s="17"/>
      <c r="C1" s="25"/>
    </row>
    <row r="2" spans="1:8" x14ac:dyDescent="0.25">
      <c r="A2" s="1349" t="s">
        <v>1360</v>
      </c>
      <c r="B2" s="1349"/>
      <c r="C2" s="1349"/>
      <c r="D2" s="1349"/>
      <c r="E2" s="1349"/>
    </row>
    <row r="3" spans="1:8" x14ac:dyDescent="0.25">
      <c r="B3" s="18"/>
      <c r="C3" s="331"/>
    </row>
    <row r="4" spans="1:8" ht="15" customHeight="1" x14ac:dyDescent="0.25">
      <c r="A4" s="1350" t="s">
        <v>77</v>
      </c>
      <c r="B4" s="1350"/>
      <c r="C4" s="1350"/>
      <c r="D4" s="1350"/>
      <c r="E4" s="1350"/>
    </row>
    <row r="5" spans="1:8" ht="15" customHeight="1" x14ac:dyDescent="0.25">
      <c r="A5" s="1351" t="s">
        <v>1160</v>
      </c>
      <c r="B5" s="1351"/>
      <c r="C5" s="1351"/>
      <c r="D5" s="1351"/>
      <c r="E5" s="1351"/>
    </row>
    <row r="6" spans="1:8" ht="15" customHeight="1" x14ac:dyDescent="0.25">
      <c r="A6" s="1351" t="s">
        <v>520</v>
      </c>
      <c r="B6" s="1351"/>
      <c r="C6" s="1351"/>
      <c r="D6" s="1351"/>
      <c r="E6" s="1351"/>
    </row>
    <row r="7" spans="1:8" ht="15" customHeight="1" x14ac:dyDescent="0.25">
      <c r="B7" s="1351"/>
      <c r="C7" s="1351"/>
    </row>
    <row r="8" spans="1:8" s="19" customFormat="1" ht="20.100000000000001" customHeight="1" x14ac:dyDescent="0.25">
      <c r="A8" s="1352" t="s">
        <v>303</v>
      </c>
      <c r="B8" s="1353"/>
      <c r="C8" s="1353"/>
      <c r="D8" s="1353"/>
      <c r="E8" s="1353"/>
    </row>
    <row r="9" spans="1:8" s="19" customFormat="1" ht="20.100000000000001" customHeight="1" x14ac:dyDescent="0.25">
      <c r="A9" s="1356" t="s">
        <v>76</v>
      </c>
      <c r="B9" s="492" t="s">
        <v>57</v>
      </c>
      <c r="C9" s="1355" t="s">
        <v>58</v>
      </c>
      <c r="D9" s="1355"/>
      <c r="E9" s="1355"/>
    </row>
    <row r="10" spans="1:8" ht="46.5" customHeight="1" x14ac:dyDescent="0.25">
      <c r="A10" s="1356"/>
      <c r="B10" s="1348" t="s">
        <v>85</v>
      </c>
      <c r="C10" s="1354" t="s">
        <v>1203</v>
      </c>
      <c r="D10" s="1354"/>
      <c r="E10" s="1354"/>
    </row>
    <row r="11" spans="1:8" ht="20.100000000000001" customHeight="1" x14ac:dyDescent="0.25">
      <c r="A11" s="1356"/>
      <c r="B11" s="1348"/>
      <c r="C11" s="491" t="s">
        <v>177</v>
      </c>
      <c r="D11" s="493" t="s">
        <v>178</v>
      </c>
      <c r="E11" s="494" t="s">
        <v>179</v>
      </c>
    </row>
    <row r="12" spans="1:8" ht="20.100000000000001" customHeight="1" x14ac:dyDescent="0.25">
      <c r="A12" s="21" t="s">
        <v>480</v>
      </c>
      <c r="B12" s="22" t="s">
        <v>521</v>
      </c>
      <c r="C12" s="617"/>
      <c r="D12" s="618"/>
      <c r="E12" s="619"/>
    </row>
    <row r="13" spans="1:8" ht="20.100000000000001" customHeight="1" x14ac:dyDescent="0.25">
      <c r="A13" s="21" t="s">
        <v>488</v>
      </c>
      <c r="B13" s="23" t="s">
        <v>632</v>
      </c>
      <c r="C13" s="620"/>
      <c r="D13" s="621"/>
      <c r="E13" s="622"/>
    </row>
    <row r="14" spans="1:8" ht="24.6" customHeight="1" x14ac:dyDescent="0.25">
      <c r="A14" s="21" t="s">
        <v>489</v>
      </c>
      <c r="B14" s="1053" t="s">
        <v>641</v>
      </c>
      <c r="C14" s="624">
        <v>0</v>
      </c>
      <c r="D14" s="624">
        <v>12718</v>
      </c>
      <c r="E14" s="1057">
        <f t="shared" ref="E14:E17" si="0">C14+D14</f>
        <v>12718</v>
      </c>
    </row>
    <row r="15" spans="1:8" ht="36" customHeight="1" x14ac:dyDescent="0.25">
      <c r="A15" s="21" t="s">
        <v>490</v>
      </c>
      <c r="B15" s="1174" t="s">
        <v>1090</v>
      </c>
      <c r="C15" s="1056">
        <v>0</v>
      </c>
      <c r="D15" s="624">
        <v>0</v>
      </c>
      <c r="E15" s="1057">
        <f t="shared" si="0"/>
        <v>0</v>
      </c>
      <c r="G15" s="507"/>
      <c r="H15" s="507"/>
    </row>
    <row r="16" spans="1:8" ht="24" customHeight="1" x14ac:dyDescent="0.25">
      <c r="A16" s="21" t="s">
        <v>491</v>
      </c>
      <c r="B16" s="779" t="s">
        <v>1089</v>
      </c>
      <c r="C16" s="898">
        <v>0</v>
      </c>
      <c r="D16" s="624">
        <v>0</v>
      </c>
      <c r="E16" s="1057">
        <f t="shared" si="0"/>
        <v>0</v>
      </c>
    </row>
    <row r="17" spans="1:15" ht="31.5" customHeight="1" thickBot="1" x14ac:dyDescent="0.3">
      <c r="A17" s="21" t="s">
        <v>492</v>
      </c>
      <c r="B17" s="1094" t="s">
        <v>1166</v>
      </c>
      <c r="C17" s="898">
        <v>24882</v>
      </c>
      <c r="D17" s="624"/>
      <c r="E17" s="1057">
        <f t="shared" si="0"/>
        <v>24882</v>
      </c>
    </row>
    <row r="18" spans="1:15" s="15" customFormat="1" ht="19.5" customHeight="1" thickBot="1" x14ac:dyDescent="0.3">
      <c r="A18" s="21" t="s">
        <v>493</v>
      </c>
      <c r="B18" s="1100" t="s">
        <v>49</v>
      </c>
      <c r="C18" s="1101">
        <f>SUM(C14:C17)</f>
        <v>24882</v>
      </c>
      <c r="D18" s="1101">
        <f>SUM(D14:D17)</f>
        <v>12718</v>
      </c>
      <c r="E18" s="1182">
        <f>SUM(E14:E17)</f>
        <v>37600</v>
      </c>
    </row>
    <row r="19" spans="1:15" s="15" customFormat="1" ht="20.25" customHeight="1" x14ac:dyDescent="0.25">
      <c r="A19" s="21" t="s">
        <v>494</v>
      </c>
      <c r="B19" s="26"/>
      <c r="C19" s="1058"/>
      <c r="D19" s="1059"/>
      <c r="E19" s="1060"/>
    </row>
    <row r="20" spans="1:15" ht="19.5" customHeight="1" x14ac:dyDescent="0.25">
      <c r="A20" s="21" t="s">
        <v>495</v>
      </c>
      <c r="B20" s="26" t="s">
        <v>633</v>
      </c>
      <c r="C20" s="1055"/>
      <c r="D20" s="1061"/>
      <c r="E20" s="1062"/>
    </row>
    <row r="21" spans="1:15" ht="21" customHeight="1" x14ac:dyDescent="0.25">
      <c r="A21" s="21" t="s">
        <v>531</v>
      </c>
      <c r="B21" s="17" t="s">
        <v>522</v>
      </c>
      <c r="C21" s="1055"/>
      <c r="D21" s="1056">
        <v>30000</v>
      </c>
      <c r="E21" s="1057">
        <f>C21+D21</f>
        <v>30000</v>
      </c>
    </row>
    <row r="22" spans="1:15" ht="21.75" customHeight="1" x14ac:dyDescent="0.25">
      <c r="A22" s="21" t="s">
        <v>532</v>
      </c>
      <c r="B22" s="24" t="s">
        <v>523</v>
      </c>
      <c r="C22" s="1055"/>
      <c r="D22" s="1056">
        <v>3792</v>
      </c>
      <c r="E22" s="1057">
        <f>C22+D22</f>
        <v>3792</v>
      </c>
    </row>
    <row r="23" spans="1:15" ht="41.25" customHeight="1" thickBot="1" x14ac:dyDescent="0.3">
      <c r="A23" s="21" t="s">
        <v>533</v>
      </c>
      <c r="B23" s="911" t="s">
        <v>972</v>
      </c>
      <c r="C23" s="908"/>
      <c r="D23" s="909">
        <v>0</v>
      </c>
      <c r="E23" s="910">
        <f>C23+D23</f>
        <v>0</v>
      </c>
    </row>
    <row r="24" spans="1:15" s="15" customFormat="1" ht="21" customHeight="1" thickBot="1" x14ac:dyDescent="0.3">
      <c r="A24" s="21" t="s">
        <v>534</v>
      </c>
      <c r="B24" s="1100" t="s">
        <v>634</v>
      </c>
      <c r="C24" s="1101">
        <f>SUM(C21:C22)</f>
        <v>0</v>
      </c>
      <c r="D24" s="1102">
        <f>SUM(D21:D23)</f>
        <v>33792</v>
      </c>
      <c r="E24" s="1098">
        <f>C24+D24</f>
        <v>33792</v>
      </c>
    </row>
    <row r="25" spans="1:15" s="15" customFormat="1" ht="22.5" customHeight="1" thickBot="1" x14ac:dyDescent="0.3">
      <c r="A25" s="21" t="s">
        <v>535</v>
      </c>
      <c r="B25" s="300" t="s">
        <v>524</v>
      </c>
      <c r="C25" s="1096">
        <f>C18+C24</f>
        <v>24882</v>
      </c>
      <c r="D25" s="1097">
        <f>D18+D24</f>
        <v>46510</v>
      </c>
      <c r="E25" s="1098">
        <f>C25+D25</f>
        <v>71392</v>
      </c>
    </row>
    <row r="26" spans="1:15" ht="20.100000000000001" customHeight="1" x14ac:dyDescent="0.25">
      <c r="A26" s="21" t="s">
        <v>536</v>
      </c>
      <c r="B26" s="24"/>
      <c r="C26" s="898"/>
      <c r="D26" s="624"/>
      <c r="E26" s="1062"/>
    </row>
    <row r="27" spans="1:15" ht="20.100000000000001" customHeight="1" x14ac:dyDescent="0.25">
      <c r="A27" s="21" t="s">
        <v>537</v>
      </c>
      <c r="B27" s="22" t="s">
        <v>525</v>
      </c>
      <c r="C27" s="898"/>
      <c r="D27" s="624"/>
      <c r="E27" s="1062"/>
    </row>
    <row r="28" spans="1:15" ht="20.100000000000001" customHeight="1" x14ac:dyDescent="0.25">
      <c r="A28" s="21" t="s">
        <v>538</v>
      </c>
      <c r="B28" s="17" t="s">
        <v>526</v>
      </c>
      <c r="C28" s="898">
        <v>78981</v>
      </c>
      <c r="D28" s="624">
        <v>28565</v>
      </c>
      <c r="E28" s="1057">
        <f>C28+D28</f>
        <v>107546</v>
      </c>
    </row>
    <row r="29" spans="1:15" ht="20.100000000000001" customHeight="1" x14ac:dyDescent="0.25">
      <c r="A29" s="21" t="s">
        <v>540</v>
      </c>
      <c r="B29" s="28" t="s">
        <v>187</v>
      </c>
      <c r="C29" s="898"/>
      <c r="D29" s="624"/>
      <c r="E29" s="1057"/>
    </row>
    <row r="30" spans="1:15" ht="32.25" customHeight="1" x14ac:dyDescent="0.25">
      <c r="A30" s="21" t="s">
        <v>541</v>
      </c>
      <c r="B30" s="779" t="s">
        <v>1091</v>
      </c>
      <c r="C30" s="898">
        <v>0</v>
      </c>
      <c r="D30" s="624">
        <v>0</v>
      </c>
      <c r="E30" s="1057">
        <f>SUM(C30:D30)</f>
        <v>0</v>
      </c>
    </row>
    <row r="31" spans="1:15" ht="32.25" customHeight="1" thickBot="1" x14ac:dyDescent="0.3">
      <c r="A31" s="21" t="s">
        <v>542</v>
      </c>
      <c r="B31" s="1053" t="s">
        <v>1092</v>
      </c>
      <c r="C31" s="624">
        <v>2223</v>
      </c>
      <c r="D31" s="624"/>
      <c r="E31" s="1057">
        <f>SUM(C31:D31)</f>
        <v>2223</v>
      </c>
    </row>
    <row r="32" spans="1:15" s="15" customFormat="1" ht="20.100000000000001" customHeight="1" thickBot="1" x14ac:dyDescent="0.3">
      <c r="A32" s="21" t="s">
        <v>543</v>
      </c>
      <c r="B32" s="1099" t="s">
        <v>527</v>
      </c>
      <c r="C32" s="1097">
        <f>C28+C30+C31</f>
        <v>81204</v>
      </c>
      <c r="D32" s="1097">
        <f t="shared" ref="D32:E32" si="1">D28+D30+D31</f>
        <v>28565</v>
      </c>
      <c r="E32" s="1098">
        <f t="shared" si="1"/>
        <v>109769</v>
      </c>
      <c r="O32" s="1054"/>
    </row>
    <row r="33" spans="1:15" s="15" customFormat="1" ht="20.100000000000001" customHeight="1" thickBot="1" x14ac:dyDescent="0.3">
      <c r="A33" s="21" t="s">
        <v>544</v>
      </c>
      <c r="B33" s="1095" t="s">
        <v>304</v>
      </c>
      <c r="C33" s="1096">
        <f>C25+C32</f>
        <v>106086</v>
      </c>
      <c r="D33" s="1097">
        <f>D25+D32</f>
        <v>75075</v>
      </c>
      <c r="E33" s="1098">
        <f>E25+E32</f>
        <v>181161</v>
      </c>
      <c r="O33" s="1054"/>
    </row>
    <row r="34" spans="1:15" s="15" customFormat="1" ht="20.100000000000001" customHeight="1" x14ac:dyDescent="0.25">
      <c r="A34" s="16"/>
      <c r="B34" s="29"/>
      <c r="C34" s="27"/>
      <c r="D34" s="360"/>
    </row>
    <row r="35" spans="1:15" ht="19.5" customHeight="1" x14ac:dyDescent="0.25">
      <c r="B35" s="30"/>
      <c r="C35" s="25"/>
    </row>
    <row r="36" spans="1:15" ht="15" customHeight="1" x14ac:dyDescent="0.25">
      <c r="B36" s="17"/>
      <c r="C36" s="25"/>
      <c r="H36" s="507"/>
    </row>
    <row r="37" spans="1:15" x14ac:dyDescent="0.25">
      <c r="B37" s="17"/>
      <c r="C37" s="25"/>
    </row>
    <row r="38" spans="1:15" x14ac:dyDescent="0.25">
      <c r="B38" s="17"/>
      <c r="C38" s="25"/>
    </row>
    <row r="39" spans="1:15" x14ac:dyDescent="0.25">
      <c r="B39" s="17"/>
      <c r="C39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7" customWidth="1"/>
    <col min="2" max="2" width="37.28515625" style="157" customWidth="1"/>
    <col min="3" max="3" width="12" style="158" customWidth="1"/>
    <col min="4" max="4" width="11.140625" style="158" customWidth="1"/>
    <col min="5" max="5" width="12.140625" style="158" customWidth="1"/>
    <col min="6" max="6" width="40.42578125" style="158" customWidth="1"/>
    <col min="7" max="7" width="11.5703125" style="158" customWidth="1"/>
    <col min="8" max="8" width="11.7109375" style="158" customWidth="1"/>
    <col min="9" max="9" width="14.5703125" style="158" customWidth="1"/>
    <col min="10" max="10" width="7.7109375" style="327" hidden="1" customWidth="1"/>
    <col min="11" max="11" width="7.140625" style="327" hidden="1" customWidth="1"/>
    <col min="12" max="12" width="7.85546875" style="327" hidden="1" customWidth="1"/>
    <col min="13" max="16384" width="9.140625" style="10"/>
  </cols>
  <sheetData>
    <row r="1" spans="1:13" ht="12.75" x14ac:dyDescent="0.2">
      <c r="C1" s="1244" t="s">
        <v>1361</v>
      </c>
      <c r="D1" s="1299"/>
      <c r="E1" s="1299"/>
      <c r="F1" s="1299"/>
      <c r="G1" s="1299"/>
      <c r="H1" s="1299"/>
      <c r="I1" s="1299"/>
      <c r="J1" s="1299"/>
      <c r="K1" s="1299"/>
      <c r="L1" s="1299"/>
    </row>
    <row r="2" spans="1:13" x14ac:dyDescent="0.2">
      <c r="I2" s="159"/>
    </row>
    <row r="3" spans="1:13" s="122" customFormat="1" ht="12.75" x14ac:dyDescent="0.2">
      <c r="A3" s="160"/>
      <c r="B3" s="1247" t="s">
        <v>77</v>
      </c>
      <c r="C3" s="1247"/>
      <c r="D3" s="1247"/>
      <c r="E3" s="1247"/>
      <c r="F3" s="1247"/>
      <c r="G3" s="1247"/>
      <c r="H3" s="1247"/>
      <c r="I3" s="1247"/>
      <c r="J3" s="1299"/>
      <c r="K3" s="1299"/>
      <c r="L3" s="1299"/>
    </row>
    <row r="4" spans="1:13" s="122" customFormat="1" x14ac:dyDescent="0.2">
      <c r="A4" s="160"/>
      <c r="B4" s="1357" t="s">
        <v>1161</v>
      </c>
      <c r="C4" s="1357"/>
      <c r="D4" s="1357"/>
      <c r="E4" s="1357"/>
      <c r="F4" s="1357"/>
      <c r="G4" s="1357"/>
      <c r="H4" s="1357"/>
      <c r="I4" s="1357"/>
    </row>
    <row r="5" spans="1:13" s="122" customFormat="1" ht="12.75" x14ac:dyDescent="0.2">
      <c r="A5" s="1248" t="s">
        <v>303</v>
      </c>
      <c r="B5" s="1301"/>
      <c r="C5" s="1301"/>
      <c r="D5" s="1301"/>
      <c r="E5" s="1301"/>
      <c r="F5" s="1301"/>
      <c r="G5" s="1301"/>
      <c r="H5" s="1301"/>
      <c r="I5" s="1301"/>
      <c r="J5" s="1301"/>
      <c r="K5" s="1301"/>
      <c r="L5" s="1301"/>
    </row>
    <row r="6" spans="1:13" s="122" customFormat="1" ht="12.75" customHeight="1" x14ac:dyDescent="0.2">
      <c r="A6" s="1252" t="s">
        <v>56</v>
      </c>
      <c r="B6" s="1253" t="s">
        <v>57</v>
      </c>
      <c r="C6" s="1268" t="s">
        <v>58</v>
      </c>
      <c r="D6" s="1268"/>
      <c r="E6" s="1269"/>
      <c r="F6" s="1359" t="s">
        <v>59</v>
      </c>
      <c r="G6" s="1250" t="s">
        <v>60</v>
      </c>
      <c r="H6" s="1251"/>
      <c r="I6" s="1358"/>
      <c r="M6" s="604"/>
    </row>
    <row r="7" spans="1:13" s="122" customFormat="1" ht="12.75" customHeight="1" x14ac:dyDescent="0.2">
      <c r="A7" s="1252"/>
      <c r="B7" s="1253"/>
      <c r="C7" s="1245" t="s">
        <v>1140</v>
      </c>
      <c r="D7" s="1245"/>
      <c r="E7" s="1246"/>
      <c r="F7" s="1359"/>
      <c r="G7" s="1245" t="s">
        <v>1140</v>
      </c>
      <c r="H7" s="1245"/>
      <c r="I7" s="1245"/>
      <c r="M7" s="604"/>
    </row>
    <row r="8" spans="1:13" s="123" customFormat="1" ht="36.6" customHeight="1" x14ac:dyDescent="0.2">
      <c r="A8" s="1252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M8" s="605"/>
    </row>
    <row r="9" spans="1:13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0"/>
      <c r="K9" s="10"/>
      <c r="L9" s="10"/>
      <c r="M9" s="190"/>
    </row>
    <row r="10" spans="1:13" x14ac:dyDescent="0.2">
      <c r="A10" s="164">
        <f t="shared" ref="A10:A55" si="0">A9+1</f>
        <v>2</v>
      </c>
      <c r="B10" s="167" t="s">
        <v>35</v>
      </c>
      <c r="C10" s="295"/>
      <c r="D10" s="295"/>
      <c r="E10" s="283">
        <f>SUM(C10:D10)</f>
        <v>0</v>
      </c>
      <c r="F10" s="497" t="s">
        <v>216</v>
      </c>
      <c r="G10" s="283">
        <f>'műk. kiad. szakf Önkorm. '!D67</f>
        <v>53431</v>
      </c>
      <c r="H10" s="283">
        <f>'műk. kiad. szakf Önkorm. '!E67</f>
        <v>40754</v>
      </c>
      <c r="I10" s="465">
        <f>SUM(G10:H10)</f>
        <v>94185</v>
      </c>
      <c r="J10" s="10"/>
      <c r="K10" s="10"/>
      <c r="L10" s="10"/>
      <c r="M10" s="190"/>
    </row>
    <row r="11" spans="1:13" x14ac:dyDescent="0.2">
      <c r="A11" s="164">
        <f t="shared" si="0"/>
        <v>3</v>
      </c>
      <c r="B11" s="167" t="s">
        <v>192</v>
      </c>
      <c r="C11" s="295">
        <f>'tám, végl. pe.átv  '!C11+'tám, végl. pe.átv  '!C17+'tám, végl. pe.átv  '!C18</f>
        <v>788582</v>
      </c>
      <c r="D11" s="295">
        <f>'tám, végl. pe.átv  '!D11+'tám, végl. pe.átv  '!D17+'tám, végl. pe.átv  '!D18</f>
        <v>107996</v>
      </c>
      <c r="E11" s="295">
        <f>'tám, végl. pe.átv  '!E11+'tám, végl. pe.átv  '!E17+'tám, végl. pe.átv  '!E18</f>
        <v>896578</v>
      </c>
      <c r="F11" s="497" t="s">
        <v>217</v>
      </c>
      <c r="G11" s="283">
        <f>'műk. kiad. szakf Önkorm. '!F67</f>
        <v>15720</v>
      </c>
      <c r="H11" s="283">
        <f>'műk. kiad. szakf Önkorm. '!G67</f>
        <v>13948</v>
      </c>
      <c r="I11" s="465">
        <f>SUM(G11:H11)</f>
        <v>29668</v>
      </c>
      <c r="J11" s="10"/>
      <c r="K11" s="10"/>
      <c r="L11" s="10"/>
      <c r="M11" s="190"/>
    </row>
    <row r="12" spans="1:13" x14ac:dyDescent="0.2">
      <c r="A12" s="164">
        <f t="shared" si="0"/>
        <v>4</v>
      </c>
      <c r="B12" s="167" t="s">
        <v>189</v>
      </c>
      <c r="C12" s="295"/>
      <c r="D12" s="295">
        <v>0</v>
      </c>
      <c r="E12" s="295">
        <f>C12+D12</f>
        <v>0</v>
      </c>
      <c r="F12" s="497" t="s">
        <v>218</v>
      </c>
      <c r="G12" s="283">
        <f>'műk. kiad. szakf Önkorm. '!H67</f>
        <v>311412</v>
      </c>
      <c r="H12" s="283">
        <f>'műk. kiad. szakf Önkorm. '!I67</f>
        <v>292883</v>
      </c>
      <c r="I12" s="465">
        <f>SUM(G12:H12)</f>
        <v>604295</v>
      </c>
      <c r="J12" s="10"/>
      <c r="K12" s="10"/>
      <c r="L12" s="10"/>
      <c r="M12" s="190"/>
    </row>
    <row r="13" spans="1:13" ht="12" customHeight="1" x14ac:dyDescent="0.2">
      <c r="A13" s="164">
        <f t="shared" si="0"/>
        <v>5</v>
      </c>
      <c r="B13" s="536" t="s">
        <v>193</v>
      </c>
      <c r="C13" s="295">
        <f>'tám, végl. pe.átv  '!C37</f>
        <v>6684</v>
      </c>
      <c r="D13" s="295">
        <f>'tám, végl. pe.átv  '!D37</f>
        <v>11253</v>
      </c>
      <c r="E13" s="295">
        <f>'tám, végl. pe.átv  '!E37</f>
        <v>17937</v>
      </c>
      <c r="F13" s="497"/>
      <c r="G13" s="295"/>
      <c r="H13" s="295"/>
      <c r="I13" s="465"/>
      <c r="J13" s="10"/>
      <c r="K13" s="10"/>
      <c r="L13" s="10"/>
      <c r="M13" s="190"/>
    </row>
    <row r="14" spans="1:13" x14ac:dyDescent="0.2">
      <c r="A14" s="164">
        <f>A13+1</f>
        <v>6</v>
      </c>
      <c r="B14" s="167" t="s">
        <v>1120</v>
      </c>
      <c r="C14" s="295"/>
      <c r="D14" s="295"/>
      <c r="E14" s="283"/>
      <c r="F14" s="497" t="s">
        <v>219</v>
      </c>
      <c r="G14" s="290">
        <f>'ellátottak önk.'!E29</f>
        <v>2689</v>
      </c>
      <c r="H14" s="290">
        <f>'ellátottak önk.'!F29</f>
        <v>10950</v>
      </c>
      <c r="I14" s="465">
        <f>SUM(G14:H14)</f>
        <v>13639</v>
      </c>
      <c r="J14" s="10"/>
      <c r="K14" s="10"/>
      <c r="L14" s="10"/>
      <c r="M14" s="190"/>
    </row>
    <row r="15" spans="1:13" x14ac:dyDescent="0.2">
      <c r="A15" s="164">
        <f t="shared" ref="A15:A26" si="1">A14+1</f>
        <v>7</v>
      </c>
      <c r="B15" s="167" t="s">
        <v>1118</v>
      </c>
      <c r="C15" s="295">
        <f>'felh. bev.  '!D24</f>
        <v>0</v>
      </c>
      <c r="D15" s="295"/>
      <c r="E15" s="283">
        <f t="shared" ref="E15" si="2">SUM(C15:D15)</f>
        <v>0</v>
      </c>
      <c r="F15" s="497"/>
      <c r="G15" s="290"/>
      <c r="H15" s="290"/>
      <c r="I15" s="465"/>
      <c r="J15" s="10"/>
      <c r="K15" s="10"/>
      <c r="L15" s="10"/>
      <c r="M15" s="190"/>
    </row>
    <row r="16" spans="1:13" x14ac:dyDescent="0.2">
      <c r="A16" s="164">
        <f t="shared" si="1"/>
        <v>8</v>
      </c>
      <c r="B16" s="1103" t="s">
        <v>1119</v>
      </c>
      <c r="C16" s="295">
        <f>'felh. bev.  '!D28</f>
        <v>0</v>
      </c>
      <c r="D16" s="295">
        <f>'felh. bev.  '!E24</f>
        <v>14540</v>
      </c>
      <c r="E16" s="295">
        <f>'felh. bev.  '!F24</f>
        <v>14540</v>
      </c>
      <c r="F16" s="497" t="s">
        <v>220</v>
      </c>
      <c r="G16" s="290"/>
      <c r="H16" s="290"/>
      <c r="I16" s="465"/>
      <c r="J16" s="10"/>
      <c r="K16" s="10"/>
      <c r="L16" s="10"/>
      <c r="M16" s="190"/>
    </row>
    <row r="17" spans="1:14" x14ac:dyDescent="0.2">
      <c r="A17" s="164">
        <f t="shared" si="1"/>
        <v>9</v>
      </c>
      <c r="B17" s="167" t="s">
        <v>194</v>
      </c>
      <c r="C17" s="295">
        <f>'közhatalmi bevételek'!D30</f>
        <v>377747</v>
      </c>
      <c r="D17" s="295">
        <f>'közhatalmi bevételek'!E30</f>
        <v>862657</v>
      </c>
      <c r="E17" s="295">
        <f>'közhatalmi bevételek'!F30</f>
        <v>1240404</v>
      </c>
      <c r="F17" s="497" t="s">
        <v>221</v>
      </c>
      <c r="G17" s="290">
        <f>mc.pe.átad!D22</f>
        <v>5850</v>
      </c>
      <c r="H17" s="290">
        <f>mc.pe.átad!E22</f>
        <v>58841</v>
      </c>
      <c r="I17" s="290">
        <f>mc.pe.átad!F22</f>
        <v>64691</v>
      </c>
      <c r="J17" s="10"/>
      <c r="K17" s="10"/>
      <c r="L17" s="10"/>
      <c r="M17" s="190"/>
    </row>
    <row r="18" spans="1:14" x14ac:dyDescent="0.2">
      <c r="A18" s="164">
        <f t="shared" si="1"/>
        <v>10</v>
      </c>
      <c r="B18" s="170" t="s">
        <v>40</v>
      </c>
      <c r="C18" s="355"/>
      <c r="D18" s="355"/>
      <c r="E18" s="355"/>
      <c r="F18" s="497" t="s">
        <v>222</v>
      </c>
      <c r="G18" s="290">
        <f>mc.pe.átad!D61</f>
        <v>115412</v>
      </c>
      <c r="H18" s="290">
        <f>mc.pe.átad!E61</f>
        <v>176606</v>
      </c>
      <c r="I18" s="290">
        <f>mc.pe.átad!F61</f>
        <v>292018</v>
      </c>
      <c r="J18" s="10"/>
      <c r="K18" s="10"/>
      <c r="L18" s="10"/>
      <c r="M18" s="190"/>
    </row>
    <row r="19" spans="1:14" x14ac:dyDescent="0.2">
      <c r="A19" s="164">
        <f t="shared" si="1"/>
        <v>11</v>
      </c>
      <c r="B19" s="170"/>
      <c r="C19" s="355"/>
      <c r="D19" s="355"/>
      <c r="E19" s="355"/>
      <c r="F19" s="497" t="s">
        <v>269</v>
      </c>
      <c r="G19" s="290">
        <f>'műk. kiad. szakf Önkorm. '!N67</f>
        <v>0</v>
      </c>
      <c r="H19" s="290">
        <f>'műk. kiad. szakf Önkorm. '!O67</f>
        <v>0</v>
      </c>
      <c r="I19" s="290">
        <f>G19+H19</f>
        <v>0</v>
      </c>
      <c r="J19" s="10"/>
      <c r="K19" s="10"/>
      <c r="L19" s="10"/>
      <c r="M19" s="190"/>
    </row>
    <row r="20" spans="1:14" x14ac:dyDescent="0.2">
      <c r="A20" s="164">
        <f>A19+1</f>
        <v>12</v>
      </c>
      <c r="B20" s="116" t="s">
        <v>195</v>
      </c>
      <c r="C20" s="355">
        <v>151524</v>
      </c>
      <c r="D20" s="355">
        <v>118847</v>
      </c>
      <c r="E20" s="355">
        <f>SUM(C20:D20)</f>
        <v>270371</v>
      </c>
      <c r="F20" s="497" t="s">
        <v>224</v>
      </c>
      <c r="G20" s="290">
        <f>tartalék!C24</f>
        <v>0</v>
      </c>
      <c r="H20" s="290">
        <f>tartalék!D24</f>
        <v>33792</v>
      </c>
      <c r="I20" s="899">
        <f>SUM(G20:H20)</f>
        <v>33792</v>
      </c>
      <c r="J20" s="10"/>
      <c r="K20" s="10"/>
      <c r="L20" s="10"/>
      <c r="M20" s="190"/>
    </row>
    <row r="21" spans="1:14" x14ac:dyDescent="0.2">
      <c r="A21" s="164">
        <f t="shared" si="1"/>
        <v>13</v>
      </c>
      <c r="C21" s="355"/>
      <c r="D21" s="355"/>
      <c r="E21" s="355"/>
      <c r="F21" s="497" t="s">
        <v>270</v>
      </c>
      <c r="G21" s="290">
        <f>tartalék!C32</f>
        <v>81204</v>
      </c>
      <c r="H21" s="290">
        <f>tartalék!D32</f>
        <v>28565</v>
      </c>
      <c r="I21" s="290">
        <f>tartalék!E32</f>
        <v>109769</v>
      </c>
      <c r="J21" s="10"/>
      <c r="K21" s="10"/>
      <c r="L21" s="10"/>
      <c r="M21" s="190"/>
    </row>
    <row r="22" spans="1:14" s="124" customFormat="1" x14ac:dyDescent="0.2">
      <c r="A22" s="164">
        <f t="shared" si="1"/>
        <v>14</v>
      </c>
      <c r="B22" s="157" t="s">
        <v>42</v>
      </c>
      <c r="C22" s="355"/>
      <c r="D22" s="355"/>
      <c r="E22" s="355"/>
      <c r="F22" s="603"/>
      <c r="G22" s="290"/>
      <c r="H22" s="290"/>
      <c r="I22" s="467"/>
      <c r="M22" s="606"/>
    </row>
    <row r="23" spans="1:14" s="124" customFormat="1" x14ac:dyDescent="0.2">
      <c r="A23" s="164">
        <f t="shared" si="1"/>
        <v>15</v>
      </c>
      <c r="B23" s="157" t="s">
        <v>196</v>
      </c>
      <c r="C23" s="355"/>
      <c r="D23" s="355"/>
      <c r="E23" s="355"/>
      <c r="F23" s="603"/>
      <c r="G23" s="290"/>
      <c r="H23" s="290"/>
      <c r="I23" s="467"/>
      <c r="M23" s="606"/>
    </row>
    <row r="24" spans="1:14" x14ac:dyDescent="0.2">
      <c r="A24" s="164">
        <f t="shared" si="1"/>
        <v>16</v>
      </c>
      <c r="B24" s="180" t="s">
        <v>199</v>
      </c>
      <c r="C24" s="283">
        <f>'felh. bev.  '!D12</f>
        <v>1447</v>
      </c>
      <c r="D24" s="283">
        <f>'felh. bev.  '!E12</f>
        <v>29300</v>
      </c>
      <c r="E24" s="355">
        <f>SUM(C24:D24)</f>
        <v>30747</v>
      </c>
      <c r="F24" s="861" t="s">
        <v>66</v>
      </c>
      <c r="G24" s="356">
        <f t="shared" ref="G24:L24" si="3">SUM(G10:G22)</f>
        <v>585718</v>
      </c>
      <c r="H24" s="356">
        <f t="shared" si="3"/>
        <v>656339</v>
      </c>
      <c r="I24" s="468">
        <f t="shared" si="3"/>
        <v>1242057</v>
      </c>
      <c r="J24" s="125">
        <f t="shared" si="3"/>
        <v>0</v>
      </c>
      <c r="K24" s="125">
        <f t="shared" si="3"/>
        <v>0</v>
      </c>
      <c r="L24" s="442">
        <f t="shared" si="3"/>
        <v>0</v>
      </c>
      <c r="M24" s="190"/>
    </row>
    <row r="25" spans="1:14" x14ac:dyDescent="0.2">
      <c r="A25" s="164">
        <f t="shared" si="1"/>
        <v>17</v>
      </c>
      <c r="B25" s="180" t="s">
        <v>200</v>
      </c>
      <c r="C25" s="355">
        <f>'felh. bev.  '!D13+'felh. bev.  '!D14</f>
        <v>0</v>
      </c>
      <c r="D25" s="355">
        <f>'felh. bev.  '!E13+'felh. bev.  '!E14</f>
        <v>4</v>
      </c>
      <c r="E25" s="355">
        <f>SUM(C25:D25)</f>
        <v>4</v>
      </c>
      <c r="F25" s="603"/>
      <c r="G25" s="290"/>
      <c r="H25" s="290"/>
      <c r="I25" s="467"/>
      <c r="J25" s="10"/>
      <c r="K25" s="10"/>
      <c r="L25" s="10"/>
      <c r="M25" s="190"/>
    </row>
    <row r="26" spans="1:14" x14ac:dyDescent="0.2">
      <c r="A26" s="164">
        <f t="shared" si="1"/>
        <v>18</v>
      </c>
      <c r="B26" s="157" t="s">
        <v>201</v>
      </c>
      <c r="C26" s="283">
        <f>'felh. bev.  '!D20</f>
        <v>0</v>
      </c>
      <c r="D26" s="283">
        <f>'felh. bev.  '!E20</f>
        <v>180</v>
      </c>
      <c r="E26" s="283">
        <f>'felh. bev.  '!F20</f>
        <v>180</v>
      </c>
      <c r="F26" s="862" t="s">
        <v>34</v>
      </c>
      <c r="G26" s="358"/>
      <c r="H26" s="358"/>
      <c r="I26" s="467"/>
      <c r="J26" s="10"/>
      <c r="K26" s="10"/>
      <c r="L26" s="10"/>
      <c r="M26" s="190"/>
    </row>
    <row r="27" spans="1:14" x14ac:dyDescent="0.2">
      <c r="A27" s="164">
        <f t="shared" si="0"/>
        <v>19</v>
      </c>
      <c r="B27" s="167" t="s">
        <v>202</v>
      </c>
      <c r="C27" s="283"/>
      <c r="D27" s="283"/>
      <c r="E27" s="283"/>
      <c r="F27" s="497" t="s">
        <v>271</v>
      </c>
      <c r="G27" s="290">
        <f>'felhalm. kiad.  '!G18+'felhalm. kiad.  '!G53+'felhalm. kiad.  '!G62+'felhalm. kiad.  '!G74</f>
        <v>970419</v>
      </c>
      <c r="H27" s="290">
        <f>'felhalm. kiad.  '!H18+'felhalm. kiad.  '!H53+'felhalm. kiad.  '!H62+'felhalm. kiad.  '!H67+'felhalm. kiad.  '!H74+'felhalm. kiad.  '!H131</f>
        <v>154250</v>
      </c>
      <c r="I27" s="467">
        <f t="shared" ref="I27:I32" si="4">SUM(G27:H27)</f>
        <v>1124669</v>
      </c>
      <c r="J27" s="10"/>
      <c r="K27" s="10"/>
      <c r="L27" s="10"/>
      <c r="M27" s="603"/>
      <c r="N27" s="858"/>
    </row>
    <row r="28" spans="1:14" x14ac:dyDescent="0.2">
      <c r="A28" s="164">
        <f t="shared" si="0"/>
        <v>20</v>
      </c>
      <c r="B28" s="167"/>
      <c r="C28" s="283"/>
      <c r="D28" s="283"/>
      <c r="E28" s="283"/>
      <c r="F28" s="497" t="s">
        <v>228</v>
      </c>
      <c r="G28" s="290">
        <f>'felhalm. kiad.  '!G26</f>
        <v>49715</v>
      </c>
      <c r="H28" s="290">
        <f>'felhalm. kiad.  '!H26</f>
        <v>2500</v>
      </c>
      <c r="I28" s="467">
        <f t="shared" si="4"/>
        <v>52215</v>
      </c>
      <c r="J28" s="10"/>
      <c r="K28" s="10"/>
      <c r="L28" s="10"/>
      <c r="M28" s="190"/>
    </row>
    <row r="29" spans="1:14" x14ac:dyDescent="0.2">
      <c r="A29" s="164">
        <f t="shared" si="0"/>
        <v>21</v>
      </c>
      <c r="B29" s="157" t="s">
        <v>203</v>
      </c>
      <c r="C29" s="283">
        <f>'tám, végl. pe.átv  '!C41</f>
        <v>0</v>
      </c>
      <c r="D29" s="283">
        <f>'tám, végl. pe.átv  '!D41</f>
        <v>0</v>
      </c>
      <c r="E29" s="283">
        <f>'tám, végl. pe.átv  '!E41</f>
        <v>0</v>
      </c>
      <c r="F29" s="497" t="s">
        <v>229</v>
      </c>
      <c r="G29" s="290"/>
      <c r="H29" s="290"/>
      <c r="I29" s="467">
        <f t="shared" si="4"/>
        <v>0</v>
      </c>
      <c r="J29" s="10"/>
      <c r="K29" s="10"/>
      <c r="L29" s="10"/>
      <c r="M29" s="190"/>
    </row>
    <row r="30" spans="1:14" s="124" customFormat="1" x14ac:dyDescent="0.2">
      <c r="A30" s="164">
        <f t="shared" si="0"/>
        <v>22</v>
      </c>
      <c r="B30" s="157" t="s">
        <v>268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497" t="s">
        <v>230</v>
      </c>
      <c r="G30" s="290">
        <f>'felhalm. kiad.  '!G80</f>
        <v>12004</v>
      </c>
      <c r="H30" s="290">
        <f>'felhalm. kiad.  '!H80</f>
        <v>78232</v>
      </c>
      <c r="I30" s="467">
        <f t="shared" si="4"/>
        <v>90236</v>
      </c>
      <c r="M30" s="606"/>
    </row>
    <row r="31" spans="1:14" s="124" customFormat="1" x14ac:dyDescent="0.2">
      <c r="A31" s="164">
        <f t="shared" si="0"/>
        <v>23</v>
      </c>
      <c r="B31" s="157"/>
      <c r="C31" s="283"/>
      <c r="D31" s="283"/>
      <c r="E31" s="283"/>
      <c r="F31" s="497" t="s">
        <v>1134</v>
      </c>
      <c r="G31" s="290">
        <f>'felhalm. kiad.  '!G93</f>
        <v>0</v>
      </c>
      <c r="H31" s="290">
        <f>'felhalm. kiad.  '!H93</f>
        <v>5000</v>
      </c>
      <c r="I31" s="467">
        <f t="shared" si="4"/>
        <v>5000</v>
      </c>
      <c r="M31" s="606"/>
    </row>
    <row r="32" spans="1:14" x14ac:dyDescent="0.2">
      <c r="A32" s="164">
        <f t="shared" si="0"/>
        <v>24</v>
      </c>
      <c r="C32" s="283"/>
      <c r="D32" s="283"/>
      <c r="E32" s="283"/>
      <c r="F32" s="497" t="s">
        <v>1132</v>
      </c>
      <c r="G32" s="290">
        <f>'felhalm. kiad.  '!G88</f>
        <v>49688</v>
      </c>
      <c r="H32" s="290">
        <f>'felhalm. kiad.  '!H88</f>
        <v>4350</v>
      </c>
      <c r="I32" s="467">
        <f t="shared" si="4"/>
        <v>54038</v>
      </c>
      <c r="J32" s="10"/>
      <c r="K32" s="10"/>
      <c r="L32" s="10"/>
      <c r="M32" s="190"/>
    </row>
    <row r="33" spans="1:13" s="11" customFormat="1" x14ac:dyDescent="0.2">
      <c r="A33" s="164">
        <f t="shared" si="0"/>
        <v>25</v>
      </c>
      <c r="B33" s="174" t="s">
        <v>52</v>
      </c>
      <c r="C33" s="900">
        <f>C12+C20+C11+C17+C13+C29</f>
        <v>1324537</v>
      </c>
      <c r="D33" s="900">
        <f>D12+D20+D11+D17+D13+D29</f>
        <v>1100753</v>
      </c>
      <c r="E33" s="900">
        <f>E12+E20+E11+E17+E13+E29</f>
        <v>2425290</v>
      </c>
      <c r="F33" s="497" t="s">
        <v>1133</v>
      </c>
      <c r="G33" s="288">
        <f>tartalék!C18</f>
        <v>24882</v>
      </c>
      <c r="H33" s="288">
        <f>tartalék!D18</f>
        <v>12718</v>
      </c>
      <c r="I33" s="288">
        <f>tartalék!E18</f>
        <v>37600</v>
      </c>
      <c r="M33" s="509"/>
    </row>
    <row r="34" spans="1:13" x14ac:dyDescent="0.2">
      <c r="A34" s="164">
        <f t="shared" si="0"/>
        <v>26</v>
      </c>
      <c r="B34" s="175" t="s">
        <v>67</v>
      </c>
      <c r="C34" s="356">
        <f>C15+C16+C24+C25+C26+C27+C30</f>
        <v>1447</v>
      </c>
      <c r="D34" s="356">
        <f t="shared" ref="D34:E34" si="5">D15+D16+D24+D25+D26+D27+D30</f>
        <v>46894</v>
      </c>
      <c r="E34" s="356">
        <f t="shared" si="5"/>
        <v>48341</v>
      </c>
      <c r="F34" s="835" t="s">
        <v>68</v>
      </c>
      <c r="G34" s="356">
        <f>SUM(G27:G33)</f>
        <v>1106708</v>
      </c>
      <c r="H34" s="356">
        <f>SUM(H27:H33)</f>
        <v>257050</v>
      </c>
      <c r="I34" s="468">
        <f>SUM(I27:I33)</f>
        <v>1363758</v>
      </c>
      <c r="J34" s="10"/>
      <c r="K34" s="10"/>
      <c r="L34" s="10"/>
      <c r="M34" s="190"/>
    </row>
    <row r="35" spans="1:13" x14ac:dyDescent="0.2">
      <c r="A35" s="164">
        <f t="shared" si="0"/>
        <v>27</v>
      </c>
      <c r="B35" s="178" t="s">
        <v>51</v>
      </c>
      <c r="C35" s="358">
        <f>SUM(C33:C34)</f>
        <v>1325984</v>
      </c>
      <c r="D35" s="358">
        <f>SUM(D33:D34)</f>
        <v>1147647</v>
      </c>
      <c r="E35" s="358">
        <f>SUM(C35:D35)</f>
        <v>2473631</v>
      </c>
      <c r="F35" s="864" t="s">
        <v>69</v>
      </c>
      <c r="G35" s="358">
        <f t="shared" ref="G35:L35" si="6">G24+G34</f>
        <v>1692426</v>
      </c>
      <c r="H35" s="358">
        <f t="shared" si="6"/>
        <v>913389</v>
      </c>
      <c r="I35" s="444">
        <f t="shared" si="6"/>
        <v>2605815</v>
      </c>
      <c r="J35" s="173">
        <f t="shared" si="6"/>
        <v>0</v>
      </c>
      <c r="K35" s="173">
        <f t="shared" si="6"/>
        <v>0</v>
      </c>
      <c r="L35" s="446">
        <f t="shared" si="6"/>
        <v>0</v>
      </c>
      <c r="M35" s="190"/>
    </row>
    <row r="36" spans="1:13" x14ac:dyDescent="0.2">
      <c r="A36" s="164">
        <f t="shared" si="0"/>
        <v>28</v>
      </c>
      <c r="B36" s="180"/>
      <c r="C36" s="290"/>
      <c r="D36" s="290"/>
      <c r="E36" s="290"/>
      <c r="F36" s="603"/>
      <c r="G36" s="290"/>
      <c r="H36" s="290"/>
      <c r="I36" s="467"/>
      <c r="J36" s="10"/>
      <c r="K36" s="10"/>
      <c r="L36" s="10"/>
      <c r="M36" s="190"/>
    </row>
    <row r="37" spans="1:13" x14ac:dyDescent="0.2">
      <c r="A37" s="164">
        <f t="shared" si="0"/>
        <v>29</v>
      </c>
      <c r="B37" s="178" t="s">
        <v>23</v>
      </c>
      <c r="C37" s="358">
        <f>C35-G35</f>
        <v>-366442</v>
      </c>
      <c r="D37" s="358">
        <f t="shared" ref="D37:E37" si="7">D35-H35</f>
        <v>234258</v>
      </c>
      <c r="E37" s="358">
        <f t="shared" si="7"/>
        <v>-132184</v>
      </c>
      <c r="F37" s="861"/>
      <c r="G37" s="356"/>
      <c r="H37" s="356"/>
      <c r="I37" s="468"/>
      <c r="J37" s="10"/>
      <c r="K37" s="10"/>
      <c r="L37" s="10"/>
      <c r="M37" s="190"/>
    </row>
    <row r="38" spans="1:13" s="11" customFormat="1" x14ac:dyDescent="0.2">
      <c r="A38" s="164">
        <f t="shared" si="0"/>
        <v>30</v>
      </c>
      <c r="B38" s="180"/>
      <c r="C38" s="290"/>
      <c r="D38" s="290"/>
      <c r="E38" s="467"/>
      <c r="F38" s="603"/>
      <c r="G38" s="290"/>
      <c r="H38" s="290"/>
      <c r="I38" s="467"/>
      <c r="M38" s="509"/>
    </row>
    <row r="39" spans="1:13" s="11" customFormat="1" x14ac:dyDescent="0.2">
      <c r="A39" s="164">
        <f t="shared" si="0"/>
        <v>31</v>
      </c>
      <c r="B39" s="126" t="s">
        <v>53</v>
      </c>
      <c r="C39" s="629"/>
      <c r="D39" s="629"/>
      <c r="E39" s="629"/>
      <c r="F39" s="862" t="s">
        <v>33</v>
      </c>
      <c r="G39" s="358"/>
      <c r="H39" s="358"/>
      <c r="I39" s="444"/>
      <c r="M39" s="509"/>
    </row>
    <row r="40" spans="1:13" s="11" customFormat="1" x14ac:dyDescent="0.2">
      <c r="A40" s="164">
        <f t="shared" si="0"/>
        <v>32</v>
      </c>
      <c r="B40" s="136" t="s">
        <v>684</v>
      </c>
      <c r="C40" s="629"/>
      <c r="D40" s="629"/>
      <c r="E40" s="629"/>
      <c r="F40" s="865" t="s">
        <v>4</v>
      </c>
      <c r="G40" s="189"/>
      <c r="I40" s="470"/>
      <c r="M40" s="509"/>
    </row>
    <row r="41" spans="1:13" s="11" customFormat="1" ht="22.5" customHeight="1" x14ac:dyDescent="0.2">
      <c r="A41" s="329">
        <f t="shared" si="0"/>
        <v>33</v>
      </c>
      <c r="B41" s="1125" t="s">
        <v>996</v>
      </c>
      <c r="C41" s="806">
        <v>634227</v>
      </c>
      <c r="D41" s="1126"/>
      <c r="E41" s="1127">
        <f>SUM(C41:D41)</f>
        <v>634227</v>
      </c>
      <c r="F41" s="901" t="s">
        <v>3</v>
      </c>
      <c r="G41" s="358"/>
      <c r="H41" s="358"/>
      <c r="I41" s="444"/>
      <c r="M41" s="509"/>
    </row>
    <row r="42" spans="1:13" x14ac:dyDescent="0.2">
      <c r="A42" s="164">
        <f t="shared" si="0"/>
        <v>34</v>
      </c>
      <c r="B42" s="118" t="s">
        <v>686</v>
      </c>
      <c r="C42" s="866"/>
      <c r="D42" s="867"/>
      <c r="E42" s="867">
        <f>SUM(C42:D42)</f>
        <v>0</v>
      </c>
      <c r="F42" s="497" t="s">
        <v>5</v>
      </c>
      <c r="G42" s="358"/>
      <c r="H42" s="358"/>
      <c r="I42" s="444"/>
      <c r="J42" s="10"/>
      <c r="K42" s="10"/>
      <c r="L42" s="10"/>
      <c r="M42" s="190"/>
    </row>
    <row r="43" spans="1:13" x14ac:dyDescent="0.2">
      <c r="A43" s="164">
        <f t="shared" si="0"/>
        <v>35</v>
      </c>
      <c r="B43" s="118" t="s">
        <v>208</v>
      </c>
      <c r="C43" s="283"/>
      <c r="D43" s="283"/>
      <c r="E43" s="283"/>
      <c r="F43" s="497" t="s">
        <v>6</v>
      </c>
      <c r="G43" s="189"/>
      <c r="H43" s="189"/>
      <c r="I43" s="444"/>
      <c r="J43" s="10"/>
      <c r="K43" s="10"/>
      <c r="L43" s="10"/>
      <c r="M43" s="190"/>
    </row>
    <row r="44" spans="1:13" x14ac:dyDescent="0.2">
      <c r="A44" s="164">
        <f t="shared" si="0"/>
        <v>36</v>
      </c>
      <c r="B44" s="533" t="s">
        <v>209</v>
      </c>
      <c r="C44" s="283">
        <v>508785</v>
      </c>
      <c r="D44" s="283">
        <v>350178</v>
      </c>
      <c r="E44" s="283">
        <f>C44+D44</f>
        <v>858963</v>
      </c>
      <c r="F44" s="497" t="s">
        <v>7</v>
      </c>
      <c r="G44" s="189"/>
      <c r="H44" s="189"/>
      <c r="I44" s="444"/>
      <c r="J44" s="10"/>
      <c r="K44" s="10"/>
      <c r="L44" s="10"/>
      <c r="M44" s="190"/>
    </row>
    <row r="45" spans="1:13" x14ac:dyDescent="0.2">
      <c r="A45" s="164">
        <f t="shared" si="0"/>
        <v>37</v>
      </c>
      <c r="B45" s="533" t="s">
        <v>960</v>
      </c>
      <c r="C45" s="283"/>
      <c r="D45" s="283"/>
      <c r="E45" s="283"/>
      <c r="F45" s="497"/>
      <c r="G45" s="189"/>
      <c r="H45" s="189"/>
      <c r="I45" s="444"/>
      <c r="J45" s="10"/>
      <c r="K45" s="10"/>
      <c r="L45" s="10"/>
      <c r="M45" s="190"/>
    </row>
    <row r="46" spans="1:13" x14ac:dyDescent="0.2">
      <c r="A46" s="164">
        <f t="shared" si="0"/>
        <v>38</v>
      </c>
      <c r="B46" s="119" t="s">
        <v>210</v>
      </c>
      <c r="C46" s="283">
        <v>1506</v>
      </c>
      <c r="D46" s="283"/>
      <c r="E46" s="283">
        <f>C46+D46</f>
        <v>1506</v>
      </c>
      <c r="F46" s="497" t="s">
        <v>8</v>
      </c>
      <c r="G46" s="358"/>
      <c r="H46" s="358"/>
      <c r="I46" s="467"/>
      <c r="J46" s="10"/>
      <c r="K46" s="10"/>
      <c r="L46" s="10"/>
      <c r="M46" s="190"/>
    </row>
    <row r="47" spans="1:13" x14ac:dyDescent="0.2">
      <c r="A47" s="164">
        <f t="shared" si="0"/>
        <v>39</v>
      </c>
      <c r="B47" s="119" t="s">
        <v>688</v>
      </c>
      <c r="C47" s="629"/>
      <c r="D47" s="629"/>
      <c r="E47" s="629"/>
      <c r="F47" s="497" t="s">
        <v>272</v>
      </c>
      <c r="G47" s="290">
        <v>31376</v>
      </c>
      <c r="H47" s="290">
        <v>4260</v>
      </c>
      <c r="I47" s="467">
        <f>SUM(G47:H47)</f>
        <v>35636</v>
      </c>
      <c r="J47" s="10"/>
      <c r="K47" s="10"/>
      <c r="L47" s="10"/>
      <c r="M47" s="190"/>
    </row>
    <row r="48" spans="1:13" x14ac:dyDescent="0.2">
      <c r="A48" s="164">
        <f t="shared" si="0"/>
        <v>40</v>
      </c>
      <c r="B48" s="118" t="s">
        <v>689</v>
      </c>
      <c r="C48" s="283"/>
      <c r="D48" s="283"/>
      <c r="E48" s="283"/>
      <c r="F48" s="497" t="s">
        <v>238</v>
      </c>
      <c r="G48" s="290"/>
      <c r="H48" s="290"/>
      <c r="I48" s="467"/>
      <c r="J48" s="10"/>
      <c r="K48" s="10"/>
      <c r="L48" s="10"/>
      <c r="M48" s="190"/>
    </row>
    <row r="49" spans="1:15" x14ac:dyDescent="0.2">
      <c r="A49" s="164">
        <f t="shared" si="0"/>
        <v>41</v>
      </c>
      <c r="B49" s="118" t="s">
        <v>690</v>
      </c>
      <c r="C49" s="283"/>
      <c r="D49" s="283"/>
      <c r="E49" s="283"/>
      <c r="F49" s="859" t="s">
        <v>239</v>
      </c>
      <c r="G49" s="290">
        <f>'pü.mérleg Hivatal'!D48+'püm. GAMESZ. '!C48+'püm-TASZII.'!C48+püm.Brunszvik!C48+'püm Festetics'!C48</f>
        <v>739367</v>
      </c>
      <c r="H49" s="290">
        <f>'pü.mérleg Hivatal'!E48+'püm. GAMESZ. '!D48+'püm-TASZII.'!D48+püm.Brunszvik!D48+'püm Festetics'!D48</f>
        <v>533646</v>
      </c>
      <c r="I49" s="467">
        <f>SUM(G49:H49)</f>
        <v>1273013</v>
      </c>
      <c r="J49" s="10"/>
      <c r="K49" s="10"/>
      <c r="L49" s="10"/>
      <c r="M49" s="190"/>
    </row>
    <row r="50" spans="1:15" x14ac:dyDescent="0.2">
      <c r="A50" s="164">
        <f t="shared" si="0"/>
        <v>42</v>
      </c>
      <c r="B50" s="118" t="s">
        <v>0</v>
      </c>
      <c r="C50" s="283"/>
      <c r="D50" s="283"/>
      <c r="E50" s="283"/>
      <c r="F50" s="859" t="s">
        <v>240</v>
      </c>
      <c r="G50" s="290">
        <f>'pü.mérleg Hivatal'!D49+'püm. GAMESZ. '!C49+'püm-TASZII.'!C49+püm.Brunszvik!C49+'püm Festetics'!C49</f>
        <v>7333</v>
      </c>
      <c r="H50" s="290">
        <f>'pü.mérleg Hivatal'!E49+'püm. GAMESZ. '!D49+püm.Brunszvik!D49+'püm Festetics'!D49+'püm-TASZII.'!D49</f>
        <v>46530</v>
      </c>
      <c r="I50" s="290">
        <f>'pü.mérleg Hivatal'!F49+'püm. GAMESZ. '!E49+'püm-TASZII.'!E49+püm.Brunszvik!E49+'püm Festetics'!E49</f>
        <v>53863</v>
      </c>
      <c r="J50" s="10"/>
      <c r="K50" s="10"/>
      <c r="L50" s="10"/>
      <c r="M50" s="190"/>
    </row>
    <row r="51" spans="1:15" x14ac:dyDescent="0.2">
      <c r="A51" s="164">
        <f t="shared" si="0"/>
        <v>43</v>
      </c>
      <c r="B51" s="118" t="s">
        <v>1</v>
      </c>
      <c r="C51" s="283"/>
      <c r="D51" s="283"/>
      <c r="E51" s="283">
        <f>SUM(C51:D51)</f>
        <v>0</v>
      </c>
      <c r="F51" s="497" t="s">
        <v>13</v>
      </c>
      <c r="G51" s="1063"/>
      <c r="H51" s="1063"/>
      <c r="I51" s="1064"/>
      <c r="J51" s="10"/>
      <c r="K51" s="10"/>
      <c r="L51" s="10"/>
      <c r="M51" s="190"/>
    </row>
    <row r="52" spans="1:15" x14ac:dyDescent="0.2">
      <c r="A52" s="164">
        <f t="shared" si="0"/>
        <v>44</v>
      </c>
      <c r="B52" s="118"/>
      <c r="C52" s="283"/>
      <c r="D52" s="283"/>
      <c r="E52" s="283"/>
      <c r="F52" s="497" t="s">
        <v>14</v>
      </c>
      <c r="G52" s="290"/>
      <c r="H52" s="290"/>
      <c r="I52" s="467"/>
      <c r="J52" s="10"/>
      <c r="K52" s="10"/>
      <c r="L52" s="10"/>
      <c r="M52" s="190"/>
    </row>
    <row r="53" spans="1:15" x14ac:dyDescent="0.2">
      <c r="A53" s="164">
        <f t="shared" si="0"/>
        <v>45</v>
      </c>
      <c r="B53" s="118"/>
      <c r="C53" s="283"/>
      <c r="D53" s="283"/>
      <c r="E53" s="283"/>
      <c r="F53" s="497" t="s">
        <v>15</v>
      </c>
      <c r="G53" s="290"/>
      <c r="H53" s="290"/>
      <c r="I53" s="467"/>
      <c r="J53" s="10"/>
      <c r="K53" s="10"/>
      <c r="L53" s="10"/>
      <c r="M53" s="190"/>
    </row>
    <row r="54" spans="1:15" ht="12" thickBot="1" x14ac:dyDescent="0.25">
      <c r="A54" s="164">
        <f t="shared" si="0"/>
        <v>46</v>
      </c>
      <c r="B54" s="178" t="s">
        <v>449</v>
      </c>
      <c r="C54" s="629">
        <f>SUM(C40:C52)</f>
        <v>1144518</v>
      </c>
      <c r="D54" s="629">
        <f>SUM(D40:D52)</f>
        <v>350178</v>
      </c>
      <c r="E54" s="629">
        <f>SUM(E40:E52)</f>
        <v>1494696</v>
      </c>
      <c r="F54" s="862" t="s">
        <v>442</v>
      </c>
      <c r="G54" s="358">
        <f t="shared" ref="G54:L54" si="8">SUM(G40:G53)</f>
        <v>778076</v>
      </c>
      <c r="H54" s="358">
        <f t="shared" si="8"/>
        <v>584436</v>
      </c>
      <c r="I54" s="444">
        <f t="shared" si="8"/>
        <v>1362512</v>
      </c>
      <c r="J54" s="173">
        <f t="shared" si="8"/>
        <v>0</v>
      </c>
      <c r="K54" s="173">
        <f t="shared" si="8"/>
        <v>0</v>
      </c>
      <c r="L54" s="446">
        <f t="shared" si="8"/>
        <v>0</v>
      </c>
      <c r="M54" s="190"/>
    </row>
    <row r="55" spans="1:15" ht="12" thickBot="1" x14ac:dyDescent="0.25">
      <c r="A55" s="923">
        <f t="shared" si="0"/>
        <v>47</v>
      </c>
      <c r="B55" s="1106" t="s">
        <v>444</v>
      </c>
      <c r="C55" s="1069">
        <f>C35+C54</f>
        <v>2470502</v>
      </c>
      <c r="D55" s="902">
        <f>D35+D54</f>
        <v>1497825</v>
      </c>
      <c r="E55" s="903">
        <f>E35+E54</f>
        <v>3968327</v>
      </c>
      <c r="F55" s="904" t="s">
        <v>443</v>
      </c>
      <c r="G55" s="1105">
        <f t="shared" ref="G55:L55" si="9">G35+G54</f>
        <v>2470502</v>
      </c>
      <c r="H55" s="1105">
        <f t="shared" si="9"/>
        <v>1497825</v>
      </c>
      <c r="I55" s="1243">
        <f t="shared" si="9"/>
        <v>3968327</v>
      </c>
      <c r="J55" s="453">
        <f t="shared" si="9"/>
        <v>0</v>
      </c>
      <c r="K55" s="502">
        <f t="shared" si="9"/>
        <v>0</v>
      </c>
      <c r="L55" s="559">
        <f t="shared" si="9"/>
        <v>0</v>
      </c>
      <c r="M55" s="289"/>
      <c r="O55" s="1132"/>
    </row>
    <row r="56" spans="1:15" x14ac:dyDescent="0.2">
      <c r="B56" s="183"/>
      <c r="C56" s="182"/>
      <c r="D56" s="182"/>
      <c r="E56" s="182"/>
      <c r="F56" s="173"/>
      <c r="G56" s="182"/>
      <c r="H56" s="182"/>
      <c r="I56" s="182"/>
      <c r="J56" s="10"/>
      <c r="K56" s="10"/>
      <c r="L56" s="10"/>
    </row>
    <row r="62" spans="1:15" x14ac:dyDescent="0.2">
      <c r="H62" s="169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7" customWidth="1"/>
    <col min="3" max="3" width="36.140625" style="157" customWidth="1"/>
    <col min="4" max="5" width="10.28515625" style="158" customWidth="1"/>
    <col min="6" max="6" width="9" style="158" customWidth="1"/>
    <col min="7" max="7" width="36.140625" style="158" customWidth="1"/>
    <col min="8" max="8" width="7.85546875" style="158" customWidth="1"/>
    <col min="9" max="9" width="10.140625" style="158" customWidth="1"/>
    <col min="10" max="10" width="10" style="158" customWidth="1"/>
    <col min="11" max="16384" width="9.140625" style="10"/>
  </cols>
  <sheetData>
    <row r="1" spans="2:11" ht="12.75" x14ac:dyDescent="0.2">
      <c r="D1" s="1244" t="s">
        <v>1362</v>
      </c>
      <c r="E1" s="1299"/>
      <c r="F1" s="1299"/>
      <c r="G1" s="1299"/>
      <c r="H1" s="1299"/>
      <c r="I1" s="1299"/>
      <c r="J1" s="1299"/>
    </row>
    <row r="2" spans="2:11" x14ac:dyDescent="0.2">
      <c r="G2" s="159"/>
      <c r="H2" s="159"/>
      <c r="I2" s="159"/>
      <c r="J2" s="159"/>
    </row>
    <row r="3" spans="2:11" x14ac:dyDescent="0.2">
      <c r="G3" s="159"/>
      <c r="H3" s="159"/>
      <c r="I3" s="159"/>
      <c r="J3" s="159"/>
    </row>
    <row r="4" spans="2:11" s="122" customFormat="1" x14ac:dyDescent="0.2">
      <c r="B4" s="160"/>
      <c r="C4" s="1247" t="s">
        <v>77</v>
      </c>
      <c r="D4" s="1247"/>
      <c r="E4" s="1247"/>
      <c r="F4" s="1247"/>
      <c r="G4" s="1247"/>
      <c r="H4" s="1247"/>
      <c r="I4" s="1247"/>
      <c r="J4" s="1247"/>
    </row>
    <row r="5" spans="2:11" s="122" customFormat="1" x14ac:dyDescent="0.2">
      <c r="B5" s="160"/>
      <c r="C5" s="1360" t="s">
        <v>182</v>
      </c>
      <c r="D5" s="1360"/>
      <c r="E5" s="1360"/>
      <c r="F5" s="1360"/>
      <c r="G5" s="1360"/>
      <c r="H5" s="1360"/>
      <c r="I5" s="1360"/>
      <c r="J5" s="1360"/>
    </row>
    <row r="6" spans="2:11" s="122" customFormat="1" x14ac:dyDescent="0.2">
      <c r="B6" s="160"/>
      <c r="C6" s="1247" t="s">
        <v>1139</v>
      </c>
      <c r="D6" s="1247"/>
      <c r="E6" s="1247"/>
      <c r="F6" s="1247"/>
      <c r="G6" s="1247"/>
      <c r="H6" s="1247"/>
      <c r="I6" s="1247"/>
      <c r="J6" s="1247"/>
    </row>
    <row r="7" spans="2:11" s="122" customFormat="1" ht="12.75" x14ac:dyDescent="0.2">
      <c r="B7" s="1248" t="s">
        <v>303</v>
      </c>
      <c r="C7" s="1301"/>
      <c r="D7" s="1301"/>
      <c r="E7" s="1301"/>
      <c r="F7" s="1301"/>
      <c r="G7" s="1301"/>
      <c r="H7" s="1301"/>
      <c r="I7" s="1301"/>
      <c r="J7" s="1301"/>
    </row>
    <row r="8" spans="2:11" s="122" customFormat="1" ht="12.75" customHeight="1" x14ac:dyDescent="0.2">
      <c r="B8" s="1252" t="s">
        <v>56</v>
      </c>
      <c r="C8" s="1253" t="s">
        <v>57</v>
      </c>
      <c r="D8" s="1268" t="s">
        <v>58</v>
      </c>
      <c r="E8" s="1268"/>
      <c r="F8" s="1269"/>
      <c r="G8" s="1359" t="s">
        <v>59</v>
      </c>
      <c r="H8" s="1250" t="s">
        <v>60</v>
      </c>
      <c r="I8" s="1251"/>
      <c r="J8" s="1251"/>
      <c r="K8" s="604"/>
    </row>
    <row r="9" spans="2:11" s="122" customFormat="1" ht="12.75" customHeight="1" x14ac:dyDescent="0.2">
      <c r="B9" s="1252"/>
      <c r="C9" s="1253"/>
      <c r="D9" s="1245" t="s">
        <v>1140</v>
      </c>
      <c r="E9" s="1245"/>
      <c r="F9" s="1246"/>
      <c r="G9" s="1361"/>
      <c r="H9" s="1245" t="s">
        <v>1140</v>
      </c>
      <c r="I9" s="1245"/>
      <c r="J9" s="1245"/>
      <c r="K9" s="604"/>
    </row>
    <row r="10" spans="2:11" s="123" customFormat="1" ht="36.6" customHeight="1" x14ac:dyDescent="0.2">
      <c r="B10" s="1252"/>
      <c r="C10" s="161" t="s">
        <v>61</v>
      </c>
      <c r="D10" s="135" t="s">
        <v>62</v>
      </c>
      <c r="E10" s="135" t="s">
        <v>63</v>
      </c>
      <c r="F10" s="162" t="s">
        <v>64</v>
      </c>
      <c r="G10" s="163" t="s">
        <v>65</v>
      </c>
      <c r="H10" s="135" t="s">
        <v>62</v>
      </c>
      <c r="I10" s="135" t="s">
        <v>63</v>
      </c>
      <c r="J10" s="135" t="s">
        <v>64</v>
      </c>
      <c r="K10" s="605"/>
    </row>
    <row r="11" spans="2:11" ht="11.45" customHeight="1" x14ac:dyDescent="0.2">
      <c r="B11" s="164">
        <v>1</v>
      </c>
      <c r="C11" s="165" t="s">
        <v>24</v>
      </c>
      <c r="D11" s="166"/>
      <c r="E11" s="166"/>
      <c r="F11" s="166"/>
      <c r="G11" s="138" t="s">
        <v>25</v>
      </c>
      <c r="H11" s="166"/>
      <c r="I11" s="166"/>
      <c r="J11" s="448"/>
      <c r="K11" s="190"/>
    </row>
    <row r="12" spans="2:11" x14ac:dyDescent="0.2">
      <c r="B12" s="164">
        <f t="shared" ref="B12:B54" si="0">B11+1</f>
        <v>2</v>
      </c>
      <c r="C12" s="167" t="s">
        <v>35</v>
      </c>
      <c r="D12" s="118"/>
      <c r="E12" s="118"/>
      <c r="F12" s="119">
        <f>SUM(D12:E12)</f>
        <v>0</v>
      </c>
      <c r="G12" s="139" t="s">
        <v>216</v>
      </c>
      <c r="H12" s="119">
        <v>98575</v>
      </c>
      <c r="I12" s="119">
        <v>94325</v>
      </c>
      <c r="J12" s="441">
        <f>SUM(H12:I12)</f>
        <v>192900</v>
      </c>
      <c r="K12" s="190"/>
    </row>
    <row r="13" spans="2:11" x14ac:dyDescent="0.2">
      <c r="B13" s="164">
        <f t="shared" si="0"/>
        <v>3</v>
      </c>
      <c r="C13" s="167" t="s">
        <v>36</v>
      </c>
      <c r="D13" s="118"/>
      <c r="E13" s="118"/>
      <c r="F13" s="119">
        <f>SUM(D13:E13)</f>
        <v>0</v>
      </c>
      <c r="G13" s="534" t="s">
        <v>217</v>
      </c>
      <c r="H13" s="119">
        <v>21773</v>
      </c>
      <c r="I13" s="119">
        <v>20120</v>
      </c>
      <c r="J13" s="441">
        <f>SUM(H13:I13)</f>
        <v>41893</v>
      </c>
      <c r="K13" s="190"/>
    </row>
    <row r="14" spans="2:11" x14ac:dyDescent="0.2">
      <c r="B14" s="164">
        <f t="shared" si="0"/>
        <v>4</v>
      </c>
      <c r="C14" s="167" t="s">
        <v>37</v>
      </c>
      <c r="D14" s="118">
        <f>'tám, végl. pe.átv  '!C48</f>
        <v>4158</v>
      </c>
      <c r="E14" s="118"/>
      <c r="F14" s="119">
        <f>SUM(D14:E14)</f>
        <v>4158</v>
      </c>
      <c r="G14" s="139" t="s">
        <v>218</v>
      </c>
      <c r="H14" s="119">
        <v>7670</v>
      </c>
      <c r="I14" s="119">
        <v>60091</v>
      </c>
      <c r="J14" s="441">
        <f>SUM(H14:I14)</f>
        <v>67761</v>
      </c>
      <c r="K14" s="190"/>
    </row>
    <row r="15" spans="2:11" ht="12" customHeight="1" x14ac:dyDescent="0.2">
      <c r="B15" s="164">
        <f t="shared" si="0"/>
        <v>5</v>
      </c>
      <c r="C15" s="127"/>
      <c r="D15" s="118"/>
      <c r="E15" s="118"/>
      <c r="F15" s="119"/>
      <c r="G15" s="139"/>
      <c r="H15" s="118"/>
      <c r="I15" s="118"/>
      <c r="J15" s="441"/>
      <c r="K15" s="190"/>
    </row>
    <row r="16" spans="2:11" x14ac:dyDescent="0.2">
      <c r="B16" s="164">
        <f t="shared" si="0"/>
        <v>6</v>
      </c>
      <c r="C16" s="167" t="s">
        <v>38</v>
      </c>
      <c r="D16" s="118"/>
      <c r="E16" s="118"/>
      <c r="F16" s="119">
        <f>SUM(D16:E16)</f>
        <v>0</v>
      </c>
      <c r="G16" s="139" t="s">
        <v>28</v>
      </c>
      <c r="H16" s="169">
        <v>350</v>
      </c>
      <c r="I16" s="169">
        <f>'ellátottak hivatal'!F17</f>
        <v>0</v>
      </c>
      <c r="J16" s="441">
        <f>SUM(H16:I16)</f>
        <v>350</v>
      </c>
      <c r="K16" s="190"/>
    </row>
    <row r="17" spans="2:11" x14ac:dyDescent="0.2">
      <c r="B17" s="164">
        <f t="shared" si="0"/>
        <v>7</v>
      </c>
      <c r="C17" s="167"/>
      <c r="D17" s="118"/>
      <c r="E17" s="118"/>
      <c r="F17" s="119"/>
      <c r="G17" s="139" t="s">
        <v>30</v>
      </c>
      <c r="H17" s="169"/>
      <c r="I17" s="169"/>
      <c r="J17" s="441"/>
      <c r="K17" s="190"/>
    </row>
    <row r="18" spans="2:11" x14ac:dyDescent="0.2">
      <c r="B18" s="164">
        <f t="shared" si="0"/>
        <v>8</v>
      </c>
      <c r="C18" s="167" t="s">
        <v>39</v>
      </c>
      <c r="D18" s="118"/>
      <c r="E18" s="118"/>
      <c r="F18" s="119">
        <f>SUM(D18:E18)</f>
        <v>0</v>
      </c>
      <c r="G18" s="139" t="s">
        <v>447</v>
      </c>
      <c r="H18" s="169">
        <f>mc.pe.átad!D68</f>
        <v>13</v>
      </c>
      <c r="I18" s="169">
        <f>mc.pe.átad!E68</f>
        <v>0</v>
      </c>
      <c r="J18" s="169">
        <f>mc.pe.átad!F68</f>
        <v>13</v>
      </c>
      <c r="K18" s="190"/>
    </row>
    <row r="19" spans="2:11" x14ac:dyDescent="0.2">
      <c r="B19" s="164">
        <f t="shared" si="0"/>
        <v>9</v>
      </c>
      <c r="C19" s="170" t="s">
        <v>40</v>
      </c>
      <c r="D19" s="168"/>
      <c r="E19" s="168"/>
      <c r="F19" s="168"/>
      <c r="G19" s="139" t="s">
        <v>446</v>
      </c>
      <c r="H19" s="169">
        <f>mc.pe.átad!D72</f>
        <v>9</v>
      </c>
      <c r="I19" s="169">
        <f>mc.pe.átad!E72</f>
        <v>0</v>
      </c>
      <c r="J19" s="169">
        <f>mc.pe.átad!F72</f>
        <v>9</v>
      </c>
      <c r="K19" s="190"/>
    </row>
    <row r="20" spans="2:11" x14ac:dyDescent="0.2">
      <c r="B20" s="164">
        <f t="shared" si="0"/>
        <v>10</v>
      </c>
      <c r="C20" s="116" t="s">
        <v>195</v>
      </c>
      <c r="D20" s="355">
        <f>'mük. bev.Önkor és Hivatal '!C80</f>
        <v>15</v>
      </c>
      <c r="E20" s="355">
        <f>'mük. bev.Önkor és Hivatal '!D80</f>
        <v>402</v>
      </c>
      <c r="F20" s="355">
        <f>SUM(D20:E20)</f>
        <v>417</v>
      </c>
      <c r="G20" s="139" t="s">
        <v>223</v>
      </c>
      <c r="H20" s="169"/>
      <c r="I20" s="169">
        <v>0</v>
      </c>
      <c r="J20" s="443">
        <f>I20+H20</f>
        <v>0</v>
      </c>
      <c r="K20" s="190"/>
    </row>
    <row r="21" spans="2:11" x14ac:dyDescent="0.2">
      <c r="B21" s="164">
        <f t="shared" si="0"/>
        <v>11</v>
      </c>
      <c r="D21" s="168"/>
      <c r="E21" s="168"/>
      <c r="F21" s="168"/>
      <c r="G21" s="139" t="s">
        <v>439</v>
      </c>
      <c r="H21" s="169"/>
      <c r="I21" s="169"/>
      <c r="J21" s="443"/>
      <c r="K21" s="190"/>
    </row>
    <row r="22" spans="2:11" s="124" customFormat="1" x14ac:dyDescent="0.2">
      <c r="B22" s="164">
        <f t="shared" si="0"/>
        <v>12</v>
      </c>
      <c r="C22" s="157" t="s">
        <v>42</v>
      </c>
      <c r="D22" s="168"/>
      <c r="E22" s="168"/>
      <c r="F22" s="168"/>
      <c r="G22" s="139" t="s">
        <v>440</v>
      </c>
      <c r="H22" s="169"/>
      <c r="I22" s="169"/>
      <c r="J22" s="443"/>
      <c r="K22" s="606"/>
    </row>
    <row r="23" spans="2:11" s="124" customFormat="1" x14ac:dyDescent="0.2">
      <c r="B23" s="164">
        <f t="shared" si="0"/>
        <v>13</v>
      </c>
      <c r="C23" s="157" t="s">
        <v>43</v>
      </c>
      <c r="D23" s="168"/>
      <c r="E23" s="168"/>
      <c r="F23" s="168"/>
      <c r="G23" s="171"/>
      <c r="H23" s="169"/>
      <c r="I23" s="169"/>
      <c r="J23" s="443"/>
      <c r="K23" s="606"/>
    </row>
    <row r="24" spans="2:11" x14ac:dyDescent="0.2">
      <c r="B24" s="164">
        <f t="shared" si="0"/>
        <v>14</v>
      </c>
      <c r="C24" s="167" t="s">
        <v>44</v>
      </c>
      <c r="D24" s="129"/>
      <c r="E24" s="129"/>
      <c r="F24" s="129"/>
      <c r="G24" s="172" t="s">
        <v>66</v>
      </c>
      <c r="H24" s="125">
        <f>SUM(H12:H22)</f>
        <v>128390</v>
      </c>
      <c r="I24" s="125">
        <f>SUM(I12:I22)</f>
        <v>174536</v>
      </c>
      <c r="J24" s="442">
        <f>SUM(J12:J22)</f>
        <v>302926</v>
      </c>
      <c r="K24" s="190"/>
    </row>
    <row r="25" spans="2:11" x14ac:dyDescent="0.2">
      <c r="B25" s="164">
        <f t="shared" si="0"/>
        <v>15</v>
      </c>
      <c r="C25" s="167" t="s">
        <v>45</v>
      </c>
      <c r="D25" s="168"/>
      <c r="E25" s="168"/>
      <c r="F25" s="168"/>
      <c r="G25" s="171"/>
      <c r="H25" s="169"/>
      <c r="I25" s="169"/>
      <c r="J25" s="443"/>
      <c r="K25" s="190"/>
    </row>
    <row r="26" spans="2:11" x14ac:dyDescent="0.2">
      <c r="B26" s="164">
        <f t="shared" si="0"/>
        <v>16</v>
      </c>
      <c r="C26" s="116" t="s">
        <v>46</v>
      </c>
      <c r="D26" s="126"/>
      <c r="E26" s="126"/>
      <c r="F26" s="126"/>
      <c r="G26" s="140" t="s">
        <v>34</v>
      </c>
      <c r="H26" s="173"/>
      <c r="I26" s="173"/>
      <c r="J26" s="443"/>
      <c r="K26" s="190"/>
    </row>
    <row r="27" spans="2:11" x14ac:dyDescent="0.2">
      <c r="B27" s="164">
        <f t="shared" si="0"/>
        <v>17</v>
      </c>
      <c r="C27" s="167" t="s">
        <v>47</v>
      </c>
      <c r="D27" s="119"/>
      <c r="E27" s="119"/>
      <c r="F27" s="119"/>
      <c r="G27" s="139" t="s">
        <v>227</v>
      </c>
      <c r="H27" s="169">
        <f>'felhalm. kiad.  '!G103</f>
        <v>2833</v>
      </c>
      <c r="I27" s="169">
        <f>'felhalm. kiad.  '!H103</f>
        <v>6335</v>
      </c>
      <c r="J27" s="443">
        <f>SUM(H27:I27)</f>
        <v>9168</v>
      </c>
      <c r="K27" s="190"/>
    </row>
    <row r="28" spans="2:11" x14ac:dyDescent="0.2">
      <c r="B28" s="164">
        <f t="shared" si="0"/>
        <v>18</v>
      </c>
      <c r="C28" s="167"/>
      <c r="D28" s="119"/>
      <c r="E28" s="119"/>
      <c r="F28" s="119"/>
      <c r="G28" s="139" t="s">
        <v>31</v>
      </c>
      <c r="H28" s="169"/>
      <c r="I28" s="169"/>
      <c r="J28" s="443"/>
      <c r="K28" s="190"/>
    </row>
    <row r="29" spans="2:11" x14ac:dyDescent="0.2">
      <c r="B29" s="164">
        <f t="shared" si="0"/>
        <v>19</v>
      </c>
      <c r="C29" s="157" t="s">
        <v>50</v>
      </c>
      <c r="D29" s="119"/>
      <c r="E29" s="119"/>
      <c r="F29" s="119"/>
      <c r="G29" s="139" t="s">
        <v>32</v>
      </c>
      <c r="H29" s="169"/>
      <c r="I29" s="169"/>
      <c r="J29" s="443"/>
      <c r="K29" s="190"/>
    </row>
    <row r="30" spans="2:11" s="124" customFormat="1" x14ac:dyDescent="0.2">
      <c r="B30" s="164">
        <f t="shared" si="0"/>
        <v>20</v>
      </c>
      <c r="C30" s="157" t="s">
        <v>48</v>
      </c>
      <c r="D30" s="119"/>
      <c r="E30" s="119"/>
      <c r="F30" s="119"/>
      <c r="G30" s="139" t="s">
        <v>448</v>
      </c>
      <c r="H30" s="169"/>
      <c r="I30" s="169"/>
      <c r="J30" s="443"/>
      <c r="K30" s="606"/>
    </row>
    <row r="31" spans="2:11" x14ac:dyDescent="0.2">
      <c r="B31" s="164">
        <f t="shared" si="0"/>
        <v>21</v>
      </c>
      <c r="D31" s="119"/>
      <c r="E31" s="119"/>
      <c r="F31" s="119"/>
      <c r="G31" s="139" t="s">
        <v>445</v>
      </c>
      <c r="H31" s="169"/>
      <c r="I31" s="169"/>
      <c r="J31" s="443"/>
      <c r="K31" s="190"/>
    </row>
    <row r="32" spans="2:11" s="11" customFormat="1" x14ac:dyDescent="0.2">
      <c r="B32" s="164">
        <f t="shared" si="0"/>
        <v>22</v>
      </c>
      <c r="C32" s="174" t="s">
        <v>52</v>
      </c>
      <c r="D32" s="355">
        <f>D13+D14+D16+D18+D20+D23+D24+D25+D26+D27+D29+D30</f>
        <v>4173</v>
      </c>
      <c r="E32" s="355">
        <f>E13+E14+E16+E18+E20+E23+E24+E25+E26+E27+E29+E30</f>
        <v>402</v>
      </c>
      <c r="F32" s="355">
        <f>F13+F14+F16+F18+F20+F23+F24+F25+F26+F27+F29+F30</f>
        <v>4575</v>
      </c>
      <c r="G32" s="139" t="s">
        <v>441</v>
      </c>
      <c r="H32" s="158"/>
      <c r="I32" s="158"/>
      <c r="J32" s="443"/>
      <c r="K32" s="509"/>
    </row>
    <row r="33" spans="2:11" x14ac:dyDescent="0.2">
      <c r="B33" s="164">
        <f t="shared" si="0"/>
        <v>23</v>
      </c>
      <c r="C33" s="175" t="s">
        <v>67</v>
      </c>
      <c r="D33" s="357"/>
      <c r="E33" s="357"/>
      <c r="F33" s="357"/>
      <c r="G33" s="176" t="s">
        <v>68</v>
      </c>
      <c r="H33" s="177">
        <f>SUM(H27:H32)</f>
        <v>2833</v>
      </c>
      <c r="I33" s="177">
        <f>SUM(I27:I32)</f>
        <v>6335</v>
      </c>
      <c r="J33" s="445">
        <f>SUM(J27:J31)</f>
        <v>9168</v>
      </c>
      <c r="K33" s="190"/>
    </row>
    <row r="34" spans="2:11" x14ac:dyDescent="0.2">
      <c r="B34" s="164">
        <f t="shared" si="0"/>
        <v>24</v>
      </c>
      <c r="C34" s="178" t="s">
        <v>51</v>
      </c>
      <c r="D34" s="358">
        <f>SUM(D32:D33)</f>
        <v>4173</v>
      </c>
      <c r="E34" s="358">
        <f>SUM(E32:E33)</f>
        <v>402</v>
      </c>
      <c r="F34" s="358">
        <f>SUM(F32:F33)</f>
        <v>4575</v>
      </c>
      <c r="G34" s="179" t="s">
        <v>69</v>
      </c>
      <c r="H34" s="173">
        <f>H24+H33</f>
        <v>131223</v>
      </c>
      <c r="I34" s="173">
        <f>I24+I33</f>
        <v>180871</v>
      </c>
      <c r="J34" s="446">
        <f>J24+J33</f>
        <v>312094</v>
      </c>
      <c r="K34" s="190"/>
    </row>
    <row r="35" spans="2:11" x14ac:dyDescent="0.2">
      <c r="B35" s="164">
        <f t="shared" si="0"/>
        <v>25</v>
      </c>
      <c r="C35" s="180"/>
      <c r="D35" s="169"/>
      <c r="E35" s="169"/>
      <c r="F35" s="169"/>
      <c r="G35" s="171"/>
      <c r="H35" s="169"/>
      <c r="I35" s="169"/>
      <c r="J35" s="443"/>
      <c r="K35" s="190"/>
    </row>
    <row r="36" spans="2:11" x14ac:dyDescent="0.2">
      <c r="B36" s="164">
        <f t="shared" si="0"/>
        <v>26</v>
      </c>
      <c r="C36" s="180"/>
      <c r="D36" s="169"/>
      <c r="E36" s="169"/>
      <c r="F36" s="169"/>
      <c r="G36" s="172"/>
      <c r="H36" s="125"/>
      <c r="I36" s="125"/>
      <c r="J36" s="442"/>
      <c r="K36" s="190"/>
    </row>
    <row r="37" spans="2:11" s="11" customFormat="1" x14ac:dyDescent="0.2">
      <c r="B37" s="164">
        <f t="shared" si="0"/>
        <v>27</v>
      </c>
      <c r="C37" s="180"/>
      <c r="D37" s="169"/>
      <c r="E37" s="169"/>
      <c r="F37" s="169"/>
      <c r="G37" s="171"/>
      <c r="H37" s="169"/>
      <c r="I37" s="169"/>
      <c r="J37" s="443"/>
      <c r="K37" s="509"/>
    </row>
    <row r="38" spans="2:11" s="11" customFormat="1" x14ac:dyDescent="0.2">
      <c r="B38" s="777">
        <f t="shared" si="0"/>
        <v>28</v>
      </c>
      <c r="C38" s="126" t="s">
        <v>53</v>
      </c>
      <c r="D38" s="126"/>
      <c r="E38" s="126"/>
      <c r="F38" s="126"/>
      <c r="G38" s="140" t="s">
        <v>33</v>
      </c>
      <c r="H38" s="173"/>
      <c r="I38" s="173"/>
      <c r="J38" s="446"/>
      <c r="K38" s="509"/>
    </row>
    <row r="39" spans="2:11" s="11" customFormat="1" x14ac:dyDescent="0.2">
      <c r="B39" s="164">
        <f t="shared" si="0"/>
        <v>29</v>
      </c>
      <c r="C39" s="136" t="s">
        <v>684</v>
      </c>
      <c r="D39" s="126"/>
      <c r="E39" s="126"/>
      <c r="F39" s="126"/>
      <c r="G39" s="181" t="s">
        <v>4</v>
      </c>
      <c r="H39" s="182"/>
      <c r="I39" s="183"/>
      <c r="J39" s="447"/>
      <c r="K39" s="509"/>
    </row>
    <row r="40" spans="2:11" s="11" customFormat="1" x14ac:dyDescent="0.2">
      <c r="B40" s="164">
        <f t="shared" si="0"/>
        <v>30</v>
      </c>
      <c r="C40" s="157" t="s">
        <v>961</v>
      </c>
      <c r="D40" s="126"/>
      <c r="E40" s="126"/>
      <c r="F40" s="126"/>
      <c r="G40" s="535" t="s">
        <v>3</v>
      </c>
      <c r="H40" s="173"/>
      <c r="I40" s="173"/>
      <c r="J40" s="446"/>
      <c r="K40" s="509"/>
    </row>
    <row r="41" spans="2:11" x14ac:dyDescent="0.2">
      <c r="B41" s="164">
        <f t="shared" si="0"/>
        <v>31</v>
      </c>
      <c r="C41" s="118" t="s">
        <v>686</v>
      </c>
      <c r="D41" s="185"/>
      <c r="E41" s="185"/>
      <c r="F41" s="185"/>
      <c r="G41" s="139" t="s">
        <v>5</v>
      </c>
      <c r="H41" s="173"/>
      <c r="I41" s="173"/>
      <c r="J41" s="446"/>
      <c r="K41" s="190"/>
    </row>
    <row r="42" spans="2:11" x14ac:dyDescent="0.2">
      <c r="B42" s="164">
        <f t="shared" si="0"/>
        <v>32</v>
      </c>
      <c r="C42" s="118" t="s">
        <v>208</v>
      </c>
      <c r="D42" s="119"/>
      <c r="E42" s="119"/>
      <c r="F42" s="119"/>
      <c r="G42" s="139" t="s">
        <v>6</v>
      </c>
      <c r="H42" s="182"/>
      <c r="I42" s="182"/>
      <c r="J42" s="446"/>
      <c r="K42" s="190"/>
    </row>
    <row r="43" spans="2:11" x14ac:dyDescent="0.2">
      <c r="B43" s="164">
        <f t="shared" si="0"/>
        <v>33</v>
      </c>
      <c r="C43" s="533" t="s">
        <v>209</v>
      </c>
      <c r="D43" s="119">
        <v>81</v>
      </c>
      <c r="E43" s="119">
        <v>13966</v>
      </c>
      <c r="F43" s="119">
        <f>D43+E43</f>
        <v>14047</v>
      </c>
      <c r="G43" s="139" t="s">
        <v>7</v>
      </c>
      <c r="H43" s="182"/>
      <c r="I43" s="182"/>
      <c r="J43" s="446"/>
      <c r="K43" s="190"/>
    </row>
    <row r="44" spans="2:11" x14ac:dyDescent="0.2">
      <c r="B44" s="164">
        <f t="shared" si="0"/>
        <v>34</v>
      </c>
      <c r="C44" s="533" t="s">
        <v>960</v>
      </c>
      <c r="D44" s="119"/>
      <c r="E44" s="119"/>
      <c r="F44" s="119"/>
      <c r="G44" s="139"/>
      <c r="H44" s="182"/>
      <c r="I44" s="182"/>
      <c r="J44" s="446"/>
      <c r="K44" s="190"/>
    </row>
    <row r="45" spans="2:11" x14ac:dyDescent="0.2">
      <c r="B45" s="164">
        <f t="shared" si="0"/>
        <v>35</v>
      </c>
      <c r="C45" s="119" t="s">
        <v>687</v>
      </c>
      <c r="D45" s="119"/>
      <c r="E45" s="119"/>
      <c r="F45" s="119"/>
      <c r="G45" s="139" t="s">
        <v>8</v>
      </c>
      <c r="H45" s="173"/>
      <c r="I45" s="173"/>
      <c r="J45" s="443"/>
      <c r="K45" s="190"/>
    </row>
    <row r="46" spans="2:11" x14ac:dyDescent="0.2">
      <c r="B46" s="164">
        <f t="shared" si="0"/>
        <v>36</v>
      </c>
      <c r="C46" s="119" t="s">
        <v>688</v>
      </c>
      <c r="D46" s="126"/>
      <c r="E46" s="126"/>
      <c r="F46" s="126"/>
      <c r="G46" s="139" t="s">
        <v>9</v>
      </c>
      <c r="H46" s="173"/>
      <c r="I46" s="173"/>
      <c r="J46" s="443"/>
      <c r="K46" s="190"/>
    </row>
    <row r="47" spans="2:11" x14ac:dyDescent="0.2">
      <c r="B47" s="164">
        <f t="shared" si="0"/>
        <v>37</v>
      </c>
      <c r="C47" s="118" t="s">
        <v>212</v>
      </c>
      <c r="D47" s="119"/>
      <c r="E47" s="119"/>
      <c r="F47" s="119"/>
      <c r="G47" s="139" t="s">
        <v>10</v>
      </c>
      <c r="H47" s="169"/>
      <c r="I47" s="169"/>
      <c r="J47" s="443"/>
      <c r="K47" s="190"/>
    </row>
    <row r="48" spans="2:11" x14ac:dyDescent="0.2">
      <c r="B48" s="164">
        <f t="shared" si="0"/>
        <v>38</v>
      </c>
      <c r="C48" s="533" t="s">
        <v>213</v>
      </c>
      <c r="D48" s="283">
        <f>H24-(D34+D43)</f>
        <v>124136</v>
      </c>
      <c r="E48" s="283">
        <f>I24-(E34+E43)</f>
        <v>160168</v>
      </c>
      <c r="F48" s="283">
        <f>J24-(F34+F43)</f>
        <v>284304</v>
      </c>
      <c r="G48" s="139" t="s">
        <v>11</v>
      </c>
      <c r="H48" s="169"/>
      <c r="I48" s="169"/>
      <c r="J48" s="443"/>
      <c r="K48" s="190"/>
    </row>
    <row r="49" spans="2:11" x14ac:dyDescent="0.2">
      <c r="B49" s="164">
        <f t="shared" si="0"/>
        <v>39</v>
      </c>
      <c r="C49" s="533" t="s">
        <v>214</v>
      </c>
      <c r="D49" s="119">
        <f>H33-D33</f>
        <v>2833</v>
      </c>
      <c r="E49" s="119">
        <f>I33-E33</f>
        <v>6335</v>
      </c>
      <c r="F49" s="119">
        <f>J33-F33</f>
        <v>9168</v>
      </c>
      <c r="G49" s="139" t="s">
        <v>12</v>
      </c>
      <c r="H49" s="169"/>
      <c r="I49" s="169"/>
      <c r="J49" s="443"/>
      <c r="K49" s="190"/>
    </row>
    <row r="50" spans="2:11" x14ac:dyDescent="0.2">
      <c r="B50" s="164">
        <f t="shared" si="0"/>
        <v>40</v>
      </c>
      <c r="C50" s="118" t="s">
        <v>1</v>
      </c>
      <c r="D50" s="119"/>
      <c r="E50" s="119"/>
      <c r="F50" s="119"/>
      <c r="G50" s="139" t="s">
        <v>13</v>
      </c>
      <c r="H50" s="169"/>
      <c r="I50" s="169"/>
      <c r="J50" s="443"/>
      <c r="K50" s="190"/>
    </row>
    <row r="51" spans="2:11" x14ac:dyDescent="0.2">
      <c r="B51" s="164">
        <f t="shared" si="0"/>
        <v>41</v>
      </c>
      <c r="C51" s="118"/>
      <c r="D51" s="119"/>
      <c r="E51" s="119"/>
      <c r="F51" s="119"/>
      <c r="G51" s="139" t="s">
        <v>14</v>
      </c>
      <c r="H51" s="169"/>
      <c r="I51" s="169"/>
      <c r="J51" s="443"/>
      <c r="K51" s="190"/>
    </row>
    <row r="52" spans="2:11" x14ac:dyDescent="0.2">
      <c r="B52" s="164">
        <f t="shared" si="0"/>
        <v>42</v>
      </c>
      <c r="C52" s="118"/>
      <c r="D52" s="119"/>
      <c r="E52" s="119"/>
      <c r="F52" s="119"/>
      <c r="G52" s="139" t="s">
        <v>15</v>
      </c>
      <c r="H52" s="169"/>
      <c r="I52" s="169"/>
      <c r="J52" s="443"/>
      <c r="K52" s="190"/>
    </row>
    <row r="53" spans="2:11" ht="12" thickBot="1" x14ac:dyDescent="0.25">
      <c r="B53" s="164">
        <f t="shared" si="0"/>
        <v>43</v>
      </c>
      <c r="C53" s="178" t="s">
        <v>449</v>
      </c>
      <c r="D53" s="126">
        <f>SUM(D39:D51)</f>
        <v>127050</v>
      </c>
      <c r="E53" s="126">
        <f>SUM(E39:E51)</f>
        <v>180469</v>
      </c>
      <c r="F53" s="126">
        <f>SUM(F39:F51)</f>
        <v>307519</v>
      </c>
      <c r="G53" s="140" t="s">
        <v>442</v>
      </c>
      <c r="H53" s="173">
        <f>SUM(H39:H52)</f>
        <v>0</v>
      </c>
      <c r="I53" s="173">
        <f>SUM(I39:I52)</f>
        <v>0</v>
      </c>
      <c r="J53" s="446">
        <f>SUM(J39:J52)</f>
        <v>0</v>
      </c>
      <c r="K53" s="190"/>
    </row>
    <row r="54" spans="2:11" ht="12" thickBot="1" x14ac:dyDescent="0.25">
      <c r="B54" s="923">
        <f t="shared" si="0"/>
        <v>44</v>
      </c>
      <c r="C54" s="1106" t="s">
        <v>444</v>
      </c>
      <c r="D54" s="303">
        <f>D34+D53</f>
        <v>131223</v>
      </c>
      <c r="E54" s="1070">
        <f>E34+E53</f>
        <v>180871</v>
      </c>
      <c r="F54" s="919">
        <f>F34+F53</f>
        <v>312094</v>
      </c>
      <c r="G54" s="503" t="s">
        <v>443</v>
      </c>
      <c r="H54" s="1071">
        <f>H34+H53</f>
        <v>131223</v>
      </c>
      <c r="I54" s="1071">
        <f>I34+I53</f>
        <v>180871</v>
      </c>
      <c r="J54" s="920">
        <f>J34+J53</f>
        <v>312094</v>
      </c>
      <c r="K54" s="289"/>
    </row>
    <row r="55" spans="2:11" x14ac:dyDescent="0.2">
      <c r="C55" s="183"/>
      <c r="D55" s="182"/>
      <c r="E55" s="182"/>
      <c r="F55" s="182"/>
      <c r="G55" s="182"/>
      <c r="H55" s="182"/>
      <c r="I55" s="182"/>
      <c r="J55" s="182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0" customWidth="1"/>
    <col min="2" max="2" width="33" style="116" customWidth="1"/>
    <col min="3" max="3" width="10.7109375" style="118" customWidth="1"/>
    <col min="4" max="4" width="12.28515625" style="118" customWidth="1"/>
    <col min="5" max="5" width="9.140625" style="118"/>
    <col min="6" max="6" width="11.28515625" style="118" customWidth="1"/>
    <col min="7" max="7" width="11.140625" style="118" customWidth="1"/>
    <col min="8" max="10" width="10" style="118" customWidth="1"/>
    <col min="11" max="11" width="11.28515625" style="118" customWidth="1"/>
    <col min="12" max="12" width="7.28515625" style="295" hidden="1" customWidth="1"/>
    <col min="13" max="13" width="8.5703125" style="295" hidden="1" customWidth="1"/>
    <col min="14" max="14" width="7.5703125" style="295" hidden="1" customWidth="1"/>
    <col min="15" max="15" width="8.28515625" style="295" hidden="1" customWidth="1"/>
    <col min="16" max="16" width="5.7109375" style="295" hidden="1" customWidth="1"/>
    <col min="17" max="17" width="8" style="295" hidden="1" customWidth="1"/>
    <col min="18" max="18" width="6.140625" style="295" hidden="1" customWidth="1"/>
    <col min="19" max="19" width="4.42578125" style="566" customWidth="1"/>
    <col min="20" max="16384" width="9.140625" style="80"/>
  </cols>
  <sheetData>
    <row r="1" spans="1:19" ht="17.25" customHeight="1" x14ac:dyDescent="0.2">
      <c r="B1" s="1367" t="s">
        <v>293</v>
      </c>
      <c r="C1" s="1367"/>
      <c r="D1" s="1367"/>
      <c r="E1" s="1367"/>
      <c r="F1" s="1367"/>
      <c r="G1" s="1367"/>
      <c r="H1" s="1367"/>
      <c r="I1" s="1367"/>
      <c r="J1" s="1367"/>
      <c r="K1" s="1368"/>
      <c r="L1" s="1299"/>
      <c r="M1" s="1299"/>
      <c r="N1" s="1299"/>
      <c r="O1" s="1299"/>
      <c r="P1" s="1299"/>
      <c r="Q1" s="1299"/>
      <c r="R1" s="1299"/>
    </row>
    <row r="2" spans="1:19" ht="13.5" customHeight="1" x14ac:dyDescent="0.2">
      <c r="A2" s="1371" t="s">
        <v>86</v>
      </c>
      <c r="B2" s="1371"/>
      <c r="C2" s="1371"/>
      <c r="D2" s="1371"/>
      <c r="E2" s="1371"/>
      <c r="F2" s="1371"/>
      <c r="G2" s="1371"/>
      <c r="H2" s="1371"/>
      <c r="I2" s="1371"/>
      <c r="J2" s="1371"/>
      <c r="K2" s="1371"/>
      <c r="L2" s="80"/>
      <c r="M2" s="80"/>
      <c r="N2" s="80"/>
      <c r="O2" s="80"/>
      <c r="P2" s="80"/>
      <c r="Q2" s="80"/>
      <c r="R2" s="80"/>
      <c r="S2" s="554"/>
    </row>
    <row r="3" spans="1:19" s="82" customFormat="1" ht="12" customHeight="1" x14ac:dyDescent="0.2">
      <c r="A3" s="1247" t="s">
        <v>292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299"/>
      <c r="M3" s="1299"/>
      <c r="N3" s="1299"/>
      <c r="O3" s="1299"/>
      <c r="P3" s="1299"/>
      <c r="Q3" s="1299"/>
      <c r="R3" s="1299"/>
      <c r="S3" s="567"/>
    </row>
    <row r="4" spans="1:19" s="82" customFormat="1" ht="23.25" customHeight="1" thickBot="1" x14ac:dyDescent="0.25">
      <c r="A4" s="211"/>
      <c r="B4" s="212"/>
      <c r="C4" s="213"/>
      <c r="D4" s="213"/>
      <c r="E4" s="213"/>
      <c r="F4" s="213"/>
      <c r="G4" s="1372" t="s">
        <v>303</v>
      </c>
      <c r="H4" s="1372"/>
      <c r="I4" s="1372"/>
      <c r="J4" s="1372"/>
      <c r="K4" s="1372"/>
      <c r="L4" s="338"/>
      <c r="M4" s="338"/>
      <c r="N4" s="338"/>
      <c r="O4" s="338"/>
      <c r="P4" s="338"/>
      <c r="Q4" s="338"/>
      <c r="R4" s="338"/>
      <c r="S4" s="567"/>
    </row>
    <row r="5" spans="1:19" s="117" customFormat="1" ht="17.25" customHeight="1" thickBot="1" x14ac:dyDescent="0.25">
      <c r="A5" s="1377" t="s">
        <v>470</v>
      </c>
      <c r="B5" s="1374" t="s">
        <v>529</v>
      </c>
      <c r="C5" s="1370" t="s">
        <v>57</v>
      </c>
      <c r="D5" s="1370"/>
      <c r="E5" s="1370" t="s">
        <v>58</v>
      </c>
      <c r="F5" s="1370"/>
      <c r="G5" s="1370" t="s">
        <v>59</v>
      </c>
      <c r="H5" s="1370"/>
      <c r="I5" s="1378" t="s">
        <v>60</v>
      </c>
      <c r="J5" s="1379"/>
      <c r="K5" s="214" t="s">
        <v>471</v>
      </c>
      <c r="L5" s="294"/>
      <c r="S5" s="554"/>
    </row>
    <row r="6" spans="1:19" s="117" customFormat="1" ht="17.25" customHeight="1" thickBot="1" x14ac:dyDescent="0.25">
      <c r="A6" s="1377"/>
      <c r="B6" s="1374"/>
      <c r="C6" s="1246" t="s">
        <v>291</v>
      </c>
      <c r="D6" s="1375"/>
      <c r="E6" s="1375"/>
      <c r="F6" s="1375"/>
      <c r="G6" s="1375"/>
      <c r="H6" s="1375"/>
      <c r="I6" s="1375"/>
      <c r="J6" s="1375"/>
      <c r="K6" s="1376"/>
      <c r="L6" s="294"/>
      <c r="S6" s="554"/>
    </row>
    <row r="7" spans="1:19" ht="40.15" customHeight="1" thickBot="1" x14ac:dyDescent="0.25">
      <c r="A7" s="1377"/>
      <c r="B7" s="1374"/>
      <c r="C7" s="1362" t="s">
        <v>453</v>
      </c>
      <c r="D7" s="1362"/>
      <c r="E7" s="1362" t="s">
        <v>454</v>
      </c>
      <c r="F7" s="1362"/>
      <c r="G7" s="1362" t="s">
        <v>22</v>
      </c>
      <c r="H7" s="1362"/>
      <c r="I7" s="1363" t="s">
        <v>254</v>
      </c>
      <c r="J7" s="1364"/>
      <c r="K7" s="1373" t="s">
        <v>530</v>
      </c>
      <c r="M7" s="80"/>
      <c r="N7" s="80"/>
      <c r="O7" s="80"/>
      <c r="P7" s="80"/>
      <c r="Q7" s="80"/>
      <c r="R7" s="80"/>
      <c r="S7" s="554"/>
    </row>
    <row r="8" spans="1:19" ht="50.25" customHeight="1" thickBot="1" x14ac:dyDescent="0.25">
      <c r="A8" s="1377"/>
      <c r="B8" s="1374"/>
      <c r="C8" s="1362"/>
      <c r="D8" s="1362"/>
      <c r="E8" s="1362"/>
      <c r="F8" s="1362"/>
      <c r="G8" s="1362"/>
      <c r="H8" s="1362"/>
      <c r="I8" s="1365"/>
      <c r="J8" s="1366"/>
      <c r="K8" s="1373"/>
      <c r="M8" s="80"/>
      <c r="N8" s="80"/>
      <c r="O8" s="80"/>
      <c r="P8" s="80"/>
      <c r="Q8" s="80"/>
      <c r="R8" s="80"/>
      <c r="S8" s="554"/>
    </row>
    <row r="9" spans="1:19" ht="33" customHeight="1" thickBot="1" x14ac:dyDescent="0.25">
      <c r="A9" s="1377"/>
      <c r="B9" s="1374"/>
      <c r="C9" s="215" t="s">
        <v>62</v>
      </c>
      <c r="D9" s="216" t="s">
        <v>63</v>
      </c>
      <c r="E9" s="215" t="s">
        <v>62</v>
      </c>
      <c r="F9" s="215" t="s">
        <v>63</v>
      </c>
      <c r="G9" s="215" t="s">
        <v>62</v>
      </c>
      <c r="H9" s="215" t="s">
        <v>63</v>
      </c>
      <c r="I9" s="215" t="s">
        <v>62</v>
      </c>
      <c r="J9" s="215" t="s">
        <v>63</v>
      </c>
      <c r="K9" s="1373"/>
      <c r="M9" s="80"/>
      <c r="N9" s="80"/>
      <c r="O9" s="80"/>
      <c r="P9" s="80"/>
      <c r="Q9" s="80"/>
      <c r="R9" s="80"/>
      <c r="S9" s="554"/>
    </row>
    <row r="10" spans="1:19" ht="17.25" customHeight="1" x14ac:dyDescent="0.2">
      <c r="A10" s="217" t="s">
        <v>480</v>
      </c>
      <c r="B10" s="218" t="s">
        <v>244</v>
      </c>
      <c r="C10" s="219">
        <v>1600</v>
      </c>
      <c r="E10" s="220"/>
      <c r="F10" s="221"/>
      <c r="G10" s="220"/>
      <c r="H10" s="517"/>
      <c r="I10" s="221"/>
      <c r="J10" s="221"/>
      <c r="K10" s="222">
        <f t="shared" ref="K10:K39" si="0">SUM(C10:J10)</f>
        <v>1600</v>
      </c>
      <c r="M10" s="80"/>
      <c r="N10" s="80"/>
      <c r="O10" s="80"/>
      <c r="P10" s="80"/>
      <c r="Q10" s="80"/>
      <c r="R10" s="80"/>
      <c r="S10" s="554"/>
    </row>
    <row r="11" spans="1:19" s="81" customFormat="1" ht="17.25" customHeight="1" x14ac:dyDescent="0.2">
      <c r="A11" s="217" t="s">
        <v>488</v>
      </c>
      <c r="B11" s="513" t="s">
        <v>245</v>
      </c>
      <c r="C11" s="514">
        <v>33533</v>
      </c>
      <c r="D11" s="515"/>
      <c r="E11" s="581">
        <f>'közhatalmi bevételek'!D25</f>
        <v>9000</v>
      </c>
      <c r="F11" s="223"/>
      <c r="G11" s="224"/>
      <c r="H11" s="518"/>
      <c r="I11" s="223"/>
      <c r="J11" s="223"/>
      <c r="K11" s="222">
        <f t="shared" si="0"/>
        <v>42533</v>
      </c>
      <c r="L11" s="283"/>
      <c r="S11" s="568"/>
    </row>
    <row r="12" spans="1:19" ht="17.25" customHeight="1" x14ac:dyDescent="0.2">
      <c r="A12" s="217" t="s">
        <v>489</v>
      </c>
      <c r="B12" s="167" t="s">
        <v>246</v>
      </c>
      <c r="C12" s="139"/>
      <c r="D12" s="119">
        <v>53</v>
      </c>
      <c r="E12" s="120"/>
      <c r="F12" s="119"/>
      <c r="G12" s="120"/>
      <c r="H12" s="449"/>
      <c r="I12" s="119"/>
      <c r="J12" s="119"/>
      <c r="K12" s="222">
        <f t="shared" si="0"/>
        <v>53</v>
      </c>
      <c r="M12" s="80"/>
      <c r="N12" s="80"/>
      <c r="O12" s="80"/>
      <c r="P12" s="80"/>
      <c r="Q12" s="80"/>
      <c r="R12" s="80"/>
      <c r="S12" s="554"/>
    </row>
    <row r="13" spans="1:19" ht="17.25" customHeight="1" x14ac:dyDescent="0.2">
      <c r="A13" s="217" t="s">
        <v>490</v>
      </c>
      <c r="B13" s="167" t="s">
        <v>247</v>
      </c>
      <c r="C13" s="139"/>
      <c r="D13" s="119">
        <v>391</v>
      </c>
      <c r="E13" s="120"/>
      <c r="F13" s="119"/>
      <c r="G13" s="120"/>
      <c r="H13" s="519"/>
      <c r="I13" s="225"/>
      <c r="J13" s="225"/>
      <c r="K13" s="222">
        <f t="shared" si="0"/>
        <v>391</v>
      </c>
      <c r="M13" s="80"/>
      <c r="N13" s="80"/>
      <c r="O13" s="80"/>
      <c r="P13" s="80"/>
      <c r="Q13" s="80"/>
      <c r="R13" s="80"/>
      <c r="S13" s="554"/>
    </row>
    <row r="14" spans="1:19" ht="17.25" customHeight="1" x14ac:dyDescent="0.2">
      <c r="A14" s="217" t="s">
        <v>491</v>
      </c>
      <c r="B14" s="167" t="s">
        <v>248</v>
      </c>
      <c r="C14" s="139"/>
      <c r="D14" s="119"/>
      <c r="E14" s="120"/>
      <c r="F14" s="119"/>
      <c r="G14" s="120"/>
      <c r="H14" s="519"/>
      <c r="I14" s="225"/>
      <c r="J14" s="225"/>
      <c r="K14" s="222">
        <f t="shared" si="0"/>
        <v>0</v>
      </c>
      <c r="M14" s="80"/>
      <c r="N14" s="80"/>
      <c r="O14" s="80"/>
      <c r="P14" s="80"/>
      <c r="Q14" s="80"/>
      <c r="R14" s="80"/>
      <c r="S14" s="554"/>
    </row>
    <row r="15" spans="1:19" ht="17.25" customHeight="1" x14ac:dyDescent="0.2">
      <c r="A15" s="217" t="s">
        <v>492</v>
      </c>
      <c r="B15" s="167" t="s">
        <v>249</v>
      </c>
      <c r="C15" s="139"/>
      <c r="D15" s="119">
        <v>20031</v>
      </c>
      <c r="E15" s="120"/>
      <c r="F15" s="119"/>
      <c r="G15" s="120"/>
      <c r="H15" s="519"/>
      <c r="I15" s="225"/>
      <c r="J15" s="225"/>
      <c r="K15" s="222">
        <f t="shared" si="0"/>
        <v>20031</v>
      </c>
      <c r="M15" s="80"/>
      <c r="N15" s="80"/>
      <c r="O15" s="80"/>
      <c r="P15" s="80"/>
      <c r="Q15" s="80"/>
      <c r="R15" s="80"/>
      <c r="S15" s="554"/>
    </row>
    <row r="16" spans="1:19" ht="17.25" customHeight="1" x14ac:dyDescent="0.2">
      <c r="A16" s="217" t="s">
        <v>493</v>
      </c>
      <c r="B16" s="167" t="s">
        <v>250</v>
      </c>
      <c r="C16" s="139">
        <v>3600</v>
      </c>
      <c r="D16" s="119">
        <v>8084</v>
      </c>
      <c r="E16" s="120"/>
      <c r="F16" s="119"/>
      <c r="G16" s="120"/>
      <c r="H16" s="519"/>
      <c r="I16" s="225"/>
      <c r="J16" s="225"/>
      <c r="K16" s="222">
        <f t="shared" si="0"/>
        <v>11684</v>
      </c>
      <c r="M16" s="80"/>
      <c r="N16" s="80"/>
      <c r="O16" s="80"/>
      <c r="P16" s="80"/>
      <c r="Q16" s="80"/>
      <c r="R16" s="80"/>
      <c r="S16" s="554"/>
    </row>
    <row r="17" spans="1:19" ht="17.25" customHeight="1" x14ac:dyDescent="0.2">
      <c r="A17" s="217" t="s">
        <v>494</v>
      </c>
      <c r="B17" s="167" t="s">
        <v>251</v>
      </c>
      <c r="C17" s="139"/>
      <c r="D17" s="119">
        <v>10160</v>
      </c>
      <c r="E17" s="120"/>
      <c r="F17" s="119"/>
      <c r="G17" s="120"/>
      <c r="H17" s="519"/>
      <c r="I17" s="225"/>
      <c r="J17" s="225"/>
      <c r="K17" s="222">
        <f t="shared" si="0"/>
        <v>10160</v>
      </c>
      <c r="M17" s="80"/>
      <c r="N17" s="80"/>
      <c r="O17" s="80"/>
      <c r="P17" s="80"/>
      <c r="Q17" s="80"/>
      <c r="R17" s="80"/>
      <c r="S17" s="554"/>
    </row>
    <row r="18" spans="1:19" ht="17.25" customHeight="1" x14ac:dyDescent="0.2">
      <c r="A18" s="217" t="s">
        <v>495</v>
      </c>
      <c r="B18" s="167" t="s">
        <v>252</v>
      </c>
      <c r="C18" s="139">
        <v>183</v>
      </c>
      <c r="D18" s="119"/>
      <c r="E18" s="120"/>
      <c r="F18" s="119"/>
      <c r="G18" s="120"/>
      <c r="H18" s="519"/>
      <c r="I18" s="225"/>
      <c r="J18" s="225"/>
      <c r="K18" s="222">
        <f t="shared" si="0"/>
        <v>183</v>
      </c>
      <c r="M18" s="80"/>
      <c r="N18" s="80"/>
      <c r="O18" s="80"/>
      <c r="P18" s="80"/>
      <c r="Q18" s="80"/>
      <c r="R18" s="80"/>
      <c r="S18" s="554"/>
    </row>
    <row r="19" spans="1:19" ht="17.25" customHeight="1" x14ac:dyDescent="0.2">
      <c r="A19" s="217" t="s">
        <v>531</v>
      </c>
      <c r="B19" s="170" t="s">
        <v>253</v>
      </c>
      <c r="C19" s="139">
        <v>1288</v>
      </c>
      <c r="D19" s="119">
        <v>2062</v>
      </c>
      <c r="E19" s="120"/>
      <c r="F19" s="119"/>
      <c r="G19" s="120" t="e">
        <f>'tám, végl. pe.átv  '!#REF!</f>
        <v>#REF!</v>
      </c>
      <c r="H19" s="449"/>
      <c r="J19" s="118">
        <v>0</v>
      </c>
      <c r="K19" s="222" t="e">
        <f>SUM(C19:J19)</f>
        <v>#REF!</v>
      </c>
      <c r="M19" s="80"/>
      <c r="N19" s="80"/>
      <c r="O19" s="80"/>
      <c r="P19" s="80"/>
      <c r="Q19" s="80"/>
      <c r="R19" s="80"/>
      <c r="S19" s="554"/>
    </row>
    <row r="20" spans="1:19" ht="17.25" customHeight="1" x14ac:dyDescent="0.2">
      <c r="A20" s="217" t="s">
        <v>532</v>
      </c>
      <c r="B20" s="167" t="s">
        <v>275</v>
      </c>
      <c r="C20" s="139">
        <v>25</v>
      </c>
      <c r="D20" s="119"/>
      <c r="E20" s="120"/>
      <c r="F20" s="119"/>
      <c r="G20" s="495">
        <v>447</v>
      </c>
      <c r="H20" s="520"/>
      <c r="I20" s="296"/>
      <c r="J20" s="296"/>
      <c r="K20" s="222">
        <f t="shared" si="0"/>
        <v>472</v>
      </c>
      <c r="M20" s="80"/>
      <c r="N20" s="80"/>
      <c r="O20" s="80"/>
      <c r="P20" s="80"/>
      <c r="Q20" s="80"/>
      <c r="R20" s="80"/>
      <c r="S20" s="554"/>
    </row>
    <row r="21" spans="1:19" s="82" customFormat="1" ht="17.25" customHeight="1" x14ac:dyDescent="0.2">
      <c r="A21" s="217" t="s">
        <v>533</v>
      </c>
      <c r="B21" s="167" t="s">
        <v>276</v>
      </c>
      <c r="C21" s="139"/>
      <c r="D21" s="119"/>
      <c r="E21" s="120"/>
      <c r="F21" s="119"/>
      <c r="G21" s="495">
        <f>'tám, végl. pe.átv  '!C11</f>
        <v>787779</v>
      </c>
      <c r="H21" s="466">
        <f>'tám, végl. pe.átv  '!D11</f>
        <v>106500</v>
      </c>
      <c r="I21" s="283"/>
      <c r="J21" s="283"/>
      <c r="K21" s="222">
        <f t="shared" si="0"/>
        <v>894279</v>
      </c>
      <c r="L21" s="296"/>
      <c r="S21" s="569"/>
    </row>
    <row r="22" spans="1:19" ht="17.25" customHeight="1" x14ac:dyDescent="0.2">
      <c r="A22" s="217" t="s">
        <v>534</v>
      </c>
      <c r="B22" s="167" t="s">
        <v>277</v>
      </c>
      <c r="C22" s="139"/>
      <c r="D22" s="119"/>
      <c r="E22" s="120"/>
      <c r="F22" s="119"/>
      <c r="G22" s="495">
        <f>'tám, végl. pe.átv  '!C17</f>
        <v>651</v>
      </c>
      <c r="H22" s="520"/>
      <c r="I22" s="296"/>
      <c r="J22" s="296"/>
      <c r="K22" s="222">
        <f t="shared" si="0"/>
        <v>651</v>
      </c>
      <c r="M22" s="80"/>
      <c r="N22" s="80"/>
      <c r="O22" s="80"/>
      <c r="P22" s="80"/>
      <c r="Q22" s="80"/>
      <c r="R22" s="80"/>
      <c r="S22" s="554"/>
    </row>
    <row r="23" spans="1:19" ht="17.25" customHeight="1" x14ac:dyDescent="0.2">
      <c r="A23" s="217" t="s">
        <v>535</v>
      </c>
      <c r="B23" s="167" t="s">
        <v>289</v>
      </c>
      <c r="C23" s="139"/>
      <c r="D23" s="119"/>
      <c r="E23" s="120"/>
      <c r="F23" s="119"/>
      <c r="G23" s="495"/>
      <c r="H23" s="466">
        <f>'tám, végl. pe.átv  '!D18</f>
        <v>1496</v>
      </c>
      <c r="I23" s="296"/>
      <c r="J23" s="296"/>
      <c r="K23" s="222">
        <f t="shared" si="0"/>
        <v>1496</v>
      </c>
      <c r="M23" s="80"/>
      <c r="N23" s="80"/>
      <c r="O23" s="80"/>
      <c r="P23" s="80"/>
      <c r="Q23" s="80"/>
      <c r="R23" s="80"/>
      <c r="S23" s="554"/>
    </row>
    <row r="24" spans="1:19" ht="17.25" customHeight="1" x14ac:dyDescent="0.2">
      <c r="A24" s="217" t="s">
        <v>536</v>
      </c>
      <c r="B24" s="167" t="s">
        <v>290</v>
      </c>
      <c r="C24" s="139"/>
      <c r="D24" s="119"/>
      <c r="E24" s="120"/>
      <c r="F24" s="119"/>
      <c r="G24" s="495">
        <v>1300</v>
      </c>
      <c r="H24" s="520"/>
      <c r="I24" s="296"/>
      <c r="J24" s="296"/>
      <c r="K24" s="222">
        <f t="shared" si="0"/>
        <v>1300</v>
      </c>
      <c r="M24" s="80"/>
      <c r="N24" s="80"/>
      <c r="O24" s="80"/>
      <c r="P24" s="80"/>
      <c r="Q24" s="80"/>
      <c r="R24" s="80"/>
      <c r="S24" s="554"/>
    </row>
    <row r="25" spans="1:19" ht="17.25" customHeight="1" x14ac:dyDescent="0.2">
      <c r="A25" s="217" t="s">
        <v>537</v>
      </c>
      <c r="B25" s="167" t="s">
        <v>278</v>
      </c>
      <c r="C25" s="139"/>
      <c r="D25" s="119"/>
      <c r="E25" s="120"/>
      <c r="F25" s="119"/>
      <c r="G25" s="495">
        <v>14203</v>
      </c>
      <c r="H25" s="466"/>
      <c r="I25" s="283"/>
      <c r="J25" s="283"/>
      <c r="K25" s="222">
        <f t="shared" si="0"/>
        <v>14203</v>
      </c>
      <c r="M25" s="80"/>
      <c r="N25" s="80"/>
      <c r="O25" s="80"/>
      <c r="P25" s="80"/>
      <c r="Q25" s="80"/>
      <c r="R25" s="80"/>
      <c r="S25" s="554"/>
    </row>
    <row r="26" spans="1:19" ht="17.25" customHeight="1" x14ac:dyDescent="0.2">
      <c r="A26" s="217" t="s">
        <v>538</v>
      </c>
      <c r="B26" s="167" t="s">
        <v>255</v>
      </c>
      <c r="C26" s="139"/>
      <c r="E26" s="120">
        <f>'közhatalmi bevételek'!D13</f>
        <v>346343</v>
      </c>
      <c r="F26" s="119">
        <f>'közhatalmi bevételek'!E13</f>
        <v>862657</v>
      </c>
      <c r="G26" s="120"/>
      <c r="H26" s="519"/>
      <c r="I26" s="225"/>
      <c r="J26" s="225"/>
      <c r="K26" s="222">
        <f t="shared" si="0"/>
        <v>1209000</v>
      </c>
      <c r="M26" s="80"/>
      <c r="N26" s="80"/>
      <c r="O26" s="80"/>
      <c r="P26" s="80"/>
      <c r="Q26" s="80"/>
      <c r="R26" s="80"/>
      <c r="S26" s="554"/>
    </row>
    <row r="27" spans="1:19" ht="17.25" customHeight="1" x14ac:dyDescent="0.2">
      <c r="A27" s="217" t="s">
        <v>540</v>
      </c>
      <c r="B27" s="170" t="s">
        <v>539</v>
      </c>
      <c r="C27" s="139"/>
      <c r="E27" s="120"/>
      <c r="F27" s="119"/>
      <c r="G27" s="120"/>
      <c r="H27" s="519"/>
      <c r="I27" s="225"/>
      <c r="J27" s="225"/>
      <c r="K27" s="222">
        <f t="shared" si="0"/>
        <v>0</v>
      </c>
      <c r="M27" s="80"/>
      <c r="N27" s="80"/>
      <c r="O27" s="80"/>
      <c r="P27" s="80"/>
      <c r="Q27" s="80"/>
      <c r="R27" s="80"/>
      <c r="S27" s="554"/>
    </row>
    <row r="28" spans="1:19" ht="17.25" customHeight="1" x14ac:dyDescent="0.2">
      <c r="A28" s="217" t="s">
        <v>541</v>
      </c>
      <c r="B28" s="167" t="s">
        <v>279</v>
      </c>
      <c r="C28" s="139"/>
      <c r="E28" s="120">
        <f>'közhatalmi bevételek'!D19</f>
        <v>17000</v>
      </c>
      <c r="F28" s="119"/>
      <c r="G28" s="120"/>
      <c r="H28" s="519"/>
      <c r="I28" s="225"/>
      <c r="J28" s="225"/>
      <c r="K28" s="222">
        <f t="shared" si="0"/>
        <v>17000</v>
      </c>
      <c r="M28" s="80"/>
      <c r="N28" s="80"/>
      <c r="O28" s="80"/>
      <c r="P28" s="80"/>
      <c r="Q28" s="80"/>
      <c r="R28" s="80"/>
      <c r="S28" s="554"/>
    </row>
    <row r="29" spans="1:19" s="82" customFormat="1" ht="17.25" customHeight="1" x14ac:dyDescent="0.2">
      <c r="A29" s="217" t="s">
        <v>542</v>
      </c>
      <c r="B29" s="167" t="s">
        <v>256</v>
      </c>
      <c r="C29" s="139"/>
      <c r="D29" s="121"/>
      <c r="E29" s="495">
        <f>'közhatalmi bevételek'!D15</f>
        <v>4500</v>
      </c>
      <c r="F29" s="119">
        <f>'közhatalmi bevételek'!E15</f>
        <v>0</v>
      </c>
      <c r="G29" s="139"/>
      <c r="H29" s="519"/>
      <c r="I29" s="225"/>
      <c r="J29" s="225"/>
      <c r="K29" s="222">
        <f t="shared" si="0"/>
        <v>4500</v>
      </c>
      <c r="L29" s="296"/>
      <c r="S29" s="569"/>
    </row>
    <row r="30" spans="1:19" ht="17.25" customHeight="1" x14ac:dyDescent="0.2">
      <c r="A30" s="217" t="s">
        <v>543</v>
      </c>
      <c r="B30" s="167" t="s">
        <v>257</v>
      </c>
      <c r="C30" s="139"/>
      <c r="D30" s="119"/>
      <c r="E30" s="495">
        <f>'közhatalmi bevételek'!D24</f>
        <v>820</v>
      </c>
      <c r="F30" s="119"/>
      <c r="G30" s="120"/>
      <c r="H30" s="519"/>
      <c r="I30" s="225"/>
      <c r="J30" s="225"/>
      <c r="K30" s="222">
        <f t="shared" si="0"/>
        <v>820</v>
      </c>
      <c r="M30" s="80"/>
      <c r="N30" s="80"/>
      <c r="O30" s="80"/>
      <c r="P30" s="80"/>
      <c r="Q30" s="80"/>
      <c r="R30" s="80"/>
      <c r="S30" s="554"/>
    </row>
    <row r="31" spans="1:19" ht="17.25" customHeight="1" x14ac:dyDescent="0.2">
      <c r="A31" s="217" t="s">
        <v>544</v>
      </c>
      <c r="B31" s="167" t="s">
        <v>258</v>
      </c>
      <c r="C31" s="139"/>
      <c r="D31" s="119"/>
      <c r="E31" s="120"/>
      <c r="F31" s="119"/>
      <c r="G31" s="120"/>
      <c r="H31" s="519"/>
      <c r="I31" s="225"/>
      <c r="J31" s="225"/>
      <c r="K31" s="222">
        <f t="shared" si="0"/>
        <v>0</v>
      </c>
      <c r="M31" s="80"/>
      <c r="N31" s="80"/>
      <c r="O31" s="80"/>
      <c r="P31" s="80"/>
      <c r="Q31" s="80"/>
      <c r="R31" s="80"/>
      <c r="S31" s="554"/>
    </row>
    <row r="32" spans="1:19" ht="17.25" customHeight="1" x14ac:dyDescent="0.2">
      <c r="A32" s="217" t="s">
        <v>546</v>
      </c>
      <c r="B32" s="167" t="s">
        <v>259</v>
      </c>
      <c r="C32" s="139">
        <v>140</v>
      </c>
      <c r="D32" s="119">
        <v>46</v>
      </c>
      <c r="E32" s="120"/>
      <c r="F32" s="119"/>
      <c r="G32" s="120"/>
      <c r="H32" s="519"/>
      <c r="I32" s="225"/>
      <c r="J32" s="225"/>
      <c r="K32" s="222">
        <f t="shared" si="0"/>
        <v>186</v>
      </c>
      <c r="M32" s="80"/>
      <c r="N32" s="80"/>
      <c r="O32" s="80"/>
      <c r="P32" s="80"/>
      <c r="Q32" s="80"/>
      <c r="R32" s="80"/>
      <c r="S32" s="554"/>
    </row>
    <row r="33" spans="1:19" ht="17.25" customHeight="1" x14ac:dyDescent="0.2">
      <c r="A33" s="217" t="s">
        <v>547</v>
      </c>
      <c r="B33" s="218" t="s">
        <v>260</v>
      </c>
      <c r="C33" s="226"/>
      <c r="D33" s="221"/>
      <c r="E33" s="220"/>
      <c r="F33" s="221"/>
      <c r="G33" s="496">
        <v>5065</v>
      </c>
      <c r="H33" s="519"/>
      <c r="I33" s="225"/>
      <c r="J33" s="225"/>
      <c r="K33" s="222">
        <f t="shared" si="0"/>
        <v>5065</v>
      </c>
      <c r="M33" s="80"/>
      <c r="N33" s="80"/>
      <c r="O33" s="80"/>
      <c r="P33" s="80"/>
      <c r="Q33" s="80"/>
      <c r="R33" s="80"/>
      <c r="S33" s="554"/>
    </row>
    <row r="34" spans="1:19" ht="17.25" customHeight="1" x14ac:dyDescent="0.2">
      <c r="A34" s="217" t="s">
        <v>566</v>
      </c>
      <c r="B34" s="218" t="s">
        <v>261</v>
      </c>
      <c r="C34" s="226"/>
      <c r="D34" s="221"/>
      <c r="E34" s="220"/>
      <c r="F34" s="221"/>
      <c r="G34" s="496">
        <v>0</v>
      </c>
      <c r="H34" s="519"/>
      <c r="I34" s="225"/>
      <c r="J34" s="225"/>
      <c r="K34" s="222">
        <f t="shared" si="0"/>
        <v>0</v>
      </c>
      <c r="M34" s="80"/>
      <c r="N34" s="80"/>
      <c r="O34" s="80"/>
      <c r="P34" s="80"/>
      <c r="Q34" s="80"/>
      <c r="R34" s="80"/>
      <c r="S34" s="554"/>
    </row>
    <row r="35" spans="1:19" ht="17.25" customHeight="1" x14ac:dyDescent="0.2">
      <c r="A35" s="217" t="s">
        <v>567</v>
      </c>
      <c r="B35" s="218" t="s">
        <v>262</v>
      </c>
      <c r="C35" s="226"/>
      <c r="D35" s="221"/>
      <c r="E35" s="220"/>
      <c r="F35" s="221"/>
      <c r="G35" s="496">
        <v>455</v>
      </c>
      <c r="H35" s="519"/>
      <c r="I35" s="225"/>
      <c r="J35" s="225"/>
      <c r="K35" s="222">
        <f t="shared" si="0"/>
        <v>455</v>
      </c>
      <c r="M35" s="80"/>
      <c r="N35" s="80"/>
      <c r="O35" s="80"/>
      <c r="P35" s="80"/>
      <c r="Q35" s="80"/>
      <c r="R35" s="80"/>
      <c r="S35" s="554"/>
    </row>
    <row r="36" spans="1:19" ht="17.25" customHeight="1" x14ac:dyDescent="0.2">
      <c r="A36" s="217" t="s">
        <v>568</v>
      </c>
      <c r="B36" s="218" t="s">
        <v>551</v>
      </c>
      <c r="C36" s="226"/>
      <c r="D36" s="221"/>
      <c r="E36" s="220"/>
      <c r="F36" s="221"/>
      <c r="G36" s="496">
        <v>500</v>
      </c>
      <c r="H36" s="519"/>
      <c r="I36" s="225"/>
      <c r="J36" s="225"/>
      <c r="K36" s="222">
        <f t="shared" si="0"/>
        <v>500</v>
      </c>
      <c r="M36" s="80"/>
      <c r="N36" s="80"/>
      <c r="O36" s="80"/>
      <c r="P36" s="80"/>
      <c r="Q36" s="80"/>
      <c r="R36" s="80"/>
      <c r="S36" s="554"/>
    </row>
    <row r="37" spans="1:19" ht="17.25" customHeight="1" x14ac:dyDescent="0.2">
      <c r="A37" s="217" t="s">
        <v>569</v>
      </c>
      <c r="B37" s="218" t="s">
        <v>263</v>
      </c>
      <c r="C37" s="226"/>
      <c r="D37" s="221"/>
      <c r="E37" s="220"/>
      <c r="F37" s="221"/>
      <c r="G37" s="496">
        <v>2032</v>
      </c>
      <c r="H37" s="519"/>
      <c r="I37" s="225"/>
      <c r="J37" s="225"/>
      <c r="K37" s="222">
        <f t="shared" si="0"/>
        <v>2032</v>
      </c>
      <c r="M37" s="80"/>
      <c r="N37" s="80"/>
      <c r="O37" s="80"/>
      <c r="P37" s="80"/>
      <c r="Q37" s="80"/>
      <c r="R37" s="80"/>
      <c r="S37" s="554"/>
    </row>
    <row r="38" spans="1:19" ht="17.25" customHeight="1" x14ac:dyDescent="0.2">
      <c r="A38" s="217" t="s">
        <v>570</v>
      </c>
      <c r="B38" s="218" t="s">
        <v>264</v>
      </c>
      <c r="C38" s="226"/>
      <c r="D38" s="498">
        <v>2286</v>
      </c>
      <c r="E38" s="226"/>
      <c r="F38" s="221"/>
      <c r="G38" s="497"/>
      <c r="H38" s="449"/>
      <c r="K38" s="222">
        <f t="shared" si="0"/>
        <v>2286</v>
      </c>
      <c r="M38" s="80"/>
      <c r="N38" s="80"/>
      <c r="O38" s="80"/>
      <c r="P38" s="80"/>
      <c r="Q38" s="80"/>
      <c r="R38" s="80"/>
      <c r="S38" s="554"/>
    </row>
    <row r="39" spans="1:19" ht="17.25" customHeight="1" thickBot="1" x14ac:dyDescent="0.25">
      <c r="A39" s="217" t="s">
        <v>571</v>
      </c>
      <c r="B39" s="218" t="s">
        <v>265</v>
      </c>
      <c r="C39" s="226"/>
      <c r="D39" s="221"/>
      <c r="E39" s="220"/>
      <c r="F39" s="221"/>
      <c r="G39" s="220"/>
      <c r="H39" s="519"/>
      <c r="I39" s="225"/>
      <c r="J39" s="225"/>
      <c r="K39" s="222">
        <f t="shared" si="0"/>
        <v>0</v>
      </c>
      <c r="M39" s="80"/>
      <c r="N39" s="80"/>
      <c r="O39" s="80"/>
      <c r="P39" s="80"/>
      <c r="Q39" s="80"/>
      <c r="R39" s="80"/>
      <c r="S39" s="554"/>
    </row>
    <row r="40" spans="1:19" ht="17.25" customHeight="1" thickBot="1" x14ac:dyDescent="0.25">
      <c r="A40" s="1389" t="s">
        <v>575</v>
      </c>
      <c r="B40" s="1390"/>
      <c r="C40" s="351">
        <f>SUM(C10:C39)</f>
        <v>40369</v>
      </c>
      <c r="D40" s="351">
        <f>SUM(D10:D39)</f>
        <v>43113</v>
      </c>
      <c r="E40" s="541">
        <f>SUM(E10:E39)</f>
        <v>377663</v>
      </c>
      <c r="F40" s="542">
        <f>SUM(F10:F39)</f>
        <v>862657</v>
      </c>
      <c r="G40" s="351" t="e">
        <f>SUM(G10:G39)</f>
        <v>#REF!</v>
      </c>
      <c r="H40" s="521">
        <f>SUM(H12:H39)</f>
        <v>107996</v>
      </c>
      <c r="I40" s="521">
        <f>SUM(I12:I39)</f>
        <v>0</v>
      </c>
      <c r="J40" s="521">
        <f>SUM(J12:J39)</f>
        <v>0</v>
      </c>
      <c r="K40" s="352" t="e">
        <f>SUM(C40:J40)</f>
        <v>#REF!</v>
      </c>
      <c r="M40" s="80"/>
      <c r="N40" s="80"/>
      <c r="O40" s="80"/>
      <c r="P40" s="80"/>
      <c r="Q40" s="80"/>
      <c r="R40" s="80"/>
      <c r="S40" s="554"/>
    </row>
    <row r="41" spans="1:19" ht="17.25" customHeight="1" x14ac:dyDescent="0.2">
      <c r="M41" s="80"/>
      <c r="N41" s="80"/>
      <c r="O41" s="80"/>
      <c r="P41" s="80"/>
      <c r="Q41" s="80"/>
      <c r="R41" s="80"/>
      <c r="S41" s="554"/>
    </row>
    <row r="42" spans="1:19" ht="17.25" customHeight="1" x14ac:dyDescent="0.2">
      <c r="M42" s="80"/>
      <c r="N42" s="80"/>
      <c r="O42" s="80"/>
      <c r="P42" s="80"/>
      <c r="Q42" s="80"/>
      <c r="R42" s="80"/>
      <c r="S42" s="554"/>
    </row>
    <row r="43" spans="1:19" ht="17.25" customHeight="1" x14ac:dyDescent="0.2">
      <c r="M43" s="80"/>
      <c r="N43" s="80"/>
      <c r="O43" s="80"/>
      <c r="P43" s="80"/>
      <c r="Q43" s="80"/>
      <c r="R43" s="80"/>
      <c r="S43" s="554"/>
    </row>
    <row r="44" spans="1:19" ht="17.25" customHeight="1" x14ac:dyDescent="0.2">
      <c r="M44" s="80"/>
      <c r="N44" s="80"/>
      <c r="O44" s="80"/>
      <c r="P44" s="80"/>
      <c r="Q44" s="80"/>
      <c r="R44" s="80"/>
      <c r="S44" s="554"/>
    </row>
    <row r="45" spans="1:19" ht="17.25" customHeight="1" x14ac:dyDescent="0.2">
      <c r="M45" s="80"/>
      <c r="N45" s="80"/>
      <c r="O45" s="80"/>
      <c r="P45" s="80"/>
      <c r="Q45" s="80"/>
      <c r="R45" s="80"/>
      <c r="S45" s="554"/>
    </row>
    <row r="46" spans="1:19" ht="17.25" customHeight="1" x14ac:dyDescent="0.2">
      <c r="M46" s="80"/>
      <c r="N46" s="80"/>
      <c r="O46" s="80"/>
      <c r="P46" s="80"/>
      <c r="Q46" s="80"/>
      <c r="R46" s="80"/>
      <c r="S46" s="554"/>
    </row>
    <row r="47" spans="1:19" ht="17.25" customHeight="1" x14ac:dyDescent="0.2">
      <c r="M47" s="80"/>
      <c r="N47" s="80"/>
      <c r="O47" s="80"/>
      <c r="P47" s="80"/>
      <c r="Q47" s="80"/>
      <c r="R47" s="80"/>
      <c r="S47" s="554"/>
    </row>
    <row r="48" spans="1:19" ht="17.25" customHeight="1" x14ac:dyDescent="0.2">
      <c r="M48" s="80"/>
      <c r="N48" s="80"/>
      <c r="O48" s="80"/>
      <c r="P48" s="80"/>
      <c r="Q48" s="80"/>
      <c r="R48" s="80"/>
      <c r="S48" s="554"/>
    </row>
    <row r="49" spans="2:24" ht="17.25" customHeight="1" x14ac:dyDescent="0.2">
      <c r="M49" s="80"/>
      <c r="N49" s="80"/>
      <c r="O49" s="80"/>
      <c r="P49" s="80"/>
      <c r="Q49" s="80"/>
      <c r="R49" s="80"/>
      <c r="S49" s="554"/>
    </row>
    <row r="50" spans="2:24" ht="17.25" customHeight="1" x14ac:dyDescent="0.2">
      <c r="M50" s="80"/>
      <c r="N50" s="80"/>
      <c r="O50" s="80"/>
      <c r="P50" s="80"/>
      <c r="Q50" s="80"/>
      <c r="R50" s="80"/>
      <c r="S50" s="554"/>
    </row>
    <row r="51" spans="2:24" ht="17.25" customHeight="1" x14ac:dyDescent="0.2">
      <c r="M51" s="80"/>
      <c r="N51" s="80"/>
      <c r="O51" s="80"/>
      <c r="P51" s="80"/>
      <c r="Q51" s="80"/>
      <c r="R51" s="80"/>
      <c r="S51" s="554"/>
    </row>
    <row r="52" spans="2:24" ht="17.25" customHeight="1" x14ac:dyDescent="0.2">
      <c r="M52" s="80"/>
      <c r="N52" s="80"/>
      <c r="O52" s="80"/>
      <c r="P52" s="80"/>
      <c r="Q52" s="80"/>
      <c r="R52" s="80"/>
      <c r="S52" s="554"/>
    </row>
    <row r="53" spans="2:24" ht="17.25" customHeight="1" x14ac:dyDescent="0.2">
      <c r="M53" s="80"/>
      <c r="N53" s="80"/>
      <c r="O53" s="80"/>
      <c r="P53" s="80"/>
      <c r="Q53" s="80"/>
      <c r="R53" s="80"/>
      <c r="S53" s="554"/>
    </row>
    <row r="54" spans="2:24" ht="17.25" customHeight="1" x14ac:dyDescent="0.2">
      <c r="M54" s="80"/>
      <c r="N54" s="80"/>
      <c r="O54" s="80"/>
      <c r="P54" s="80"/>
      <c r="Q54" s="80"/>
      <c r="R54" s="80"/>
      <c r="S54" s="554"/>
    </row>
    <row r="55" spans="2:24" ht="17.25" customHeight="1" x14ac:dyDescent="0.2">
      <c r="M55" s="80"/>
      <c r="N55" s="80"/>
      <c r="O55" s="80"/>
      <c r="P55" s="80"/>
      <c r="Q55" s="80"/>
      <c r="R55" s="80"/>
      <c r="S55" s="554"/>
    </row>
    <row r="56" spans="2:24" ht="17.25" customHeight="1" x14ac:dyDescent="0.2">
      <c r="M56" s="80"/>
      <c r="N56" s="80"/>
      <c r="O56" s="80"/>
      <c r="P56" s="80"/>
      <c r="Q56" s="80"/>
      <c r="R56" s="80"/>
      <c r="S56" s="554"/>
    </row>
    <row r="57" spans="2:24" ht="17.25" customHeight="1" x14ac:dyDescent="0.2">
      <c r="M57" s="80"/>
      <c r="N57" s="80"/>
      <c r="O57" s="80"/>
      <c r="P57" s="80"/>
      <c r="Q57" s="80"/>
      <c r="R57" s="80"/>
      <c r="S57" s="554"/>
    </row>
    <row r="58" spans="2:24" ht="17.25" customHeight="1" x14ac:dyDescent="0.2">
      <c r="M58" s="80"/>
      <c r="N58" s="80"/>
      <c r="O58" s="80"/>
      <c r="P58" s="80"/>
      <c r="Q58" s="80"/>
      <c r="R58" s="80"/>
      <c r="S58" s="554"/>
    </row>
    <row r="64" spans="2:24" ht="17.25" customHeight="1" x14ac:dyDescent="0.2">
      <c r="B64" s="1367" t="s">
        <v>552</v>
      </c>
      <c r="C64" s="1299"/>
      <c r="D64" s="1299"/>
      <c r="E64" s="1299"/>
      <c r="F64" s="1299"/>
      <c r="G64" s="1299"/>
      <c r="H64" s="1299"/>
      <c r="I64" s="1299"/>
      <c r="J64" s="1299"/>
      <c r="K64" s="1299"/>
      <c r="L64" s="1299"/>
      <c r="M64" s="1299"/>
      <c r="N64" s="1299"/>
      <c r="O64" s="1299"/>
      <c r="P64" s="1299"/>
      <c r="Q64" s="1299"/>
      <c r="R64" s="1299"/>
      <c r="W64" s="81"/>
      <c r="X64" s="81"/>
    </row>
    <row r="65" spans="1:23" ht="17.25" customHeight="1" x14ac:dyDescent="0.2">
      <c r="D65" s="116"/>
      <c r="E65" s="116"/>
      <c r="F65" s="116"/>
      <c r="G65" s="116"/>
      <c r="H65" s="116"/>
      <c r="I65" s="116"/>
      <c r="J65" s="116"/>
      <c r="K65" s="116"/>
      <c r="W65" s="81"/>
    </row>
    <row r="66" spans="1:23" ht="17.25" customHeight="1" x14ac:dyDescent="0.2">
      <c r="A66" s="1247" t="s">
        <v>528</v>
      </c>
      <c r="B66" s="1299"/>
      <c r="C66" s="1299"/>
      <c r="D66" s="1299"/>
      <c r="E66" s="1299"/>
      <c r="F66" s="1299"/>
      <c r="G66" s="1299"/>
      <c r="H66" s="1299"/>
      <c r="I66" s="1299"/>
      <c r="J66" s="1299"/>
      <c r="K66" s="1299"/>
      <c r="L66" s="1299"/>
      <c r="M66" s="1299"/>
      <c r="N66" s="1299"/>
      <c r="O66" s="1299"/>
      <c r="P66" s="1299"/>
      <c r="Q66" s="1299"/>
      <c r="R66" s="1299"/>
    </row>
    <row r="67" spans="1:23" ht="17.25" customHeight="1" x14ac:dyDescent="0.2">
      <c r="A67" s="1247" t="s">
        <v>292</v>
      </c>
      <c r="B67" s="1299"/>
      <c r="C67" s="1299"/>
      <c r="D67" s="1299"/>
      <c r="E67" s="1299"/>
      <c r="F67" s="1299"/>
      <c r="G67" s="1299"/>
      <c r="H67" s="1299"/>
      <c r="I67" s="1299"/>
      <c r="J67" s="1299"/>
      <c r="K67" s="1299"/>
      <c r="L67" s="1299"/>
      <c r="M67" s="1299"/>
      <c r="N67" s="1299"/>
      <c r="O67" s="1299"/>
      <c r="P67" s="1299"/>
      <c r="Q67" s="1299"/>
      <c r="R67" s="1299"/>
    </row>
    <row r="68" spans="1:23" ht="17.25" customHeight="1" x14ac:dyDescent="0.2">
      <c r="B68" s="212"/>
      <c r="C68" s="213"/>
      <c r="D68" s="213"/>
      <c r="E68" s="213"/>
      <c r="F68" s="213"/>
      <c r="G68" s="213"/>
      <c r="H68" s="213"/>
      <c r="I68" s="213"/>
      <c r="J68" s="213"/>
      <c r="K68" s="213"/>
    </row>
    <row r="69" spans="1:23" ht="12.75" customHeight="1" thickBot="1" x14ac:dyDescent="0.25">
      <c r="A69" s="1387" t="s">
        <v>303</v>
      </c>
      <c r="B69" s="1388"/>
      <c r="C69" s="1388"/>
      <c r="D69" s="1388"/>
      <c r="E69" s="1388"/>
      <c r="F69" s="1388"/>
      <c r="G69" s="1388"/>
      <c r="H69" s="1388"/>
      <c r="I69" s="1388"/>
      <c r="J69" s="1388"/>
      <c r="K69" s="1388"/>
      <c r="L69" s="1336"/>
      <c r="M69" s="1336"/>
      <c r="N69" s="1336"/>
      <c r="O69" s="1336"/>
      <c r="P69" s="1336"/>
      <c r="Q69" s="1336"/>
      <c r="R69" s="1336"/>
    </row>
    <row r="70" spans="1:23" s="117" customFormat="1" ht="11.25" customHeight="1" x14ac:dyDescent="0.2">
      <c r="A70" s="1397" t="s">
        <v>470</v>
      </c>
      <c r="B70" s="1391" t="s">
        <v>85</v>
      </c>
      <c r="C70" s="1381" t="s">
        <v>57</v>
      </c>
      <c r="D70" s="1386"/>
      <c r="E70" s="1386" t="s">
        <v>58</v>
      </c>
      <c r="F70" s="1386"/>
      <c r="G70" s="1386" t="s">
        <v>59</v>
      </c>
      <c r="H70" s="1386"/>
      <c r="I70" s="1380"/>
      <c r="J70" s="1381"/>
      <c r="K70" s="311" t="s">
        <v>60</v>
      </c>
      <c r="L70" s="1379" t="s">
        <v>471</v>
      </c>
      <c r="M70" s="1370"/>
      <c r="N70" s="1370" t="s">
        <v>472</v>
      </c>
      <c r="O70" s="1370"/>
      <c r="P70" s="1370" t="s">
        <v>473</v>
      </c>
      <c r="Q70" s="1370"/>
      <c r="R70" s="307" t="s">
        <v>594</v>
      </c>
      <c r="S70" s="566"/>
    </row>
    <row r="71" spans="1:23" ht="31.5" customHeight="1" x14ac:dyDescent="0.2">
      <c r="A71" s="1398"/>
      <c r="B71" s="1392"/>
      <c r="C71" s="1382" t="s">
        <v>553</v>
      </c>
      <c r="D71" s="1375"/>
      <c r="E71" s="1375"/>
      <c r="F71" s="1375"/>
      <c r="G71" s="1375"/>
      <c r="H71" s="1375"/>
      <c r="I71" s="1375"/>
      <c r="J71" s="1375"/>
      <c r="K71" s="1385"/>
      <c r="L71" s="1382" t="s">
        <v>515</v>
      </c>
      <c r="M71" s="1383"/>
      <c r="N71" s="1383"/>
      <c r="O71" s="1383"/>
      <c r="P71" s="1383"/>
      <c r="Q71" s="1383"/>
      <c r="R71" s="1384"/>
    </row>
    <row r="72" spans="1:23" ht="36" customHeight="1" thickBot="1" x14ac:dyDescent="0.25">
      <c r="A72" s="1398"/>
      <c r="B72" s="1392"/>
      <c r="C72" s="1394" t="s">
        <v>453</v>
      </c>
      <c r="D72" s="1362"/>
      <c r="E72" s="1362" t="s">
        <v>454</v>
      </c>
      <c r="F72" s="1362"/>
      <c r="G72" s="1362" t="s">
        <v>22</v>
      </c>
      <c r="H72" s="1362"/>
      <c r="I72" s="1363"/>
      <c r="J72" s="1364"/>
      <c r="K72" s="1400" t="s">
        <v>530</v>
      </c>
      <c r="L72" s="1394" t="s">
        <v>453</v>
      </c>
      <c r="M72" s="1362"/>
      <c r="N72" s="1362" t="s">
        <v>454</v>
      </c>
      <c r="O72" s="1362"/>
      <c r="P72" s="1362" t="s">
        <v>22</v>
      </c>
      <c r="Q72" s="1362"/>
      <c r="R72" s="1395" t="s">
        <v>530</v>
      </c>
    </row>
    <row r="73" spans="1:23" ht="35.25" customHeight="1" thickBot="1" x14ac:dyDescent="0.25">
      <c r="A73" s="1398"/>
      <c r="B73" s="1392"/>
      <c r="C73" s="1394"/>
      <c r="D73" s="1362"/>
      <c r="E73" s="1362"/>
      <c r="F73" s="1362"/>
      <c r="G73" s="1362"/>
      <c r="H73" s="1362"/>
      <c r="I73" s="1365"/>
      <c r="J73" s="1366"/>
      <c r="K73" s="1400"/>
      <c r="L73" s="1394"/>
      <c r="M73" s="1362"/>
      <c r="N73" s="1362"/>
      <c r="O73" s="1362"/>
      <c r="P73" s="1362"/>
      <c r="Q73" s="1362"/>
      <c r="R73" s="1395"/>
    </row>
    <row r="74" spans="1:23" ht="32.25" customHeight="1" thickBot="1" x14ac:dyDescent="0.25">
      <c r="A74" s="1399"/>
      <c r="B74" s="1393"/>
      <c r="C74" s="501" t="s">
        <v>62</v>
      </c>
      <c r="D74" s="313" t="s">
        <v>63</v>
      </c>
      <c r="E74" s="312" t="s">
        <v>62</v>
      </c>
      <c r="F74" s="312" t="s">
        <v>63</v>
      </c>
      <c r="G74" s="312" t="s">
        <v>62</v>
      </c>
      <c r="H74" s="312" t="s">
        <v>63</v>
      </c>
      <c r="I74" s="312" t="s">
        <v>62</v>
      </c>
      <c r="J74" s="312" t="s">
        <v>63</v>
      </c>
      <c r="K74" s="1401"/>
      <c r="L74" s="315" t="s">
        <v>62</v>
      </c>
      <c r="M74" s="316" t="s">
        <v>63</v>
      </c>
      <c r="N74" s="310" t="s">
        <v>62</v>
      </c>
      <c r="O74" s="310" t="s">
        <v>63</v>
      </c>
      <c r="P74" s="310" t="s">
        <v>62</v>
      </c>
      <c r="Q74" s="310" t="s">
        <v>63</v>
      </c>
      <c r="R74" s="1396"/>
    </row>
    <row r="75" spans="1:23" ht="17.25" customHeight="1" x14ac:dyDescent="0.2">
      <c r="A75" s="227">
        <v>1</v>
      </c>
      <c r="B75" s="562" t="s">
        <v>556</v>
      </c>
      <c r="C75" s="246">
        <v>10</v>
      </c>
      <c r="D75" s="246">
        <v>0</v>
      </c>
      <c r="E75" s="246"/>
      <c r="F75" s="246"/>
      <c r="G75" s="246"/>
      <c r="H75" s="246"/>
      <c r="I75" s="246"/>
      <c r="J75" s="246"/>
      <c r="K75" s="500">
        <f>SUM(C75:H75)</f>
        <v>10</v>
      </c>
      <c r="L75" s="317">
        <v>20</v>
      </c>
      <c r="M75" s="317">
        <v>188</v>
      </c>
      <c r="N75" s="317"/>
      <c r="O75" s="317"/>
      <c r="P75" s="317"/>
      <c r="Q75" s="317"/>
      <c r="R75" s="318">
        <f>SUM(L75:Q75)</f>
        <v>208</v>
      </c>
    </row>
    <row r="76" spans="1:23" ht="17.25" customHeight="1" x14ac:dyDescent="0.2">
      <c r="A76" s="227">
        <v>2</v>
      </c>
      <c r="B76" s="563" t="s">
        <v>555</v>
      </c>
      <c r="C76" s="246"/>
      <c r="D76" s="246">
        <v>284</v>
      </c>
      <c r="E76" s="246"/>
      <c r="F76" s="246"/>
      <c r="G76" s="246"/>
      <c r="H76" s="246"/>
      <c r="I76" s="246"/>
      <c r="J76" s="246"/>
      <c r="K76" s="528">
        <f>SUM(C76:H76)</f>
        <v>284</v>
      </c>
      <c r="L76" s="246"/>
      <c r="M76" s="246"/>
      <c r="N76" s="246"/>
      <c r="O76" s="246"/>
      <c r="P76" s="246"/>
      <c r="Q76" s="246"/>
      <c r="R76" s="522"/>
    </row>
    <row r="77" spans="1:23" ht="17.25" customHeight="1" x14ac:dyDescent="0.2">
      <c r="A77" s="227">
        <v>3</v>
      </c>
      <c r="B77" s="563" t="s">
        <v>554</v>
      </c>
      <c r="C77" s="246">
        <v>3</v>
      </c>
      <c r="D77" s="246">
        <v>78</v>
      </c>
      <c r="E77" s="246"/>
      <c r="F77" s="246"/>
      <c r="G77" s="246"/>
      <c r="H77" s="246"/>
      <c r="I77" s="246"/>
      <c r="J77" s="246"/>
      <c r="K77" s="528">
        <f>SUM(C77:H77)</f>
        <v>81</v>
      </c>
      <c r="L77" s="246"/>
      <c r="M77" s="246"/>
      <c r="N77" s="246"/>
      <c r="O77" s="246"/>
      <c r="P77" s="246"/>
      <c r="Q77" s="246"/>
      <c r="R77" s="522"/>
    </row>
    <row r="78" spans="1:23" ht="17.25" customHeight="1" x14ac:dyDescent="0.2">
      <c r="A78" s="217">
        <v>4</v>
      </c>
      <c r="B78" s="563" t="s">
        <v>557</v>
      </c>
      <c r="C78" s="561">
        <v>2</v>
      </c>
      <c r="D78" s="314"/>
      <c r="E78" s="314"/>
      <c r="F78" s="314"/>
      <c r="G78" s="314"/>
      <c r="H78" s="314"/>
      <c r="I78" s="314"/>
      <c r="J78" s="314"/>
      <c r="K78" s="528">
        <f>SUM(C78:H78)</f>
        <v>2</v>
      </c>
      <c r="L78" s="319"/>
      <c r="M78" s="319"/>
      <c r="N78" s="319"/>
      <c r="O78" s="319"/>
      <c r="P78" s="319"/>
      <c r="Q78" s="319"/>
      <c r="R78" s="320"/>
    </row>
    <row r="79" spans="1:23" ht="17.25" customHeight="1" thickBot="1" x14ac:dyDescent="0.25">
      <c r="A79" s="529">
        <v>5</v>
      </c>
      <c r="B79" s="564" t="s">
        <v>558</v>
      </c>
      <c r="C79" s="561"/>
      <c r="D79" s="314">
        <v>40</v>
      </c>
      <c r="E79" s="314"/>
      <c r="F79" s="314"/>
      <c r="G79" s="314"/>
      <c r="H79" s="314"/>
      <c r="I79" s="314"/>
      <c r="J79" s="314"/>
      <c r="K79" s="565">
        <f>SUM(C79:J79)</f>
        <v>40</v>
      </c>
      <c r="L79" s="319"/>
      <c r="M79" s="319"/>
      <c r="N79" s="319"/>
      <c r="O79" s="319"/>
      <c r="P79" s="319"/>
      <c r="Q79" s="319"/>
      <c r="R79" s="320"/>
    </row>
    <row r="80" spans="1:23" ht="17.25" customHeight="1" thickBot="1" x14ac:dyDescent="0.25">
      <c r="A80" s="516" t="s">
        <v>266</v>
      </c>
      <c r="B80" s="523"/>
      <c r="C80" s="524">
        <f>SUM(C74:C78)</f>
        <v>15</v>
      </c>
      <c r="D80" s="524">
        <f>SUM(D74:D79)</f>
        <v>402</v>
      </c>
      <c r="E80" s="525">
        <f>SUM(E74)</f>
        <v>0</v>
      </c>
      <c r="F80" s="525">
        <f>SUM(F74)</f>
        <v>0</v>
      </c>
      <c r="G80" s="525">
        <f>SUM(G74)</f>
        <v>0</v>
      </c>
      <c r="H80" s="525">
        <f>SUM(H74:H78)</f>
        <v>0</v>
      </c>
      <c r="I80" s="526"/>
      <c r="J80" s="526"/>
      <c r="K80" s="527">
        <f>SUM(K74:K79)</f>
        <v>417</v>
      </c>
      <c r="L80" s="499">
        <f>SUM(L75:L78)</f>
        <v>20</v>
      </c>
      <c r="M80" s="308">
        <f>SUM(M75:M78)</f>
        <v>188</v>
      </c>
      <c r="N80" s="308"/>
      <c r="O80" s="308"/>
      <c r="P80" s="308"/>
      <c r="Q80" s="308"/>
      <c r="R80" s="321">
        <f>SUM(L80:Q80)</f>
        <v>208</v>
      </c>
      <c r="S80" s="567"/>
    </row>
  </sheetData>
  <sheetProtection selectLockedCells="1" selectUnlockedCells="1"/>
  <mergeCells count="41"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7"/>
  <sheetViews>
    <sheetView zoomScale="130" zoomScaleNormal="130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41" customWidth="1"/>
    <col min="3" max="3" width="26.7109375" style="348" customWidth="1"/>
    <col min="4" max="4" width="5.85546875" style="349" customWidth="1"/>
    <col min="5" max="5" width="6.7109375" style="350" customWidth="1"/>
    <col min="6" max="6" width="5.85546875" style="350" customWidth="1"/>
    <col min="7" max="7" width="6.42578125" style="350" customWidth="1"/>
    <col min="8" max="8" width="5.28515625" style="350" customWidth="1"/>
    <col min="9" max="9" width="6.42578125" style="350" customWidth="1"/>
    <col min="10" max="10" width="5.7109375" style="350" customWidth="1"/>
    <col min="11" max="11" width="5.5703125" style="350" customWidth="1"/>
    <col min="12" max="12" width="6" style="350" customWidth="1"/>
    <col min="13" max="15" width="5.85546875" style="350" customWidth="1"/>
    <col min="16" max="16" width="4.7109375" style="350" customWidth="1"/>
    <col min="17" max="17" width="5" style="350" customWidth="1"/>
    <col min="18" max="18" width="6.5703125" style="350" bestFit="1" customWidth="1"/>
    <col min="19" max="19" width="12.85546875" style="340" customWidth="1"/>
    <col min="20" max="22" width="9.140625" style="340"/>
    <col min="23" max="16384" width="9.140625" style="80"/>
  </cols>
  <sheetData>
    <row r="1" spans="1:22" ht="12.75" x14ac:dyDescent="0.2">
      <c r="B1" s="1367" t="s">
        <v>1363</v>
      </c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Q1" s="1404"/>
      <c r="R1" s="1404"/>
    </row>
    <row r="2" spans="1:22" ht="12.75" x14ac:dyDescent="0.2">
      <c r="B2" s="1405" t="s">
        <v>77</v>
      </c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  <c r="P2" s="1406"/>
      <c r="Q2" s="1406"/>
      <c r="R2" s="1406"/>
    </row>
    <row r="3" spans="1:22" ht="12.75" x14ac:dyDescent="0.2">
      <c r="A3" s="81"/>
      <c r="B3" s="1247" t="s">
        <v>1150</v>
      </c>
      <c r="C3" s="1404"/>
      <c r="D3" s="1404"/>
      <c r="E3" s="1404"/>
      <c r="F3" s="1404"/>
      <c r="G3" s="1404"/>
      <c r="H3" s="1404"/>
      <c r="I3" s="1404"/>
      <c r="J3" s="1404"/>
      <c r="K3" s="1404"/>
      <c r="L3" s="1404"/>
      <c r="M3" s="1404"/>
      <c r="N3" s="1404"/>
      <c r="O3" s="1404"/>
      <c r="P3" s="1404"/>
      <c r="Q3" s="1404"/>
      <c r="R3" s="1404"/>
    </row>
    <row r="4" spans="1:22" x14ac:dyDescent="0.2">
      <c r="A4" s="81"/>
      <c r="C4" s="1419" t="s">
        <v>303</v>
      </c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1419"/>
    </row>
    <row r="5" spans="1:22" x14ac:dyDescent="0.2">
      <c r="A5" s="841"/>
      <c r="B5" s="1407" t="s">
        <v>470</v>
      </c>
      <c r="C5" s="839" t="s">
        <v>57</v>
      </c>
      <c r="D5" s="1412" t="s">
        <v>58</v>
      </c>
      <c r="E5" s="1403"/>
      <c r="F5" s="1412" t="s">
        <v>59</v>
      </c>
      <c r="G5" s="1403"/>
      <c r="H5" s="1412" t="s">
        <v>593</v>
      </c>
      <c r="I5" s="1403"/>
      <c r="J5" s="1412" t="s">
        <v>471</v>
      </c>
      <c r="K5" s="1403"/>
      <c r="L5" s="1402" t="s">
        <v>472</v>
      </c>
      <c r="M5" s="1403"/>
      <c r="N5" s="1402" t="s">
        <v>473</v>
      </c>
      <c r="O5" s="1403"/>
      <c r="P5" s="1402" t="s">
        <v>594</v>
      </c>
      <c r="Q5" s="1403"/>
      <c r="R5" s="531" t="s">
        <v>602</v>
      </c>
    </row>
    <row r="6" spans="1:22" ht="12.75" x14ac:dyDescent="0.2">
      <c r="A6" s="841"/>
      <c r="B6" s="1408"/>
      <c r="C6" s="840"/>
      <c r="D6" s="1420" t="s">
        <v>1140</v>
      </c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421"/>
      <c r="Q6" s="1421"/>
      <c r="R6" s="1422"/>
    </row>
    <row r="7" spans="1:22" ht="24.95" customHeight="1" x14ac:dyDescent="0.2">
      <c r="A7" s="841"/>
      <c r="B7" s="1408"/>
      <c r="C7" s="1424" t="s">
        <v>85</v>
      </c>
      <c r="D7" s="1410" t="s">
        <v>452</v>
      </c>
      <c r="E7" s="1411"/>
      <c r="F7" s="1423" t="s">
        <v>21</v>
      </c>
      <c r="G7" s="1423"/>
      <c r="H7" s="1423" t="s">
        <v>450</v>
      </c>
      <c r="I7" s="1423"/>
      <c r="J7" s="1411" t="s">
        <v>460</v>
      </c>
      <c r="K7" s="1411"/>
      <c r="L7" s="1411" t="s">
        <v>459</v>
      </c>
      <c r="M7" s="1411"/>
      <c r="N7" s="1363" t="s">
        <v>267</v>
      </c>
      <c r="O7" s="1413"/>
      <c r="P7" s="1411" t="s">
        <v>451</v>
      </c>
      <c r="Q7" s="1411"/>
      <c r="R7" s="1416" t="s">
        <v>530</v>
      </c>
    </row>
    <row r="8" spans="1:22" ht="26.25" customHeight="1" x14ac:dyDescent="0.2">
      <c r="A8" s="841"/>
      <c r="B8" s="1408"/>
      <c r="C8" s="1425"/>
      <c r="D8" s="1410"/>
      <c r="E8" s="1411"/>
      <c r="F8" s="1423"/>
      <c r="G8" s="1423"/>
      <c r="H8" s="1423"/>
      <c r="I8" s="1423"/>
      <c r="J8" s="1411"/>
      <c r="K8" s="1411"/>
      <c r="L8" s="1411"/>
      <c r="M8" s="1411"/>
      <c r="N8" s="1414"/>
      <c r="O8" s="1415"/>
      <c r="P8" s="1411"/>
      <c r="Q8" s="1411"/>
      <c r="R8" s="1417"/>
      <c r="S8" s="805"/>
      <c r="T8" s="347"/>
    </row>
    <row r="9" spans="1:22" s="269" customFormat="1" ht="40.9" customHeight="1" x14ac:dyDescent="0.15">
      <c r="A9" s="842"/>
      <c r="B9" s="1409"/>
      <c r="C9" s="1426"/>
      <c r="D9" s="342" t="s">
        <v>62</v>
      </c>
      <c r="E9" s="343" t="s">
        <v>63</v>
      </c>
      <c r="F9" s="344" t="s">
        <v>62</v>
      </c>
      <c r="G9" s="343" t="s">
        <v>63</v>
      </c>
      <c r="H9" s="344" t="s">
        <v>62</v>
      </c>
      <c r="I9" s="343" t="s">
        <v>63</v>
      </c>
      <c r="J9" s="344" t="s">
        <v>62</v>
      </c>
      <c r="K9" s="344" t="s">
        <v>63</v>
      </c>
      <c r="L9" s="344" t="s">
        <v>62</v>
      </c>
      <c r="M9" s="343" t="s">
        <v>63</v>
      </c>
      <c r="N9" s="344" t="s">
        <v>62</v>
      </c>
      <c r="O9" s="343" t="s">
        <v>63</v>
      </c>
      <c r="P9" s="344" t="s">
        <v>62</v>
      </c>
      <c r="Q9" s="344" t="s">
        <v>63</v>
      </c>
      <c r="R9" s="1418"/>
      <c r="S9" s="345"/>
      <c r="T9" s="345"/>
      <c r="U9" s="345"/>
      <c r="V9" s="345"/>
    </row>
    <row r="10" spans="1:22" s="269" customFormat="1" ht="15" customHeight="1" x14ac:dyDescent="0.2">
      <c r="A10" s="842"/>
      <c r="B10" s="918" t="s">
        <v>480</v>
      </c>
      <c r="C10" s="838" t="s">
        <v>983</v>
      </c>
      <c r="D10" s="815">
        <v>0</v>
      </c>
      <c r="E10" s="815"/>
      <c r="F10" s="816">
        <v>0</v>
      </c>
      <c r="G10" s="815"/>
      <c r="H10" s="821">
        <v>36</v>
      </c>
      <c r="I10" s="815"/>
      <c r="J10" s="821"/>
      <c r="K10" s="818"/>
      <c r="L10" s="816"/>
      <c r="M10" s="1122"/>
      <c r="N10" s="815"/>
      <c r="O10" s="815"/>
      <c r="P10" s="816"/>
      <c r="Q10" s="815"/>
      <c r="R10" s="813">
        <f>SUM(D10:Q10)</f>
        <v>36</v>
      </c>
      <c r="S10" s="740"/>
      <c r="T10" s="741"/>
      <c r="U10" s="345"/>
      <c r="V10" s="345"/>
    </row>
    <row r="11" spans="1:22" s="269" customFormat="1" ht="23.25" customHeight="1" x14ac:dyDescent="0.2">
      <c r="A11" s="842"/>
      <c r="B11" s="918" t="s">
        <v>488</v>
      </c>
      <c r="C11" s="838" t="s">
        <v>982</v>
      </c>
      <c r="D11" s="820">
        <v>4098</v>
      </c>
      <c r="E11" s="820"/>
      <c r="F11" s="821">
        <v>902</v>
      </c>
      <c r="G11" s="815"/>
      <c r="H11" s="821">
        <v>26740</v>
      </c>
      <c r="I11" s="815"/>
      <c r="J11" s="816"/>
      <c r="K11" s="818"/>
      <c r="L11" s="816"/>
      <c r="M11" s="819"/>
      <c r="N11" s="815"/>
      <c r="O11" s="815"/>
      <c r="P11" s="816"/>
      <c r="Q11" s="815"/>
      <c r="R11" s="813">
        <f>SUM(D11:Q11)</f>
        <v>31740</v>
      </c>
      <c r="S11" s="740"/>
      <c r="T11" s="741"/>
      <c r="U11" s="345"/>
      <c r="V11" s="345"/>
    </row>
    <row r="12" spans="1:22" s="269" customFormat="1" ht="20.25" customHeight="1" x14ac:dyDescent="0.2">
      <c r="A12" s="842"/>
      <c r="B12" s="918" t="s">
        <v>489</v>
      </c>
      <c r="C12" s="812" t="s">
        <v>1232</v>
      </c>
      <c r="D12" s="820"/>
      <c r="E12" s="820"/>
      <c r="F12" s="821"/>
      <c r="G12" s="815"/>
      <c r="H12" s="821">
        <v>17665</v>
      </c>
      <c r="I12" s="815"/>
      <c r="J12" s="816"/>
      <c r="K12" s="818"/>
      <c r="L12" s="816"/>
      <c r="M12" s="819"/>
      <c r="N12" s="815"/>
      <c r="O12" s="815"/>
      <c r="P12" s="816"/>
      <c r="Q12" s="815"/>
      <c r="R12" s="813">
        <f>SUM(D12:Q12)</f>
        <v>17665</v>
      </c>
      <c r="S12" s="740"/>
      <c r="T12" s="741"/>
      <c r="U12" s="345"/>
      <c r="V12" s="345"/>
    </row>
    <row r="13" spans="1:22" s="339" customFormat="1" ht="13.5" customHeight="1" x14ac:dyDescent="0.2">
      <c r="A13" s="843"/>
      <c r="B13" s="918" t="s">
        <v>490</v>
      </c>
      <c r="C13" s="917" t="s">
        <v>988</v>
      </c>
      <c r="D13" s="814"/>
      <c r="E13" s="815"/>
      <c r="F13" s="816"/>
      <c r="G13" s="815"/>
      <c r="H13" s="817"/>
      <c r="I13" s="806">
        <v>5000</v>
      </c>
      <c r="J13" s="817"/>
      <c r="K13" s="818"/>
      <c r="L13" s="816"/>
      <c r="M13" s="819"/>
      <c r="N13" s="815"/>
      <c r="O13" s="815"/>
      <c r="P13" s="816"/>
      <c r="Q13" s="815"/>
      <c r="R13" s="813">
        <f t="shared" ref="R13:R66" si="0">SUM(D13:Q13)</f>
        <v>5000</v>
      </c>
      <c r="S13" s="116"/>
      <c r="T13" s="340"/>
      <c r="U13" s="340"/>
      <c r="V13" s="340"/>
    </row>
    <row r="14" spans="1:22" s="339" customFormat="1" ht="17.25" customHeight="1" x14ac:dyDescent="0.2">
      <c r="A14" s="843"/>
      <c r="B14" s="918" t="s">
        <v>491</v>
      </c>
      <c r="C14" s="812" t="s">
        <v>981</v>
      </c>
      <c r="D14" s="814"/>
      <c r="E14" s="815"/>
      <c r="F14" s="816"/>
      <c r="G14" s="815"/>
      <c r="H14" s="817">
        <v>1969</v>
      </c>
      <c r="I14" s="283"/>
      <c r="J14" s="817"/>
      <c r="K14" s="818"/>
      <c r="L14" s="816"/>
      <c r="M14" s="819"/>
      <c r="N14" s="815"/>
      <c r="O14" s="815"/>
      <c r="P14" s="816"/>
      <c r="Q14" s="815"/>
      <c r="R14" s="813">
        <f t="shared" si="0"/>
        <v>1969</v>
      </c>
      <c r="S14" s="740"/>
      <c r="T14" s="741"/>
      <c r="U14" s="340"/>
      <c r="V14" s="340"/>
    </row>
    <row r="15" spans="1:22" s="339" customFormat="1" ht="16.5" customHeight="1" x14ac:dyDescent="0.2">
      <c r="A15" s="843"/>
      <c r="B15" s="918" t="s">
        <v>492</v>
      </c>
      <c r="C15" s="812" t="s">
        <v>1094</v>
      </c>
      <c r="D15" s="814"/>
      <c r="E15" s="815"/>
      <c r="F15" s="816"/>
      <c r="G15" s="815"/>
      <c r="H15" s="817"/>
      <c r="I15" s="806"/>
      <c r="J15" s="817"/>
      <c r="K15" s="818"/>
      <c r="L15" s="816"/>
      <c r="M15" s="819"/>
      <c r="N15" s="815"/>
      <c r="O15" s="815"/>
      <c r="P15" s="816"/>
      <c r="Q15" s="820">
        <f>'ellátottak önk.'!F13</f>
        <v>500</v>
      </c>
      <c r="R15" s="813">
        <f t="shared" si="0"/>
        <v>500</v>
      </c>
      <c r="S15" s="340"/>
      <c r="T15" s="340"/>
      <c r="U15" s="340"/>
      <c r="V15" s="340"/>
    </row>
    <row r="16" spans="1:22" s="339" customFormat="1" ht="16.5" customHeight="1" x14ac:dyDescent="0.2">
      <c r="A16" s="843"/>
      <c r="B16" s="918" t="s">
        <v>493</v>
      </c>
      <c r="C16" s="812" t="s">
        <v>1093</v>
      </c>
      <c r="D16" s="814"/>
      <c r="E16" s="815"/>
      <c r="F16" s="816"/>
      <c r="G16" s="815"/>
      <c r="H16" s="817"/>
      <c r="I16" s="806"/>
      <c r="J16" s="817"/>
      <c r="K16" s="818"/>
      <c r="L16" s="816"/>
      <c r="M16" s="819"/>
      <c r="N16" s="815"/>
      <c r="O16" s="815"/>
      <c r="P16" s="816"/>
      <c r="Q16" s="820">
        <v>600</v>
      </c>
      <c r="R16" s="813">
        <f t="shared" ref="R16:R27" si="1">SUM(D16:Q16)</f>
        <v>600</v>
      </c>
      <c r="S16" s="340"/>
      <c r="T16" s="340"/>
      <c r="U16" s="340"/>
      <c r="V16" s="340"/>
    </row>
    <row r="17" spans="1:22" s="339" customFormat="1" ht="16.5" customHeight="1" x14ac:dyDescent="0.2">
      <c r="A17" s="843"/>
      <c r="B17" s="918" t="s">
        <v>494</v>
      </c>
      <c r="C17" s="812" t="s">
        <v>1095</v>
      </c>
      <c r="D17" s="814"/>
      <c r="E17" s="815"/>
      <c r="F17" s="816"/>
      <c r="G17" s="815"/>
      <c r="H17" s="817"/>
      <c r="I17" s="806"/>
      <c r="J17" s="817"/>
      <c r="K17" s="818"/>
      <c r="L17" s="816"/>
      <c r="M17" s="819"/>
      <c r="N17" s="815"/>
      <c r="O17" s="815"/>
      <c r="P17" s="816"/>
      <c r="Q17" s="820">
        <v>800</v>
      </c>
      <c r="R17" s="813">
        <f t="shared" si="1"/>
        <v>800</v>
      </c>
      <c r="S17" s="340"/>
      <c r="T17" s="340"/>
      <c r="U17" s="340"/>
      <c r="V17" s="340"/>
    </row>
    <row r="18" spans="1:22" s="339" customFormat="1" ht="15.75" customHeight="1" x14ac:dyDescent="0.2">
      <c r="A18" s="843"/>
      <c r="B18" s="918" t="s">
        <v>495</v>
      </c>
      <c r="C18" s="812" t="s">
        <v>1096</v>
      </c>
      <c r="D18" s="814"/>
      <c r="E18" s="815"/>
      <c r="F18" s="816"/>
      <c r="G18" s="815"/>
      <c r="H18" s="817"/>
      <c r="I18" s="806"/>
      <c r="J18" s="817"/>
      <c r="K18" s="818"/>
      <c r="L18" s="816"/>
      <c r="M18" s="819"/>
      <c r="N18" s="815"/>
      <c r="O18" s="815"/>
      <c r="P18" s="816"/>
      <c r="Q18" s="820">
        <v>1000</v>
      </c>
      <c r="R18" s="813">
        <f t="shared" si="1"/>
        <v>1000</v>
      </c>
      <c r="S18" s="340"/>
      <c r="T18" s="340"/>
      <c r="U18" s="340"/>
      <c r="V18" s="340"/>
    </row>
    <row r="19" spans="1:22" s="339" customFormat="1" ht="13.5" customHeight="1" x14ac:dyDescent="0.2">
      <c r="A19" s="843"/>
      <c r="B19" s="918" t="s">
        <v>531</v>
      </c>
      <c r="C19" s="812" t="s">
        <v>1097</v>
      </c>
      <c r="D19" s="814"/>
      <c r="E19" s="815"/>
      <c r="F19" s="816"/>
      <c r="G19" s="815"/>
      <c r="H19" s="817"/>
      <c r="I19" s="806"/>
      <c r="J19" s="817"/>
      <c r="K19" s="818"/>
      <c r="L19" s="816"/>
      <c r="M19" s="819"/>
      <c r="N19" s="815"/>
      <c r="O19" s="815"/>
      <c r="P19" s="816"/>
      <c r="Q19" s="820">
        <v>600</v>
      </c>
      <c r="R19" s="813">
        <f t="shared" si="1"/>
        <v>600</v>
      </c>
      <c r="S19" s="340"/>
      <c r="T19" s="340"/>
      <c r="U19" s="340"/>
      <c r="V19" s="340"/>
    </row>
    <row r="20" spans="1:22" s="339" customFormat="1" ht="13.5" customHeight="1" x14ac:dyDescent="0.2">
      <c r="A20" s="843"/>
      <c r="B20" s="918" t="s">
        <v>532</v>
      </c>
      <c r="C20" s="812" t="s">
        <v>1098</v>
      </c>
      <c r="D20" s="814"/>
      <c r="E20" s="815"/>
      <c r="F20" s="816"/>
      <c r="G20" s="815"/>
      <c r="H20" s="817"/>
      <c r="I20" s="806"/>
      <c r="J20" s="817"/>
      <c r="K20" s="818"/>
      <c r="L20" s="816"/>
      <c r="M20" s="819"/>
      <c r="N20" s="815"/>
      <c r="O20" s="815"/>
      <c r="P20" s="821">
        <v>2300</v>
      </c>
      <c r="Q20" s="820"/>
      <c r="R20" s="813">
        <f t="shared" si="1"/>
        <v>2300</v>
      </c>
      <c r="S20" s="340"/>
      <c r="T20" s="340"/>
      <c r="U20" s="340"/>
      <c r="V20" s="340"/>
    </row>
    <row r="21" spans="1:22" s="339" customFormat="1" ht="12" customHeight="1" x14ac:dyDescent="0.2">
      <c r="A21" s="843"/>
      <c r="B21" s="918" t="s">
        <v>533</v>
      </c>
      <c r="C21" s="812" t="s">
        <v>1338</v>
      </c>
      <c r="D21" s="814"/>
      <c r="E21" s="815"/>
      <c r="F21" s="816"/>
      <c r="G21" s="815"/>
      <c r="H21" s="817"/>
      <c r="I21" s="806"/>
      <c r="J21" s="817"/>
      <c r="K21" s="818"/>
      <c r="L21" s="816"/>
      <c r="M21" s="819"/>
      <c r="N21" s="815"/>
      <c r="O21" s="815"/>
      <c r="P21" s="816"/>
      <c r="Q21" s="820">
        <f>'ellátottak önk.'!F22</f>
        <v>1100</v>
      </c>
      <c r="R21" s="813">
        <f t="shared" si="1"/>
        <v>1100</v>
      </c>
      <c r="S21" s="340"/>
      <c r="T21" s="340"/>
      <c r="U21" s="340"/>
      <c r="V21" s="340"/>
    </row>
    <row r="22" spans="1:22" s="339" customFormat="1" ht="15" customHeight="1" x14ac:dyDescent="0.2">
      <c r="A22" s="843"/>
      <c r="B22" s="918" t="s">
        <v>534</v>
      </c>
      <c r="C22" s="812" t="s">
        <v>1339</v>
      </c>
      <c r="D22" s="814"/>
      <c r="E22" s="815"/>
      <c r="F22" s="816"/>
      <c r="G22" s="815"/>
      <c r="H22" s="817"/>
      <c r="I22" s="806"/>
      <c r="J22" s="817"/>
      <c r="K22" s="818"/>
      <c r="L22" s="816"/>
      <c r="M22" s="819"/>
      <c r="N22" s="815"/>
      <c r="O22" s="815"/>
      <c r="P22" s="816"/>
      <c r="Q22" s="820">
        <f>'ellátottak önk.'!F21</f>
        <v>1800</v>
      </c>
      <c r="R22" s="813">
        <f t="shared" si="1"/>
        <v>1800</v>
      </c>
      <c r="S22" s="340"/>
      <c r="T22" s="340"/>
      <c r="U22" s="340"/>
      <c r="V22" s="340"/>
    </row>
    <row r="23" spans="1:22" s="339" customFormat="1" ht="13.5" customHeight="1" x14ac:dyDescent="0.2">
      <c r="A23" s="843"/>
      <c r="B23" s="918" t="s">
        <v>535</v>
      </c>
      <c r="C23" s="812" t="s">
        <v>1099</v>
      </c>
      <c r="D23" s="814"/>
      <c r="E23" s="815"/>
      <c r="F23" s="816"/>
      <c r="G23" s="815"/>
      <c r="H23" s="817">
        <v>111</v>
      </c>
      <c r="I23" s="806"/>
      <c r="J23" s="817"/>
      <c r="K23" s="818"/>
      <c r="L23" s="816"/>
      <c r="M23" s="819"/>
      <c r="N23" s="815"/>
      <c r="O23" s="815"/>
      <c r="P23" s="821">
        <v>389</v>
      </c>
      <c r="Q23" s="820">
        <f>'ellátottak önk.'!F20</f>
        <v>0</v>
      </c>
      <c r="R23" s="813">
        <f t="shared" si="1"/>
        <v>500</v>
      </c>
      <c r="S23" s="340"/>
      <c r="T23" s="340"/>
      <c r="U23" s="340"/>
      <c r="V23" s="340"/>
    </row>
    <row r="24" spans="1:22" s="339" customFormat="1" ht="13.5" customHeight="1" x14ac:dyDescent="0.2">
      <c r="A24" s="843"/>
      <c r="B24" s="918" t="s">
        <v>536</v>
      </c>
      <c r="C24" s="812" t="s">
        <v>1328</v>
      </c>
      <c r="D24" s="814"/>
      <c r="E24" s="815"/>
      <c r="F24" s="816"/>
      <c r="G24" s="815"/>
      <c r="H24" s="817"/>
      <c r="I24" s="806"/>
      <c r="J24" s="817"/>
      <c r="K24" s="818"/>
      <c r="L24" s="816"/>
      <c r="M24" s="819"/>
      <c r="N24" s="815"/>
      <c r="O24" s="815"/>
      <c r="P24" s="821"/>
      <c r="Q24" s="820">
        <f>'ellátottak önk.'!F23</f>
        <v>350</v>
      </c>
      <c r="R24" s="813">
        <f t="shared" si="1"/>
        <v>350</v>
      </c>
      <c r="S24" s="340"/>
      <c r="T24" s="340"/>
      <c r="U24" s="340"/>
      <c r="V24" s="340"/>
    </row>
    <row r="25" spans="1:22" s="339" customFormat="1" ht="13.5" customHeight="1" x14ac:dyDescent="0.2">
      <c r="A25" s="843"/>
      <c r="B25" s="918" t="s">
        <v>537</v>
      </c>
      <c r="C25" s="812" t="s">
        <v>990</v>
      </c>
      <c r="D25" s="814"/>
      <c r="E25" s="815"/>
      <c r="F25" s="816"/>
      <c r="G25" s="815"/>
      <c r="H25" s="817"/>
      <c r="I25" s="806"/>
      <c r="J25" s="817"/>
      <c r="K25" s="818"/>
      <c r="L25" s="816"/>
      <c r="M25" s="819"/>
      <c r="N25" s="815"/>
      <c r="O25" s="815"/>
      <c r="P25" s="816"/>
      <c r="Q25" s="820">
        <f>'ellátottak önk.'!F27</f>
        <v>4200</v>
      </c>
      <c r="R25" s="813">
        <f t="shared" si="1"/>
        <v>4200</v>
      </c>
      <c r="S25" s="340"/>
      <c r="T25" s="340"/>
      <c r="U25" s="340"/>
      <c r="V25" s="340"/>
    </row>
    <row r="26" spans="1:22" s="339" customFormat="1" ht="12.75" customHeight="1" x14ac:dyDescent="0.2">
      <c r="A26" s="843"/>
      <c r="B26" s="918" t="s">
        <v>538</v>
      </c>
      <c r="C26" s="812" t="s">
        <v>1329</v>
      </c>
      <c r="D26" s="814"/>
      <c r="E26" s="815"/>
      <c r="F26" s="816"/>
      <c r="G26" s="815"/>
      <c r="H26" s="817"/>
      <c r="I26" s="806">
        <v>400</v>
      </c>
      <c r="J26" s="817"/>
      <c r="K26" s="818"/>
      <c r="L26" s="816"/>
      <c r="M26" s="819"/>
      <c r="N26" s="815"/>
      <c r="O26" s="815"/>
      <c r="P26" s="821"/>
      <c r="Q26" s="820"/>
      <c r="R26" s="813">
        <f t="shared" si="1"/>
        <v>400</v>
      </c>
      <c r="S26" s="739"/>
      <c r="T26" s="340"/>
      <c r="U26" s="340"/>
      <c r="V26" s="340"/>
    </row>
    <row r="27" spans="1:22" s="339" customFormat="1" ht="14.25" customHeight="1" x14ac:dyDescent="0.2">
      <c r="A27" s="843"/>
      <c r="B27" s="918" t="s">
        <v>540</v>
      </c>
      <c r="C27" s="812" t="s">
        <v>1336</v>
      </c>
      <c r="D27" s="814"/>
      <c r="E27" s="815"/>
      <c r="F27" s="816"/>
      <c r="G27" s="815"/>
      <c r="H27" s="817"/>
      <c r="I27" s="806">
        <v>2268</v>
      </c>
      <c r="J27" s="817"/>
      <c r="K27" s="818"/>
      <c r="L27" s="816"/>
      <c r="M27" s="819"/>
      <c r="N27" s="815"/>
      <c r="O27" s="815"/>
      <c r="P27" s="821">
        <f>'ellátottak önk.'!E25</f>
        <v>0</v>
      </c>
      <c r="Q27" s="820">
        <v>0</v>
      </c>
      <c r="R27" s="813">
        <f t="shared" si="1"/>
        <v>2268</v>
      </c>
      <c r="S27" s="739"/>
      <c r="T27" s="340"/>
      <c r="U27" s="340"/>
      <c r="V27" s="340"/>
    </row>
    <row r="28" spans="1:22" s="339" customFormat="1" ht="15" customHeight="1" x14ac:dyDescent="0.2">
      <c r="A28" s="843"/>
      <c r="B28" s="918" t="s">
        <v>541</v>
      </c>
      <c r="C28" s="81" t="s">
        <v>1340</v>
      </c>
      <c r="D28" s="497"/>
      <c r="E28" s="283"/>
      <c r="F28" s="495"/>
      <c r="G28" s="283"/>
      <c r="H28" s="495"/>
      <c r="I28" s="283">
        <v>20</v>
      </c>
      <c r="J28" s="495"/>
      <c r="K28" s="822"/>
      <c r="L28" s="495"/>
      <c r="M28" s="466"/>
      <c r="N28" s="283"/>
      <c r="O28" s="283"/>
      <c r="P28" s="495"/>
      <c r="Q28" s="283"/>
      <c r="R28" s="823">
        <f t="shared" si="0"/>
        <v>20</v>
      </c>
      <c r="S28" s="116"/>
      <c r="T28" s="340"/>
      <c r="U28" s="340"/>
      <c r="V28" s="340"/>
    </row>
    <row r="29" spans="1:22" s="339" customFormat="1" ht="15" customHeight="1" x14ac:dyDescent="0.2">
      <c r="A29" s="843"/>
      <c r="B29" s="918" t="s">
        <v>542</v>
      </c>
      <c r="C29" s="81" t="s">
        <v>1341</v>
      </c>
      <c r="D29" s="497"/>
      <c r="E29" s="283"/>
      <c r="F29" s="495"/>
      <c r="G29" s="283"/>
      <c r="H29" s="495"/>
      <c r="I29" s="283">
        <v>120</v>
      </c>
      <c r="J29" s="495"/>
      <c r="K29" s="822"/>
      <c r="L29" s="495"/>
      <c r="M29" s="466"/>
      <c r="N29" s="283"/>
      <c r="O29" s="283"/>
      <c r="P29" s="495"/>
      <c r="Q29" s="283"/>
      <c r="R29" s="823">
        <f t="shared" si="0"/>
        <v>120</v>
      </c>
      <c r="S29" s="340"/>
      <c r="T29" s="340"/>
      <c r="U29" s="340"/>
      <c r="V29" s="340"/>
    </row>
    <row r="30" spans="1:22" s="339" customFormat="1" ht="15" customHeight="1" x14ac:dyDescent="0.2">
      <c r="A30" s="843"/>
      <c r="B30" s="918" t="s">
        <v>543</v>
      </c>
      <c r="C30" s="81" t="s">
        <v>991</v>
      </c>
      <c r="D30" s="497"/>
      <c r="E30" s="283"/>
      <c r="F30" s="495"/>
      <c r="G30" s="283"/>
      <c r="H30" s="495">
        <v>6431</v>
      </c>
      <c r="I30" s="283">
        <v>7330</v>
      </c>
      <c r="J30" s="495"/>
      <c r="K30" s="822"/>
      <c r="L30" s="495"/>
      <c r="M30" s="466"/>
      <c r="N30" s="283"/>
      <c r="O30" s="283"/>
      <c r="P30" s="495"/>
      <c r="Q30" s="283"/>
      <c r="R30" s="823">
        <f>SUM(D30:Q30)</f>
        <v>13761</v>
      </c>
      <c r="S30" s="340"/>
      <c r="T30" s="340"/>
      <c r="U30" s="340"/>
      <c r="V30" s="340"/>
    </row>
    <row r="31" spans="1:22" s="339" customFormat="1" ht="15" customHeight="1" x14ac:dyDescent="0.2">
      <c r="A31" s="843"/>
      <c r="B31" s="918" t="s">
        <v>544</v>
      </c>
      <c r="C31" s="81" t="s">
        <v>1342</v>
      </c>
      <c r="D31" s="497"/>
      <c r="E31" s="283"/>
      <c r="F31" s="495"/>
      <c r="G31" s="283"/>
      <c r="H31" s="495">
        <v>288</v>
      </c>
      <c r="I31" s="283">
        <v>13763</v>
      </c>
      <c r="J31" s="495"/>
      <c r="K31" s="822"/>
      <c r="L31" s="495"/>
      <c r="M31" s="466"/>
      <c r="N31" s="283"/>
      <c r="O31" s="283"/>
      <c r="P31" s="495"/>
      <c r="Q31" s="283"/>
      <c r="R31" s="823">
        <f t="shared" si="0"/>
        <v>14051</v>
      </c>
      <c r="S31" s="340"/>
      <c r="T31" s="340"/>
      <c r="U31" s="340"/>
      <c r="V31" s="340"/>
    </row>
    <row r="32" spans="1:22" s="339" customFormat="1" ht="15" customHeight="1" x14ac:dyDescent="0.2">
      <c r="A32" s="843"/>
      <c r="B32" s="918" t="s">
        <v>545</v>
      </c>
      <c r="C32" s="81" t="s">
        <v>1343</v>
      </c>
      <c r="D32" s="497">
        <v>38037</v>
      </c>
      <c r="E32" s="283"/>
      <c r="F32" s="495">
        <v>11893</v>
      </c>
      <c r="G32" s="283"/>
      <c r="H32" s="495">
        <v>1220</v>
      </c>
      <c r="I32" s="283"/>
      <c r="J32" s="495"/>
      <c r="K32" s="822"/>
      <c r="L32" s="495"/>
      <c r="M32" s="466"/>
      <c r="N32" s="283"/>
      <c r="O32" s="283"/>
      <c r="P32" s="495"/>
      <c r="Q32" s="283"/>
      <c r="R32" s="823">
        <f>SUM(D32:Q32)</f>
        <v>51150</v>
      </c>
      <c r="S32" s="116"/>
      <c r="T32" s="340"/>
      <c r="U32" s="340"/>
      <c r="V32" s="340"/>
    </row>
    <row r="33" spans="1:22" s="339" customFormat="1" ht="15" customHeight="1" x14ac:dyDescent="0.2">
      <c r="A33" s="843"/>
      <c r="B33" s="918" t="s">
        <v>546</v>
      </c>
      <c r="C33" s="81" t="s">
        <v>1344</v>
      </c>
      <c r="D33" s="497">
        <v>0</v>
      </c>
      <c r="E33" s="283"/>
      <c r="F33" s="495">
        <v>0</v>
      </c>
      <c r="G33" s="283"/>
      <c r="H33" s="495">
        <v>3361</v>
      </c>
      <c r="I33" s="283"/>
      <c r="J33" s="495"/>
      <c r="K33" s="822"/>
      <c r="L33" s="495"/>
      <c r="M33" s="466"/>
      <c r="N33" s="283"/>
      <c r="O33" s="283"/>
      <c r="P33" s="495"/>
      <c r="Q33" s="283"/>
      <c r="R33" s="823">
        <f t="shared" si="0"/>
        <v>3361</v>
      </c>
      <c r="S33" s="340"/>
      <c r="T33" s="530"/>
      <c r="U33" s="340"/>
      <c r="V33" s="340"/>
    </row>
    <row r="34" spans="1:22" s="577" customFormat="1" ht="15" customHeight="1" x14ac:dyDescent="0.2">
      <c r="A34" s="844"/>
      <c r="B34" s="918" t="s">
        <v>547</v>
      </c>
      <c r="C34" s="824" t="s">
        <v>1345</v>
      </c>
      <c r="D34" s="825"/>
      <c r="E34" s="498">
        <f>2200+1000</f>
        <v>3200</v>
      </c>
      <c r="F34" s="496"/>
      <c r="G34" s="498">
        <f>600+200</f>
        <v>800</v>
      </c>
      <c r="H34" s="496"/>
      <c r="I34" s="498">
        <f>9272+2000</f>
        <v>11272</v>
      </c>
      <c r="J34" s="496"/>
      <c r="K34" s="826"/>
      <c r="L34" s="496"/>
      <c r="M34" s="827"/>
      <c r="N34" s="498"/>
      <c r="O34" s="498"/>
      <c r="P34" s="496"/>
      <c r="Q34" s="498"/>
      <c r="R34" s="828">
        <f t="shared" si="0"/>
        <v>15272</v>
      </c>
      <c r="S34" s="575"/>
      <c r="T34" s="576"/>
      <c r="U34" s="576"/>
      <c r="V34" s="576"/>
    </row>
    <row r="35" spans="1:22" s="339" customFormat="1" ht="15" customHeight="1" x14ac:dyDescent="0.2">
      <c r="A35" s="843"/>
      <c r="B35" s="918" t="s">
        <v>566</v>
      </c>
      <c r="C35" s="81" t="s">
        <v>1346</v>
      </c>
      <c r="D35" s="497"/>
      <c r="E35" s="466"/>
      <c r="F35" s="283"/>
      <c r="G35" s="283"/>
      <c r="H35" s="495">
        <f>20530-5939</f>
        <v>14591</v>
      </c>
      <c r="I35" s="283"/>
      <c r="J35" s="495"/>
      <c r="K35" s="822"/>
      <c r="L35" s="495"/>
      <c r="M35" s="466"/>
      <c r="N35" s="283"/>
      <c r="O35" s="283"/>
      <c r="P35" s="495"/>
      <c r="Q35" s="283"/>
      <c r="R35" s="823">
        <f t="shared" ref="R35:R41" si="2">SUM(D35:Q35)</f>
        <v>14591</v>
      </c>
      <c r="S35" s="554"/>
      <c r="T35" s="340"/>
      <c r="U35" s="340"/>
      <c r="V35" s="340"/>
    </row>
    <row r="36" spans="1:22" s="339" customFormat="1" ht="21.75" customHeight="1" x14ac:dyDescent="0.2">
      <c r="A36" s="843"/>
      <c r="B36" s="918" t="s">
        <v>567</v>
      </c>
      <c r="C36" s="829" t="s">
        <v>1330</v>
      </c>
      <c r="D36" s="497"/>
      <c r="E36" s="283"/>
      <c r="F36" s="495"/>
      <c r="G36" s="283"/>
      <c r="H36" s="830">
        <v>12738</v>
      </c>
      <c r="I36" s="806"/>
      <c r="J36" s="830"/>
      <c r="K36" s="831"/>
      <c r="L36" s="830"/>
      <c r="M36" s="807"/>
      <c r="N36" s="806"/>
      <c r="O36" s="806"/>
      <c r="P36" s="830"/>
      <c r="Q36" s="806"/>
      <c r="R36" s="813">
        <f t="shared" si="2"/>
        <v>12738</v>
      </c>
      <c r="S36" s="554"/>
      <c r="T36" s="340"/>
      <c r="U36" s="340"/>
      <c r="V36" s="340"/>
    </row>
    <row r="37" spans="1:22" s="339" customFormat="1" ht="23.25" customHeight="1" x14ac:dyDescent="0.2">
      <c r="A37" s="843"/>
      <c r="B37" s="918" t="s">
        <v>568</v>
      </c>
      <c r="C37" s="829" t="s">
        <v>1292</v>
      </c>
      <c r="D37" s="497"/>
      <c r="E37" s="283"/>
      <c r="F37" s="495"/>
      <c r="G37" s="283"/>
      <c r="H37" s="830"/>
      <c r="I37" s="806"/>
      <c r="J37" s="830"/>
      <c r="K37" s="831">
        <v>1778</v>
      </c>
      <c r="L37" s="830"/>
      <c r="M37" s="807"/>
      <c r="N37" s="806"/>
      <c r="O37" s="806"/>
      <c r="P37" s="830"/>
      <c r="Q37" s="806"/>
      <c r="R37" s="813">
        <f t="shared" si="2"/>
        <v>1778</v>
      </c>
      <c r="S37" s="554"/>
      <c r="T37" s="340"/>
      <c r="U37" s="340"/>
      <c r="V37" s="340"/>
    </row>
    <row r="38" spans="1:22" s="339" customFormat="1" ht="15" customHeight="1" x14ac:dyDescent="0.2">
      <c r="A38" s="843"/>
      <c r="B38" s="918" t="s">
        <v>569</v>
      </c>
      <c r="C38" s="81" t="s">
        <v>1332</v>
      </c>
      <c r="D38" s="497"/>
      <c r="E38" s="283"/>
      <c r="F38" s="495"/>
      <c r="G38" s="283"/>
      <c r="H38" s="495">
        <v>6833</v>
      </c>
      <c r="I38" s="283"/>
      <c r="J38" s="495"/>
      <c r="K38" s="822"/>
      <c r="L38" s="495"/>
      <c r="M38" s="466"/>
      <c r="N38" s="283"/>
      <c r="O38" s="283"/>
      <c r="P38" s="495"/>
      <c r="Q38" s="283"/>
      <c r="R38" s="823">
        <f t="shared" si="2"/>
        <v>6833</v>
      </c>
      <c r="S38" s="554"/>
      <c r="T38" s="340"/>
      <c r="U38" s="340"/>
      <c r="V38" s="340"/>
    </row>
    <row r="39" spans="1:22" s="339" customFormat="1" ht="15" customHeight="1" x14ac:dyDescent="0.2">
      <c r="A39" s="843"/>
      <c r="B39" s="918" t="s">
        <v>570</v>
      </c>
      <c r="C39" s="81" t="s">
        <v>1333</v>
      </c>
      <c r="D39" s="497"/>
      <c r="E39" s="283"/>
      <c r="F39" s="495"/>
      <c r="G39" s="283"/>
      <c r="H39" s="495">
        <v>60223</v>
      </c>
      <c r="I39" s="283">
        <v>4000</v>
      </c>
      <c r="J39" s="495"/>
      <c r="K39" s="822"/>
      <c r="L39" s="495"/>
      <c r="M39" s="466"/>
      <c r="N39" s="283"/>
      <c r="O39" s="283"/>
      <c r="P39" s="495"/>
      <c r="Q39" s="283"/>
      <c r="R39" s="823">
        <f t="shared" si="2"/>
        <v>64223</v>
      </c>
      <c r="S39" s="554"/>
      <c r="T39" s="340"/>
      <c r="U39" s="340"/>
      <c r="V39" s="340"/>
    </row>
    <row r="40" spans="1:22" s="339" customFormat="1" ht="24" customHeight="1" x14ac:dyDescent="0.2">
      <c r="A40" s="843"/>
      <c r="B40" s="918" t="s">
        <v>571</v>
      </c>
      <c r="C40" s="812" t="s">
        <v>1056</v>
      </c>
      <c r="D40" s="974"/>
      <c r="E40" s="975"/>
      <c r="F40" s="976"/>
      <c r="G40" s="975"/>
      <c r="H40" s="976">
        <v>5000</v>
      </c>
      <c r="I40" s="975"/>
      <c r="J40" s="976"/>
      <c r="K40" s="977"/>
      <c r="L40" s="976"/>
      <c r="M40" s="978"/>
      <c r="N40" s="975"/>
      <c r="O40" s="975"/>
      <c r="P40" s="976"/>
      <c r="Q40" s="975"/>
      <c r="R40" s="1031">
        <f t="shared" si="2"/>
        <v>5000</v>
      </c>
      <c r="S40" s="554"/>
      <c r="T40" s="340"/>
      <c r="U40" s="340"/>
      <c r="V40" s="340"/>
    </row>
    <row r="41" spans="1:22" s="339" customFormat="1" ht="24" customHeight="1" x14ac:dyDescent="0.2">
      <c r="A41" s="843"/>
      <c r="B41" s="918" t="s">
        <v>572</v>
      </c>
      <c r="C41" s="829" t="s">
        <v>1145</v>
      </c>
      <c r="D41" s="837"/>
      <c r="E41" s="806"/>
      <c r="F41" s="830"/>
      <c r="G41" s="806"/>
      <c r="H41" s="830">
        <v>5000</v>
      </c>
      <c r="I41" s="806"/>
      <c r="J41" s="830"/>
      <c r="K41" s="831"/>
      <c r="L41" s="830"/>
      <c r="M41" s="807"/>
      <c r="N41" s="806"/>
      <c r="O41" s="806"/>
      <c r="P41" s="830"/>
      <c r="Q41" s="806"/>
      <c r="R41" s="813">
        <f t="shared" si="2"/>
        <v>5000</v>
      </c>
      <c r="S41" s="554"/>
      <c r="T41" s="340"/>
      <c r="U41" s="340"/>
      <c r="V41" s="340"/>
    </row>
    <row r="42" spans="1:22" s="339" customFormat="1" ht="15" customHeight="1" x14ac:dyDescent="0.2">
      <c r="A42" s="843"/>
      <c r="B42" s="918" t="s">
        <v>573</v>
      </c>
      <c r="C42" s="81" t="s">
        <v>986</v>
      </c>
      <c r="D42" s="497"/>
      <c r="E42" s="283"/>
      <c r="F42" s="495"/>
      <c r="G42" s="283"/>
      <c r="H42" s="495"/>
      <c r="I42" s="283">
        <v>14684</v>
      </c>
      <c r="J42" s="495"/>
      <c r="K42" s="822"/>
      <c r="L42" s="495"/>
      <c r="M42" s="466"/>
      <c r="N42" s="283"/>
      <c r="O42" s="283"/>
      <c r="P42" s="495"/>
      <c r="Q42" s="283"/>
      <c r="R42" s="823">
        <f t="shared" si="0"/>
        <v>14684</v>
      </c>
      <c r="S42" s="554"/>
      <c r="T42" s="340"/>
      <c r="U42" s="340"/>
      <c r="V42" s="340"/>
    </row>
    <row r="43" spans="1:22" s="339" customFormat="1" ht="17.25" customHeight="1" x14ac:dyDescent="0.2">
      <c r="A43" s="843"/>
      <c r="B43" s="918" t="s">
        <v>574</v>
      </c>
      <c r="C43" s="829" t="s">
        <v>989</v>
      </c>
      <c r="D43" s="497"/>
      <c r="E43" s="806">
        <v>2048</v>
      </c>
      <c r="F43" s="830"/>
      <c r="G43" s="806">
        <v>432</v>
      </c>
      <c r="H43" s="830">
        <v>350</v>
      </c>
      <c r="I43" s="806"/>
      <c r="J43" s="830"/>
      <c r="K43" s="831"/>
      <c r="L43" s="830"/>
      <c r="M43" s="807"/>
      <c r="N43" s="806"/>
      <c r="O43" s="806"/>
      <c r="P43" s="830"/>
      <c r="Q43" s="806"/>
      <c r="R43" s="813">
        <f t="shared" ref="R43:R47" si="3">SUM(D43:Q43)</f>
        <v>2830</v>
      </c>
      <c r="S43" s="554"/>
      <c r="T43" s="347"/>
      <c r="U43" s="340"/>
      <c r="V43" s="340"/>
    </row>
    <row r="44" spans="1:22" s="339" customFormat="1" ht="15" customHeight="1" x14ac:dyDescent="0.2">
      <c r="A44" s="843"/>
      <c r="B44" s="918" t="s">
        <v>626</v>
      </c>
      <c r="C44" s="81" t="s">
        <v>984</v>
      </c>
      <c r="D44" s="497"/>
      <c r="E44" s="283">
        <v>5000</v>
      </c>
      <c r="F44" s="495"/>
      <c r="G44" s="283">
        <v>2500</v>
      </c>
      <c r="H44" s="495"/>
      <c r="I44" s="283">
        <v>15716</v>
      </c>
      <c r="J44" s="495"/>
      <c r="K44" s="822"/>
      <c r="L44" s="495"/>
      <c r="M44" s="466"/>
      <c r="N44" s="283"/>
      <c r="O44" s="283"/>
      <c r="P44" s="495"/>
      <c r="Q44" s="283"/>
      <c r="R44" s="823">
        <f t="shared" si="3"/>
        <v>23216</v>
      </c>
      <c r="S44" s="554"/>
      <c r="T44" s="340"/>
      <c r="U44" s="340"/>
      <c r="V44" s="340"/>
    </row>
    <row r="45" spans="1:22" s="339" customFormat="1" ht="15" customHeight="1" x14ac:dyDescent="0.2">
      <c r="A45" s="843"/>
      <c r="B45" s="918" t="s">
        <v>627</v>
      </c>
      <c r="C45" s="81" t="s">
        <v>985</v>
      </c>
      <c r="D45" s="497"/>
      <c r="E45" s="283"/>
      <c r="F45" s="495"/>
      <c r="G45" s="283"/>
      <c r="H45" s="495"/>
      <c r="I45" s="283">
        <v>0</v>
      </c>
      <c r="J45" s="495"/>
      <c r="K45" s="822"/>
      <c r="L45" s="495"/>
      <c r="M45" s="466"/>
      <c r="N45" s="283"/>
      <c r="O45" s="283"/>
      <c r="P45" s="495"/>
      <c r="Q45" s="283"/>
      <c r="R45" s="823">
        <f t="shared" si="3"/>
        <v>0</v>
      </c>
      <c r="S45" s="554"/>
      <c r="T45" s="340"/>
      <c r="U45" s="340"/>
      <c r="V45" s="340"/>
    </row>
    <row r="46" spans="1:22" s="339" customFormat="1" ht="15" customHeight="1" x14ac:dyDescent="0.2">
      <c r="A46" s="843"/>
      <c r="B46" s="918" t="s">
        <v>628</v>
      </c>
      <c r="C46" s="81" t="s">
        <v>1054</v>
      </c>
      <c r="D46" s="497"/>
      <c r="E46" s="283"/>
      <c r="F46" s="495"/>
      <c r="G46" s="283"/>
      <c r="H46" s="495">
        <v>634</v>
      </c>
      <c r="I46" s="283">
        <v>65460</v>
      </c>
      <c r="J46" s="495"/>
      <c r="K46" s="822"/>
      <c r="L46" s="495"/>
      <c r="M46" s="466"/>
      <c r="N46" s="283"/>
      <c r="O46" s="283"/>
      <c r="P46" s="495"/>
      <c r="Q46" s="283"/>
      <c r="R46" s="823">
        <f t="shared" si="3"/>
        <v>66094</v>
      </c>
      <c r="S46" s="554"/>
      <c r="T46" s="347"/>
      <c r="U46" s="340"/>
      <c r="V46" s="340"/>
    </row>
    <row r="47" spans="1:22" s="339" customFormat="1" ht="15" customHeight="1" x14ac:dyDescent="0.2">
      <c r="A47" s="843"/>
      <c r="B47" s="918" t="s">
        <v>629</v>
      </c>
      <c r="C47" s="812" t="s">
        <v>987</v>
      </c>
      <c r="D47" s="832">
        <v>11296</v>
      </c>
      <c r="E47" s="833">
        <v>2245</v>
      </c>
      <c r="F47" s="817">
        <v>2925</v>
      </c>
      <c r="G47" s="283">
        <v>466</v>
      </c>
      <c r="H47" s="817">
        <f>15897+548</f>
        <v>16445</v>
      </c>
      <c r="I47" s="833"/>
      <c r="J47" s="817"/>
      <c r="K47" s="818"/>
      <c r="L47" s="816"/>
      <c r="M47" s="819"/>
      <c r="N47" s="815"/>
      <c r="O47" s="815"/>
      <c r="P47" s="816"/>
      <c r="Q47" s="815"/>
      <c r="R47" s="823">
        <f t="shared" si="3"/>
        <v>33377</v>
      </c>
      <c r="S47" s="554"/>
      <c r="T47" s="340"/>
      <c r="U47" s="340"/>
      <c r="V47" s="340"/>
    </row>
    <row r="48" spans="1:22" s="339" customFormat="1" ht="15" customHeight="1" x14ac:dyDescent="0.2">
      <c r="A48" s="843"/>
      <c r="B48" s="918" t="s">
        <v>116</v>
      </c>
      <c r="C48" s="81" t="s">
        <v>1347</v>
      </c>
      <c r="D48" s="497"/>
      <c r="E48" s="283">
        <v>17415</v>
      </c>
      <c r="F48" s="495"/>
      <c r="G48" s="283">
        <v>7538</v>
      </c>
      <c r="H48" s="495"/>
      <c r="I48" s="283">
        <v>3829</v>
      </c>
      <c r="J48" s="495"/>
      <c r="K48" s="822"/>
      <c r="L48" s="495"/>
      <c r="M48" s="466"/>
      <c r="N48" s="283"/>
      <c r="O48" s="283"/>
      <c r="P48" s="495"/>
      <c r="Q48" s="283"/>
      <c r="R48" s="823">
        <f t="shared" si="0"/>
        <v>28782</v>
      </c>
      <c r="S48" s="554"/>
      <c r="T48" s="347"/>
      <c r="U48" s="340"/>
      <c r="V48" s="340"/>
    </row>
    <row r="49" spans="1:22" s="339" customFormat="1" ht="15" customHeight="1" x14ac:dyDescent="0.2">
      <c r="A49" s="843"/>
      <c r="B49" s="918" t="s">
        <v>654</v>
      </c>
      <c r="C49" s="81" t="s">
        <v>1348</v>
      </c>
      <c r="D49" s="497"/>
      <c r="E49" s="466"/>
      <c r="F49" s="283"/>
      <c r="G49" s="283"/>
      <c r="H49" s="495"/>
      <c r="I49" s="283"/>
      <c r="J49" s="495">
        <f>mc.pe.átad!D22</f>
        <v>5850</v>
      </c>
      <c r="K49" s="466">
        <v>57063</v>
      </c>
      <c r="L49" s="295">
        <f>mc.pe.átad!D61</f>
        <v>115412</v>
      </c>
      <c r="M49" s="466">
        <f>mc.pe.átad!E61-M53</f>
        <v>159932</v>
      </c>
      <c r="N49" s="283"/>
      <c r="O49" s="283"/>
      <c r="P49" s="495"/>
      <c r="Q49" s="283"/>
      <c r="R49" s="823">
        <f t="shared" si="0"/>
        <v>338257</v>
      </c>
      <c r="S49" s="340"/>
      <c r="T49" s="340"/>
      <c r="U49" s="340"/>
      <c r="V49" s="340"/>
    </row>
    <row r="50" spans="1:22" s="339" customFormat="1" ht="15" customHeight="1" x14ac:dyDescent="0.2">
      <c r="A50" s="843"/>
      <c r="B50" s="918" t="s">
        <v>655</v>
      </c>
      <c r="C50" s="81" t="s">
        <v>1349</v>
      </c>
      <c r="D50" s="497"/>
      <c r="E50" s="466"/>
      <c r="F50" s="283"/>
      <c r="G50" s="466"/>
      <c r="H50" s="283"/>
      <c r="I50" s="466"/>
      <c r="J50" s="283"/>
      <c r="K50" s="466"/>
      <c r="L50" s="295"/>
      <c r="M50" s="466"/>
      <c r="N50" s="283"/>
      <c r="O50" s="466"/>
      <c r="P50" s="283"/>
      <c r="Q50" s="466"/>
      <c r="R50" s="823">
        <f t="shared" si="0"/>
        <v>0</v>
      </c>
      <c r="S50" s="739"/>
      <c r="T50" s="340"/>
      <c r="U50" s="340"/>
      <c r="V50" s="340"/>
    </row>
    <row r="51" spans="1:22" s="339" customFormat="1" ht="15" customHeight="1" x14ac:dyDescent="0.2">
      <c r="A51" s="843"/>
      <c r="B51" s="918" t="s">
        <v>119</v>
      </c>
      <c r="C51" s="836" t="s">
        <v>992</v>
      </c>
      <c r="D51" s="837"/>
      <c r="E51" s="807"/>
      <c r="F51" s="806"/>
      <c r="G51" s="807"/>
      <c r="H51" s="806"/>
      <c r="I51" s="807">
        <f>2515+1134</f>
        <v>3649</v>
      </c>
      <c r="J51" s="806"/>
      <c r="K51" s="807"/>
      <c r="L51" s="808"/>
      <c r="M51" s="807"/>
      <c r="N51" s="806"/>
      <c r="O51" s="807"/>
      <c r="P51" s="806"/>
      <c r="Q51" s="807"/>
      <c r="R51" s="813">
        <f t="shared" si="0"/>
        <v>3649</v>
      </c>
      <c r="S51" s="116"/>
      <c r="T51" s="340"/>
      <c r="U51" s="340"/>
      <c r="V51" s="340"/>
    </row>
    <row r="52" spans="1:22" s="339" customFormat="1" ht="15" customHeight="1" x14ac:dyDescent="0.2">
      <c r="A52" s="843"/>
      <c r="B52" s="918" t="s">
        <v>120</v>
      </c>
      <c r="C52" s="836" t="s">
        <v>993</v>
      </c>
      <c r="D52" s="837"/>
      <c r="E52" s="807"/>
      <c r="F52" s="806"/>
      <c r="G52" s="807"/>
      <c r="H52" s="806"/>
      <c r="I52" s="807"/>
      <c r="J52" s="806"/>
      <c r="K52" s="807"/>
      <c r="L52" s="808"/>
      <c r="M52" s="807"/>
      <c r="N52" s="806">
        <v>0</v>
      </c>
      <c r="O52" s="807"/>
      <c r="P52" s="806"/>
      <c r="Q52" s="807"/>
      <c r="R52" s="813">
        <f t="shared" si="0"/>
        <v>0</v>
      </c>
      <c r="S52" s="116"/>
      <c r="T52" s="340"/>
      <c r="U52" s="340"/>
      <c r="V52" s="340"/>
    </row>
    <row r="53" spans="1:22" s="339" customFormat="1" ht="15" customHeight="1" x14ac:dyDescent="0.2">
      <c r="A53" s="843"/>
      <c r="B53" s="918" t="s">
        <v>121</v>
      </c>
      <c r="C53" s="836" t="s">
        <v>1238</v>
      </c>
      <c r="D53" s="837"/>
      <c r="E53" s="807">
        <v>0</v>
      </c>
      <c r="F53" s="806"/>
      <c r="G53" s="807">
        <v>0</v>
      </c>
      <c r="H53" s="806"/>
      <c r="I53" s="807">
        <v>0</v>
      </c>
      <c r="J53" s="806"/>
      <c r="K53" s="807"/>
      <c r="L53" s="808"/>
      <c r="M53" s="807">
        <v>16674</v>
      </c>
      <c r="N53" s="806"/>
      <c r="O53" s="807"/>
      <c r="P53" s="806"/>
      <c r="Q53" s="807"/>
      <c r="R53" s="813">
        <f t="shared" si="0"/>
        <v>16674</v>
      </c>
      <c r="S53" s="116"/>
      <c r="T53" s="340"/>
      <c r="U53" s="340"/>
      <c r="V53" s="340"/>
    </row>
    <row r="54" spans="1:22" s="339" customFormat="1" ht="15" customHeight="1" x14ac:dyDescent="0.2">
      <c r="A54" s="843"/>
      <c r="B54" s="918" t="s">
        <v>124</v>
      </c>
      <c r="C54" s="836" t="s">
        <v>994</v>
      </c>
      <c r="D54" s="837"/>
      <c r="E54" s="807"/>
      <c r="F54" s="806"/>
      <c r="G54" s="807"/>
      <c r="H54" s="806">
        <v>13361</v>
      </c>
      <c r="I54" s="807"/>
      <c r="J54" s="806"/>
      <c r="K54" s="807"/>
      <c r="L54" s="808"/>
      <c r="M54" s="807"/>
      <c r="N54" s="806"/>
      <c r="O54" s="807"/>
      <c r="P54" s="806"/>
      <c r="Q54" s="807"/>
      <c r="R54" s="813">
        <f t="shared" si="0"/>
        <v>13361</v>
      </c>
      <c r="S54" s="116"/>
      <c r="T54" s="340"/>
      <c r="U54" s="340"/>
      <c r="V54" s="340"/>
    </row>
    <row r="55" spans="1:22" s="339" customFormat="1" ht="30" customHeight="1" x14ac:dyDescent="0.2">
      <c r="A55" s="843"/>
      <c r="B55" s="918" t="s">
        <v>127</v>
      </c>
      <c r="C55" s="836" t="s">
        <v>1350</v>
      </c>
      <c r="D55" s="837"/>
      <c r="E55" s="807"/>
      <c r="F55" s="806"/>
      <c r="G55" s="807"/>
      <c r="H55" s="806">
        <v>82266</v>
      </c>
      <c r="I55" s="807"/>
      <c r="J55" s="806"/>
      <c r="K55" s="807"/>
      <c r="L55" s="808"/>
      <c r="M55" s="807"/>
      <c r="N55" s="806"/>
      <c r="O55" s="807"/>
      <c r="P55" s="806"/>
      <c r="Q55" s="807"/>
      <c r="R55" s="813">
        <f t="shared" si="0"/>
        <v>82266</v>
      </c>
      <c r="S55" s="116"/>
      <c r="T55" s="340"/>
      <c r="U55" s="340"/>
      <c r="V55" s="340"/>
    </row>
    <row r="56" spans="1:22" s="339" customFormat="1" ht="15" customHeight="1" x14ac:dyDescent="0.2">
      <c r="A56" s="843"/>
      <c r="B56" s="918" t="s">
        <v>128</v>
      </c>
      <c r="C56" s="836" t="s">
        <v>995</v>
      </c>
      <c r="D56" s="837"/>
      <c r="E56" s="807">
        <v>10846</v>
      </c>
      <c r="F56" s="806"/>
      <c r="G56" s="807">
        <v>2212</v>
      </c>
      <c r="H56" s="806">
        <v>28169</v>
      </c>
      <c r="I56" s="807">
        <v>109906</v>
      </c>
      <c r="J56" s="806"/>
      <c r="K56" s="807"/>
      <c r="L56" s="808"/>
      <c r="M56" s="807"/>
      <c r="N56" s="806">
        <v>0</v>
      </c>
      <c r="O56" s="807"/>
      <c r="P56" s="806"/>
      <c r="Q56" s="807"/>
      <c r="R56" s="813">
        <f t="shared" si="0"/>
        <v>151133</v>
      </c>
      <c r="S56" s="116"/>
      <c r="T56" s="340"/>
      <c r="U56" s="340"/>
      <c r="V56" s="340"/>
    </row>
    <row r="57" spans="1:22" s="339" customFormat="1" ht="21.75" customHeight="1" x14ac:dyDescent="0.2">
      <c r="A57" s="843"/>
      <c r="B57" s="918" t="s">
        <v>129</v>
      </c>
      <c r="C57" s="836" t="s">
        <v>1100</v>
      </c>
      <c r="D57" s="837"/>
      <c r="E57" s="807"/>
      <c r="F57" s="806"/>
      <c r="G57" s="807"/>
      <c r="H57" s="806">
        <v>294</v>
      </c>
      <c r="I57" s="807"/>
      <c r="J57" s="806"/>
      <c r="K57" s="807"/>
      <c r="L57" s="808"/>
      <c r="M57" s="807"/>
      <c r="N57" s="806"/>
      <c r="O57" s="807"/>
      <c r="P57" s="806"/>
      <c r="Q57" s="807"/>
      <c r="R57" s="813">
        <f t="shared" si="0"/>
        <v>294</v>
      </c>
      <c r="S57" s="116"/>
      <c r="T57" s="340"/>
      <c r="U57" s="340"/>
      <c r="V57" s="340"/>
    </row>
    <row r="58" spans="1:22" s="339" customFormat="1" ht="15" customHeight="1" x14ac:dyDescent="0.2">
      <c r="A58" s="843"/>
      <c r="B58" s="918" t="s">
        <v>130</v>
      </c>
      <c r="C58" s="836" t="s">
        <v>1101</v>
      </c>
      <c r="D58" s="837"/>
      <c r="E58" s="807"/>
      <c r="F58" s="806"/>
      <c r="G58" s="807"/>
      <c r="H58" s="806"/>
      <c r="I58" s="807">
        <v>2</v>
      </c>
      <c r="J58" s="806"/>
      <c r="K58" s="807"/>
      <c r="L58" s="808"/>
      <c r="M58" s="807"/>
      <c r="N58" s="806"/>
      <c r="O58" s="807"/>
      <c r="P58" s="806"/>
      <c r="Q58" s="807"/>
      <c r="R58" s="813">
        <f t="shared" si="0"/>
        <v>2</v>
      </c>
      <c r="S58" s="116"/>
      <c r="T58" s="340"/>
      <c r="U58" s="340"/>
      <c r="V58" s="340"/>
    </row>
    <row r="59" spans="1:22" s="339" customFormat="1" ht="15" customHeight="1" x14ac:dyDescent="0.2">
      <c r="A59" s="843"/>
      <c r="B59" s="918" t="s">
        <v>133</v>
      </c>
      <c r="C59" s="836" t="s">
        <v>1102</v>
      </c>
      <c r="D59" s="837"/>
      <c r="E59" s="807"/>
      <c r="F59" s="806"/>
      <c r="G59" s="807"/>
      <c r="H59" s="806"/>
      <c r="I59" s="807">
        <v>21874</v>
      </c>
      <c r="J59" s="806"/>
      <c r="K59" s="807"/>
      <c r="L59" s="808"/>
      <c r="M59" s="807"/>
      <c r="N59" s="806"/>
      <c r="O59" s="807"/>
      <c r="P59" s="806"/>
      <c r="Q59" s="807"/>
      <c r="R59" s="813">
        <f t="shared" si="0"/>
        <v>21874</v>
      </c>
      <c r="S59" s="116"/>
      <c r="T59" s="340"/>
      <c r="U59" s="340"/>
      <c r="V59" s="340"/>
    </row>
    <row r="60" spans="1:22" s="339" customFormat="1" ht="21" customHeight="1" x14ac:dyDescent="0.2">
      <c r="A60" s="843"/>
      <c r="B60" s="918" t="s">
        <v>136</v>
      </c>
      <c r="C60" s="836" t="s">
        <v>1252</v>
      </c>
      <c r="D60" s="837"/>
      <c r="E60" s="807"/>
      <c r="F60" s="806"/>
      <c r="G60" s="807"/>
      <c r="H60" s="806"/>
      <c r="I60" s="807">
        <v>0</v>
      </c>
      <c r="J60" s="806"/>
      <c r="K60" s="807"/>
      <c r="L60" s="808"/>
      <c r="M60" s="807"/>
      <c r="N60" s="806"/>
      <c r="O60" s="807"/>
      <c r="P60" s="806"/>
      <c r="Q60" s="807"/>
      <c r="R60" s="813">
        <f t="shared" si="0"/>
        <v>0</v>
      </c>
      <c r="S60" s="116"/>
      <c r="T60" s="340"/>
      <c r="U60" s="340"/>
      <c r="V60" s="340"/>
    </row>
    <row r="61" spans="1:22" s="339" customFormat="1" ht="21" customHeight="1" x14ac:dyDescent="0.2">
      <c r="A61" s="843"/>
      <c r="B61" s="918" t="s">
        <v>139</v>
      </c>
      <c r="C61" s="836" t="s">
        <v>1293</v>
      </c>
      <c r="D61" s="837"/>
      <c r="E61" s="807"/>
      <c r="F61" s="806"/>
      <c r="G61" s="807"/>
      <c r="H61" s="806"/>
      <c r="I61" s="807">
        <v>2540</v>
      </c>
      <c r="J61" s="806"/>
      <c r="K61" s="807"/>
      <c r="L61" s="808"/>
      <c r="M61" s="807"/>
      <c r="N61" s="806"/>
      <c r="O61" s="807"/>
      <c r="P61" s="806"/>
      <c r="Q61" s="807"/>
      <c r="R61" s="1123">
        <f t="shared" si="0"/>
        <v>2540</v>
      </c>
      <c r="S61" s="116"/>
      <c r="T61" s="340"/>
      <c r="U61" s="340"/>
      <c r="V61" s="340"/>
    </row>
    <row r="62" spans="1:22" s="339" customFormat="1" ht="15" customHeight="1" x14ac:dyDescent="0.2">
      <c r="A62" s="843"/>
      <c r="B62" s="918" t="s">
        <v>140</v>
      </c>
      <c r="C62" s="836" t="s">
        <v>1131</v>
      </c>
      <c r="D62" s="837"/>
      <c r="E62" s="807"/>
      <c r="F62" s="806"/>
      <c r="G62" s="807"/>
      <c r="H62" s="806">
        <v>373</v>
      </c>
      <c r="I62" s="807"/>
      <c r="J62" s="806"/>
      <c r="K62" s="807"/>
      <c r="L62" s="808"/>
      <c r="M62" s="807"/>
      <c r="N62" s="806"/>
      <c r="O62" s="807"/>
      <c r="P62" s="806"/>
      <c r="Q62" s="807"/>
      <c r="R62" s="1123">
        <f t="shared" si="0"/>
        <v>373</v>
      </c>
      <c r="S62" s="116"/>
      <c r="T62" s="340"/>
      <c r="U62" s="340"/>
      <c r="V62" s="340"/>
    </row>
    <row r="63" spans="1:22" s="339" customFormat="1" ht="15" customHeight="1" x14ac:dyDescent="0.2">
      <c r="A63" s="843"/>
      <c r="B63" s="918" t="s">
        <v>143</v>
      </c>
      <c r="C63" s="836" t="s">
        <v>1167</v>
      </c>
      <c r="D63" s="837"/>
      <c r="E63" s="807"/>
      <c r="F63" s="806"/>
      <c r="G63" s="807"/>
      <c r="H63" s="806"/>
      <c r="I63" s="807">
        <v>5754</v>
      </c>
      <c r="J63" s="806"/>
      <c r="K63" s="807"/>
      <c r="L63" s="808"/>
      <c r="M63" s="807"/>
      <c r="N63" s="806"/>
      <c r="O63" s="807"/>
      <c r="P63" s="806"/>
      <c r="Q63" s="807"/>
      <c r="R63" s="1123">
        <f t="shared" si="0"/>
        <v>5754</v>
      </c>
      <c r="S63" s="116"/>
      <c r="T63" s="340"/>
      <c r="U63" s="340"/>
      <c r="V63" s="340"/>
    </row>
    <row r="64" spans="1:22" s="339" customFormat="1" ht="15" customHeight="1" x14ac:dyDescent="0.2">
      <c r="A64" s="843"/>
      <c r="B64" s="1242" t="s">
        <v>144</v>
      </c>
      <c r="C64" s="836" t="s">
        <v>1294</v>
      </c>
      <c r="D64" s="837"/>
      <c r="E64" s="807"/>
      <c r="F64" s="806"/>
      <c r="G64" s="807"/>
      <c r="H64" s="806">
        <v>1116</v>
      </c>
      <c r="I64" s="807"/>
      <c r="J64" s="806"/>
      <c r="K64" s="807"/>
      <c r="L64" s="808"/>
      <c r="M64" s="807"/>
      <c r="N64" s="806"/>
      <c r="O64" s="807"/>
      <c r="P64" s="806"/>
      <c r="Q64" s="807"/>
      <c r="R64" s="1123">
        <f t="shared" si="0"/>
        <v>1116</v>
      </c>
      <c r="S64" s="116"/>
      <c r="T64" s="340"/>
      <c r="U64" s="340"/>
      <c r="V64" s="340"/>
    </row>
    <row r="65" spans="1:22" s="339" customFormat="1" ht="22.5" customHeight="1" x14ac:dyDescent="0.2">
      <c r="A65" s="843"/>
      <c r="B65" s="1242" t="s">
        <v>145</v>
      </c>
      <c r="C65" s="836" t="s">
        <v>1331</v>
      </c>
      <c r="D65" s="837"/>
      <c r="E65" s="807"/>
      <c r="F65" s="806"/>
      <c r="G65" s="807"/>
      <c r="H65" s="806">
        <v>6198</v>
      </c>
      <c r="I65" s="807"/>
      <c r="J65" s="806"/>
      <c r="K65" s="807"/>
      <c r="L65" s="808"/>
      <c r="M65" s="807"/>
      <c r="N65" s="806"/>
      <c r="O65" s="807"/>
      <c r="P65" s="806"/>
      <c r="Q65" s="807"/>
      <c r="R65" s="1123">
        <f t="shared" si="0"/>
        <v>6198</v>
      </c>
      <c r="S65" s="116"/>
      <c r="T65" s="340"/>
      <c r="U65" s="340"/>
      <c r="V65" s="340"/>
    </row>
    <row r="66" spans="1:22" s="339" customFormat="1" ht="15" customHeight="1" thickBot="1" x14ac:dyDescent="0.25">
      <c r="A66" s="843"/>
      <c r="B66" s="1242" t="s">
        <v>146</v>
      </c>
      <c r="C66" s="836" t="s">
        <v>1334</v>
      </c>
      <c r="D66" s="837"/>
      <c r="E66" s="807"/>
      <c r="F66" s="806"/>
      <c r="G66" s="807"/>
      <c r="H66" s="806"/>
      <c r="I66" s="807">
        <v>5296</v>
      </c>
      <c r="J66" s="806"/>
      <c r="K66" s="807"/>
      <c r="L66" s="808"/>
      <c r="M66" s="807"/>
      <c r="N66" s="806"/>
      <c r="O66" s="807"/>
      <c r="P66" s="806"/>
      <c r="Q66" s="807"/>
      <c r="R66" s="1123">
        <f t="shared" si="0"/>
        <v>5296</v>
      </c>
      <c r="S66" s="116"/>
      <c r="T66" s="340"/>
      <c r="U66" s="340"/>
      <c r="V66" s="340"/>
    </row>
    <row r="67" spans="1:22" ht="15.6" customHeight="1" thickBot="1" x14ac:dyDescent="0.25">
      <c r="B67" s="1427" t="s">
        <v>596</v>
      </c>
      <c r="C67" s="1428"/>
      <c r="D67" s="308">
        <f t="shared" ref="D67:G67" si="4">SUM(D10:D66)</f>
        <v>53431</v>
      </c>
      <c r="E67" s="308">
        <f t="shared" si="4"/>
        <v>40754</v>
      </c>
      <c r="F67" s="308">
        <f t="shared" si="4"/>
        <v>15720</v>
      </c>
      <c r="G67" s="308">
        <f t="shared" si="4"/>
        <v>13948</v>
      </c>
      <c r="H67" s="308">
        <f>SUM(H10:H66)</f>
        <v>311412</v>
      </c>
      <c r="I67" s="308">
        <f t="shared" ref="I67:R67" si="5">SUM(I10:I66)</f>
        <v>292883</v>
      </c>
      <c r="J67" s="308">
        <f t="shared" si="5"/>
        <v>5850</v>
      </c>
      <c r="K67" s="308">
        <f t="shared" si="5"/>
        <v>58841</v>
      </c>
      <c r="L67" s="308">
        <f t="shared" si="5"/>
        <v>115412</v>
      </c>
      <c r="M67" s="308">
        <f t="shared" si="5"/>
        <v>176606</v>
      </c>
      <c r="N67" s="308">
        <f t="shared" si="5"/>
        <v>0</v>
      </c>
      <c r="O67" s="308">
        <f t="shared" si="5"/>
        <v>0</v>
      </c>
      <c r="P67" s="308">
        <f t="shared" si="5"/>
        <v>2689</v>
      </c>
      <c r="Q67" s="308">
        <f t="shared" si="5"/>
        <v>10950</v>
      </c>
      <c r="R67" s="308">
        <f t="shared" si="5"/>
        <v>1098496</v>
      </c>
      <c r="S67" s="118"/>
    </row>
    <row r="68" spans="1:22" x14ac:dyDescent="0.2">
      <c r="S68" s="350"/>
    </row>
    <row r="72" spans="1:22" x14ac:dyDescent="0.2">
      <c r="S72" s="347"/>
    </row>
    <row r="73" spans="1:22" x14ac:dyDescent="0.2">
      <c r="S73" s="347"/>
    </row>
    <row r="77" spans="1:22" x14ac:dyDescent="0.2">
      <c r="L77" s="346"/>
    </row>
  </sheetData>
  <sheetProtection selectLockedCells="1" selectUnlockedCells="1"/>
  <mergeCells count="23">
    <mergeCell ref="C7:C9"/>
    <mergeCell ref="B67:C67"/>
    <mergeCell ref="N5:O5"/>
    <mergeCell ref="J5:K5"/>
    <mergeCell ref="F7:G8"/>
    <mergeCell ref="L7:M8"/>
    <mergeCell ref="F5:G5"/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0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299" hidden="1" customWidth="1"/>
    <col min="10" max="10" width="9.42578125" style="32" hidden="1" customWidth="1"/>
    <col min="11" max="16384" width="9.140625" style="32"/>
  </cols>
  <sheetData>
    <row r="1" spans="2:14" ht="18" customHeight="1" x14ac:dyDescent="0.25">
      <c r="B1" s="1429" t="s">
        <v>1364</v>
      </c>
      <c r="C1" s="1430"/>
      <c r="D1" s="1430"/>
      <c r="E1" s="1430"/>
      <c r="F1" s="1430"/>
      <c r="G1" s="1430"/>
      <c r="H1" s="1431"/>
      <c r="I1" s="1431"/>
      <c r="J1" s="1431"/>
    </row>
    <row r="2" spans="2:14" ht="18" customHeight="1" x14ac:dyDescent="0.25">
      <c r="N2" s="1220"/>
    </row>
    <row r="3" spans="2:14" ht="15.75" customHeight="1" x14ac:dyDescent="0.25">
      <c r="B3" s="1351" t="s">
        <v>77</v>
      </c>
      <c r="C3" s="1351"/>
      <c r="D3" s="1351"/>
      <c r="E3" s="1351"/>
      <c r="F3" s="1351"/>
      <c r="G3" s="1351"/>
      <c r="H3" s="1299"/>
      <c r="I3" s="1299"/>
      <c r="J3" s="1299"/>
    </row>
    <row r="4" spans="2:14" ht="15.75" customHeight="1" x14ac:dyDescent="0.25">
      <c r="B4" s="1440" t="s">
        <v>1160</v>
      </c>
      <c r="C4" s="1441"/>
      <c r="D4" s="1441"/>
      <c r="E4" s="1441"/>
      <c r="F4" s="1441"/>
      <c r="G4" s="1441"/>
    </row>
    <row r="5" spans="2:14" ht="15.75" customHeight="1" x14ac:dyDescent="0.25">
      <c r="B5" s="1351" t="s">
        <v>926</v>
      </c>
      <c r="C5" s="1351"/>
      <c r="D5" s="1351"/>
      <c r="E5" s="1351"/>
      <c r="F5" s="1351"/>
      <c r="G5" s="1351"/>
      <c r="H5" s="1299"/>
      <c r="I5" s="1299"/>
      <c r="J5" s="1299"/>
    </row>
    <row r="6" spans="2:14" s="34" customFormat="1" ht="14.25" customHeight="1" x14ac:dyDescent="0.25">
      <c r="B6" s="1433" t="s">
        <v>315</v>
      </c>
      <c r="C6" s="1433"/>
      <c r="D6" s="1433"/>
      <c r="E6" s="1433"/>
      <c r="F6" s="1433"/>
      <c r="G6" s="1433"/>
      <c r="H6" s="1299"/>
      <c r="I6" s="1299"/>
      <c r="J6" s="1299"/>
    </row>
    <row r="7" spans="2:14" s="34" customFormat="1" ht="14.25" customHeight="1" x14ac:dyDescent="0.25">
      <c r="B7" s="29"/>
      <c r="C7" s="247"/>
      <c r="D7" s="248"/>
      <c r="E7" s="29"/>
      <c r="F7" s="29"/>
      <c r="G7" s="29"/>
    </row>
    <row r="8" spans="2:14" ht="30.6" customHeight="1" x14ac:dyDescent="0.25">
      <c r="B8" s="1434" t="s">
        <v>470</v>
      </c>
      <c r="C8" s="1436" t="s">
        <v>57</v>
      </c>
      <c r="D8" s="1436"/>
      <c r="E8" s="20" t="s">
        <v>58</v>
      </c>
      <c r="F8" s="20" t="s">
        <v>59</v>
      </c>
      <c r="G8" s="20" t="s">
        <v>60</v>
      </c>
      <c r="H8" s="32"/>
      <c r="I8" s="32"/>
    </row>
    <row r="9" spans="2:14" ht="30" customHeight="1" x14ac:dyDescent="0.25">
      <c r="B9" s="1435"/>
      <c r="C9" s="1437" t="s">
        <v>529</v>
      </c>
      <c r="D9" s="1437"/>
      <c r="E9" s="1439" t="s">
        <v>1162</v>
      </c>
      <c r="F9" s="1439"/>
      <c r="G9" s="1439"/>
      <c r="H9" s="32"/>
      <c r="I9" s="32"/>
    </row>
    <row r="10" spans="2:14" ht="52.9" customHeight="1" x14ac:dyDescent="0.25">
      <c r="B10" s="1435"/>
      <c r="C10" s="1437"/>
      <c r="D10" s="1438"/>
      <c r="E10" s="249" t="s">
        <v>62</v>
      </c>
      <c r="F10" s="249" t="s">
        <v>63</v>
      </c>
      <c r="G10" s="249" t="s">
        <v>64</v>
      </c>
      <c r="H10" s="32"/>
      <c r="I10" s="32"/>
    </row>
    <row r="11" spans="2:14" ht="23.25" customHeight="1" x14ac:dyDescent="0.25">
      <c r="B11" s="983" t="s">
        <v>480</v>
      </c>
      <c r="C11" s="1432" t="s">
        <v>597</v>
      </c>
      <c r="D11" s="1432"/>
      <c r="E11" s="250"/>
      <c r="F11" s="250"/>
      <c r="G11" s="250"/>
      <c r="H11" s="32"/>
      <c r="I11" s="32"/>
      <c r="K11" s="609"/>
    </row>
    <row r="12" spans="2:14" ht="18" customHeight="1" x14ac:dyDescent="0.25">
      <c r="B12" s="984" t="s">
        <v>488</v>
      </c>
      <c r="C12" s="251" t="s">
        <v>562</v>
      </c>
      <c r="D12" s="248"/>
      <c r="E12" s="250"/>
      <c r="F12" s="250"/>
      <c r="G12" s="250"/>
      <c r="H12" s="32"/>
      <c r="I12" s="32"/>
      <c r="K12" s="609"/>
    </row>
    <row r="13" spans="2:14" ht="18" customHeight="1" x14ac:dyDescent="0.25">
      <c r="B13" s="984" t="s">
        <v>490</v>
      </c>
      <c r="C13" s="252"/>
      <c r="D13" s="253" t="s">
        <v>923</v>
      </c>
      <c r="E13" s="250">
        <v>0</v>
      </c>
      <c r="F13" s="250">
        <v>500</v>
      </c>
      <c r="G13" s="250">
        <f>SUM(E13:F13)</f>
        <v>500</v>
      </c>
      <c r="H13" s="32"/>
      <c r="I13" s="32"/>
      <c r="K13" s="609"/>
    </row>
    <row r="14" spans="2:14" ht="18" customHeight="1" x14ac:dyDescent="0.25">
      <c r="B14" s="984" t="s">
        <v>491</v>
      </c>
      <c r="C14" s="252"/>
      <c r="D14" s="24" t="s">
        <v>562</v>
      </c>
      <c r="E14" s="250"/>
      <c r="F14" s="254">
        <v>0</v>
      </c>
      <c r="G14" s="250">
        <f>SUM(E14:F14)</f>
        <v>0</v>
      </c>
      <c r="H14" s="32"/>
      <c r="I14" s="32"/>
      <c r="K14" s="609"/>
    </row>
    <row r="15" spans="2:14" ht="18" customHeight="1" x14ac:dyDescent="0.25">
      <c r="B15" s="984" t="s">
        <v>492</v>
      </c>
      <c r="C15" s="252"/>
      <c r="D15" s="24" t="s">
        <v>973</v>
      </c>
      <c r="E15" s="250"/>
      <c r="F15" s="254">
        <v>600</v>
      </c>
      <c r="G15" s="250">
        <f>SUM(E15:F15)</f>
        <v>600</v>
      </c>
      <c r="H15" s="32"/>
      <c r="I15" s="32"/>
      <c r="K15" s="609"/>
    </row>
    <row r="16" spans="2:14" ht="18" customHeight="1" x14ac:dyDescent="0.25">
      <c r="B16" s="984" t="s">
        <v>493</v>
      </c>
      <c r="C16" s="252"/>
      <c r="D16" s="24" t="s">
        <v>974</v>
      </c>
      <c r="E16" s="250"/>
      <c r="F16" s="254">
        <v>800</v>
      </c>
      <c r="G16" s="250">
        <f t="shared" ref="G16:G20" si="0">SUM(E16:F16)</f>
        <v>800</v>
      </c>
      <c r="H16" s="32"/>
      <c r="I16" s="32"/>
      <c r="K16" s="609"/>
    </row>
    <row r="17" spans="2:13" ht="18" customHeight="1" x14ac:dyDescent="0.25">
      <c r="B17" s="984" t="s">
        <v>494</v>
      </c>
      <c r="C17" s="252"/>
      <c r="D17" s="24" t="s">
        <v>975</v>
      </c>
      <c r="E17" s="250"/>
      <c r="F17" s="254">
        <v>1000</v>
      </c>
      <c r="G17" s="250">
        <f t="shared" si="0"/>
        <v>1000</v>
      </c>
      <c r="H17" s="32"/>
      <c r="I17" s="32"/>
      <c r="K17" s="609"/>
    </row>
    <row r="18" spans="2:13" ht="18" customHeight="1" x14ac:dyDescent="0.25">
      <c r="B18" s="984" t="s">
        <v>495</v>
      </c>
      <c r="C18" s="252"/>
      <c r="D18" s="24" t="s">
        <v>976</v>
      </c>
      <c r="E18" s="250"/>
      <c r="F18" s="254">
        <v>600</v>
      </c>
      <c r="G18" s="250">
        <f t="shared" si="0"/>
        <v>600</v>
      </c>
      <c r="H18" s="32"/>
      <c r="I18" s="32"/>
      <c r="K18" s="609"/>
    </row>
    <row r="19" spans="2:13" ht="18" customHeight="1" x14ac:dyDescent="0.25">
      <c r="B19" s="984" t="s">
        <v>531</v>
      </c>
      <c r="C19" s="252"/>
      <c r="D19" s="24" t="s">
        <v>977</v>
      </c>
      <c r="E19" s="250">
        <v>2300</v>
      </c>
      <c r="F19" s="254">
        <v>0</v>
      </c>
      <c r="G19" s="250">
        <f t="shared" si="0"/>
        <v>2300</v>
      </c>
      <c r="H19" s="32"/>
      <c r="I19" s="32"/>
      <c r="K19" s="609"/>
    </row>
    <row r="20" spans="2:13" ht="18" customHeight="1" x14ac:dyDescent="0.25">
      <c r="B20" s="984" t="s">
        <v>532</v>
      </c>
      <c r="C20" s="252"/>
      <c r="D20" s="582" t="s">
        <v>595</v>
      </c>
      <c r="E20" s="250">
        <v>389</v>
      </c>
      <c r="F20" s="254">
        <v>0</v>
      </c>
      <c r="G20" s="250">
        <f t="shared" si="0"/>
        <v>389</v>
      </c>
      <c r="H20" s="32"/>
      <c r="I20" s="32"/>
      <c r="K20" s="609"/>
    </row>
    <row r="21" spans="2:13" ht="18" customHeight="1" x14ac:dyDescent="0.25">
      <c r="B21" s="984" t="s">
        <v>533</v>
      </c>
      <c r="C21" s="770"/>
      <c r="D21" s="582" t="s">
        <v>560</v>
      </c>
      <c r="E21" s="250"/>
      <c r="F21" s="254">
        <v>1800</v>
      </c>
      <c r="G21" s="250">
        <f>SUM(E21:F21)</f>
        <v>1800</v>
      </c>
      <c r="H21" s="32"/>
      <c r="I21" s="32"/>
      <c r="K21" s="609"/>
    </row>
    <row r="22" spans="2:13" ht="18" customHeight="1" x14ac:dyDescent="0.25">
      <c r="B22" s="984" t="s">
        <v>534</v>
      </c>
      <c r="C22" s="770"/>
      <c r="D22" s="772" t="s">
        <v>559</v>
      </c>
      <c r="E22" s="771"/>
      <c r="F22" s="254">
        <v>1100</v>
      </c>
      <c r="G22" s="583">
        <f>SUM(E22:F22)</f>
        <v>1100</v>
      </c>
      <c r="H22" s="33"/>
      <c r="I22" s="33"/>
      <c r="J22" s="33"/>
      <c r="K22" s="609"/>
      <c r="M22" s="33"/>
    </row>
    <row r="23" spans="2:13" ht="18" customHeight="1" x14ac:dyDescent="0.25">
      <c r="B23" s="984" t="s">
        <v>535</v>
      </c>
      <c r="C23" s="770"/>
      <c r="D23" s="772" t="s">
        <v>1327</v>
      </c>
      <c r="E23" s="771"/>
      <c r="F23" s="254">
        <v>350</v>
      </c>
      <c r="G23" s="583">
        <f>SUM(E23:F23)</f>
        <v>350</v>
      </c>
      <c r="H23" s="33"/>
      <c r="I23" s="33"/>
      <c r="J23" s="33"/>
      <c r="K23" s="609"/>
      <c r="M23" s="33"/>
    </row>
    <row r="24" spans="2:13" ht="18" customHeight="1" x14ac:dyDescent="0.25">
      <c r="B24" s="984" t="s">
        <v>536</v>
      </c>
      <c r="C24" s="251" t="s">
        <v>924</v>
      </c>
      <c r="D24" s="248"/>
      <c r="E24" s="255">
        <f>SUM(E13:E22)</f>
        <v>2689</v>
      </c>
      <c r="F24" s="255">
        <f>SUM(F13:F23)</f>
        <v>6750</v>
      </c>
      <c r="G24" s="255">
        <f>SUM(G13:G23)</f>
        <v>9439</v>
      </c>
      <c r="H24" s="255">
        <f t="shared" ref="H24:J24" si="1">SUM(H13:H22)</f>
        <v>0</v>
      </c>
      <c r="I24" s="255">
        <f t="shared" si="1"/>
        <v>0</v>
      </c>
      <c r="J24" s="255">
        <f t="shared" si="1"/>
        <v>0</v>
      </c>
      <c r="K24" s="609"/>
    </row>
    <row r="25" spans="2:13" ht="18" customHeight="1" x14ac:dyDescent="0.25">
      <c r="B25" s="984"/>
      <c r="E25" s="254"/>
      <c r="F25" s="250"/>
      <c r="G25" s="250"/>
      <c r="H25" s="32"/>
      <c r="I25" s="32"/>
      <c r="K25" s="609"/>
    </row>
    <row r="26" spans="2:13" ht="18" customHeight="1" x14ac:dyDescent="0.25">
      <c r="B26" s="984"/>
      <c r="C26" s="29"/>
      <c r="E26" s="773"/>
      <c r="F26" s="773"/>
      <c r="G26" s="773"/>
      <c r="H26" s="32"/>
      <c r="I26" s="32"/>
      <c r="K26" s="609"/>
    </row>
    <row r="27" spans="2:13" ht="37.9" customHeight="1" x14ac:dyDescent="0.25">
      <c r="B27" s="985" t="s">
        <v>537</v>
      </c>
      <c r="D27" s="24" t="s">
        <v>600</v>
      </c>
      <c r="E27" s="250"/>
      <c r="F27" s="250">
        <v>4200</v>
      </c>
      <c r="G27" s="250">
        <f>SUM(E27:F27)</f>
        <v>4200</v>
      </c>
      <c r="H27" s="32"/>
      <c r="I27" s="32"/>
      <c r="K27" s="609"/>
    </row>
    <row r="28" spans="2:13" ht="23.25" customHeight="1" thickBot="1" x14ac:dyDescent="0.3">
      <c r="B28" s="985" t="s">
        <v>538</v>
      </c>
      <c r="C28" s="958"/>
      <c r="D28" s="956" t="s">
        <v>598</v>
      </c>
      <c r="E28" s="774">
        <f>E27</f>
        <v>0</v>
      </c>
      <c r="F28" s="774">
        <f t="shared" ref="F28:G28" si="2">F27</f>
        <v>4200</v>
      </c>
      <c r="G28" s="774">
        <f t="shared" si="2"/>
        <v>4200</v>
      </c>
      <c r="H28" s="32"/>
      <c r="I28" s="32"/>
      <c r="K28" s="609"/>
    </row>
    <row r="29" spans="2:13" s="34" customFormat="1" ht="18" customHeight="1" thickBot="1" x14ac:dyDescent="0.3">
      <c r="B29" s="985" t="s">
        <v>540</v>
      </c>
      <c r="C29" s="957" t="s">
        <v>925</v>
      </c>
      <c r="D29" s="300"/>
      <c r="E29" s="775">
        <f>E24+E26+E27</f>
        <v>2689</v>
      </c>
      <c r="F29" s="775">
        <f>F24+F26+F27</f>
        <v>10950</v>
      </c>
      <c r="G29" s="775">
        <f>G24+G26+G27</f>
        <v>13639</v>
      </c>
      <c r="K29" s="610"/>
      <c r="M29" s="38"/>
    </row>
    <row r="30" spans="2:13" ht="18" customHeight="1" x14ac:dyDescent="0.25">
      <c r="B30" s="583"/>
      <c r="H30" s="32"/>
      <c r="I30" s="32"/>
    </row>
    <row r="31" spans="2:13" ht="18" customHeight="1" x14ac:dyDescent="0.25">
      <c r="H31" s="32"/>
      <c r="I31" s="32"/>
    </row>
    <row r="32" spans="2:13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  <row r="40" spans="8:9" ht="18" customHeight="1" x14ac:dyDescent="0.25">
      <c r="H40" s="32"/>
      <c r="I40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0" customWidth="1"/>
    <col min="5" max="6" width="9.42578125" style="3" customWidth="1"/>
    <col min="7" max="7" width="9.7109375" style="3" customWidth="1"/>
    <col min="8" max="9" width="0" style="245" hidden="1" customWidth="1"/>
    <col min="10" max="10" width="9.85546875" style="264" hidden="1" customWidth="1"/>
    <col min="11" max="11" width="0" style="264" hidden="1" customWidth="1"/>
    <col min="12" max="16384" width="9.140625" style="4"/>
  </cols>
  <sheetData>
    <row r="1" spans="1:12" ht="31.5" customHeight="1" x14ac:dyDescent="0.2">
      <c r="B1" s="1450" t="s">
        <v>1254</v>
      </c>
      <c r="C1" s="1450"/>
      <c r="D1" s="1450"/>
      <c r="E1" s="1450"/>
      <c r="F1" s="1450"/>
      <c r="G1" s="1450"/>
      <c r="H1" s="1451"/>
      <c r="I1" s="1451"/>
      <c r="J1" s="1451"/>
      <c r="K1" s="1299"/>
    </row>
    <row r="3" spans="1:12" ht="12.75" customHeight="1" x14ac:dyDescent="0.2">
      <c r="B3" s="1298" t="s">
        <v>508</v>
      </c>
      <c r="C3" s="1298"/>
      <c r="D3" s="1298"/>
      <c r="E3" s="1298"/>
      <c r="F3" s="1298"/>
      <c r="G3" s="1298"/>
      <c r="H3" s="1299"/>
      <c r="I3" s="1299"/>
      <c r="J3" s="1299"/>
    </row>
    <row r="4" spans="1:12" ht="12.75" customHeight="1" x14ac:dyDescent="0.2">
      <c r="B4" s="1298" t="s">
        <v>1032</v>
      </c>
      <c r="C4" s="1298"/>
      <c r="D4" s="1298"/>
      <c r="E4" s="1298"/>
      <c r="F4" s="1298"/>
      <c r="G4" s="1298"/>
      <c r="H4" s="1299"/>
      <c r="I4" s="1299"/>
      <c r="J4" s="1299"/>
    </row>
    <row r="5" spans="1:12" ht="12.75" customHeight="1" x14ac:dyDescent="0.2">
      <c r="B5" s="1298" t="s">
        <v>926</v>
      </c>
      <c r="C5" s="1298"/>
      <c r="D5" s="1298"/>
      <c r="E5" s="1298"/>
      <c r="F5" s="1298"/>
      <c r="G5" s="1298"/>
      <c r="H5" s="1299"/>
      <c r="I5" s="1299"/>
      <c r="J5" s="1299"/>
    </row>
    <row r="6" spans="1:12" s="143" customFormat="1" ht="14.25" customHeight="1" x14ac:dyDescent="0.2">
      <c r="B6" s="233"/>
      <c r="C6" s="1449" t="s">
        <v>303</v>
      </c>
      <c r="D6" s="1449"/>
      <c r="E6" s="1368"/>
      <c r="F6" s="1368"/>
      <c r="G6" s="1368"/>
      <c r="H6" s="1299"/>
      <c r="I6" s="1299"/>
      <c r="J6" s="1299"/>
      <c r="K6" s="266"/>
    </row>
    <row r="7" spans="1:12" s="143" customFormat="1" ht="6" customHeight="1" x14ac:dyDescent="0.2">
      <c r="B7" s="233"/>
      <c r="C7" s="228"/>
      <c r="D7" s="256"/>
      <c r="E7" s="233"/>
      <c r="F7" s="233"/>
      <c r="G7" s="233"/>
      <c r="H7" s="298"/>
      <c r="I7" s="298"/>
      <c r="J7" s="266"/>
      <c r="K7" s="266"/>
    </row>
    <row r="8" spans="1:12" ht="27" customHeight="1" x14ac:dyDescent="0.25">
      <c r="B8" s="1442" t="s">
        <v>470</v>
      </c>
      <c r="C8" s="1445" t="s">
        <v>57</v>
      </c>
      <c r="D8" s="1445"/>
      <c r="E8" s="20" t="s">
        <v>58</v>
      </c>
      <c r="F8" s="20" t="s">
        <v>59</v>
      </c>
      <c r="G8" s="20" t="s">
        <v>60</v>
      </c>
      <c r="H8" s="264"/>
      <c r="I8" s="4"/>
      <c r="J8" s="4"/>
      <c r="K8" s="4"/>
    </row>
    <row r="9" spans="1:12" ht="30" customHeight="1" x14ac:dyDescent="0.2">
      <c r="B9" s="1443"/>
      <c r="C9" s="1437" t="s">
        <v>85</v>
      </c>
      <c r="D9" s="1437"/>
      <c r="E9" s="1447" t="s">
        <v>1031</v>
      </c>
      <c r="F9" s="1447"/>
      <c r="G9" s="1447"/>
      <c r="H9" s="264"/>
      <c r="I9" s="4"/>
      <c r="J9" s="4"/>
      <c r="K9" s="4"/>
    </row>
    <row r="10" spans="1:12" ht="41.25" customHeight="1" x14ac:dyDescent="0.2">
      <c r="B10" s="1444"/>
      <c r="C10" s="1437"/>
      <c r="D10" s="1437"/>
      <c r="E10" s="249" t="s">
        <v>62</v>
      </c>
      <c r="F10" s="249" t="s">
        <v>63</v>
      </c>
      <c r="G10" s="249" t="s">
        <v>64</v>
      </c>
      <c r="H10" s="264"/>
      <c r="I10" s="4"/>
      <c r="J10" s="4"/>
      <c r="K10" s="4"/>
    </row>
    <row r="11" spans="1:12" ht="18" customHeight="1" x14ac:dyDescent="0.2">
      <c r="A11" s="979"/>
      <c r="B11" s="980" t="s">
        <v>480</v>
      </c>
      <c r="C11" s="1448" t="s">
        <v>601</v>
      </c>
      <c r="D11" s="1448"/>
      <c r="E11" s="257"/>
      <c r="F11" s="236"/>
      <c r="G11" s="578"/>
      <c r="H11" s="264"/>
      <c r="I11" s="4"/>
      <c r="J11" s="4"/>
      <c r="K11" s="4"/>
      <c r="L11" s="607"/>
    </row>
    <row r="12" spans="1:12" ht="26.45" customHeight="1" x14ac:dyDescent="0.2">
      <c r="A12" s="979"/>
      <c r="B12" s="981" t="s">
        <v>488</v>
      </c>
      <c r="C12" s="236"/>
      <c r="D12" s="328" t="s">
        <v>927</v>
      </c>
      <c r="E12" s="259">
        <f>'tám, végl. pe.átv  '!C29</f>
        <v>0</v>
      </c>
      <c r="F12" s="258"/>
      <c r="G12" s="578">
        <f>SUM(E12:F12)</f>
        <v>0</v>
      </c>
      <c r="H12" s="264"/>
      <c r="I12" s="4"/>
      <c r="J12" s="4"/>
      <c r="K12" s="4"/>
      <c r="L12" s="607"/>
    </row>
    <row r="13" spans="1:12" ht="20.25" customHeight="1" x14ac:dyDescent="0.2">
      <c r="A13" s="979"/>
      <c r="B13" s="981" t="s">
        <v>489</v>
      </c>
      <c r="C13" s="236"/>
      <c r="D13" s="328" t="s">
        <v>105</v>
      </c>
      <c r="E13" s="257">
        <v>0</v>
      </c>
      <c r="F13" s="236">
        <f>SUM(F12)</f>
        <v>0</v>
      </c>
      <c r="G13" s="578">
        <f>SUM(E13:F13)</f>
        <v>0</v>
      </c>
      <c r="H13" s="264"/>
      <c r="I13" s="4"/>
      <c r="J13" s="4"/>
      <c r="K13" s="4"/>
      <c r="L13" s="607"/>
    </row>
    <row r="14" spans="1:12" ht="18" customHeight="1" x14ac:dyDescent="0.2">
      <c r="A14" s="979"/>
      <c r="B14" s="981" t="s">
        <v>490</v>
      </c>
      <c r="D14" s="260" t="s">
        <v>598</v>
      </c>
      <c r="E14" s="261">
        <f>SUM(E12:E13)</f>
        <v>0</v>
      </c>
      <c r="F14" s="238"/>
      <c r="G14" s="579">
        <f>SUM(G12:G13)</f>
        <v>0</v>
      </c>
      <c r="H14" s="264"/>
      <c r="I14" s="4"/>
      <c r="J14" s="4"/>
      <c r="K14" s="4"/>
      <c r="L14" s="607"/>
    </row>
    <row r="15" spans="1:12" ht="18" customHeight="1" x14ac:dyDescent="0.2">
      <c r="A15" s="979"/>
      <c r="B15" s="981" t="s">
        <v>491</v>
      </c>
      <c r="D15" s="260"/>
      <c r="E15" s="257"/>
      <c r="F15" s="236"/>
      <c r="G15" s="578"/>
      <c r="H15" s="264"/>
      <c r="I15" s="4"/>
      <c r="J15" s="4"/>
      <c r="K15" s="4"/>
      <c r="L15" s="607"/>
    </row>
    <row r="16" spans="1:12" ht="18" customHeight="1" x14ac:dyDescent="0.2">
      <c r="A16" s="979"/>
      <c r="B16" s="982" t="s">
        <v>492</v>
      </c>
      <c r="E16" s="301"/>
      <c r="F16" s="236"/>
      <c r="G16" s="580"/>
      <c r="H16" s="264"/>
      <c r="I16" s="4"/>
      <c r="J16" s="4"/>
      <c r="K16" s="4"/>
      <c r="L16" s="607"/>
    </row>
    <row r="17" spans="2:12" ht="18" customHeight="1" x14ac:dyDescent="0.2">
      <c r="B17" s="262" t="s">
        <v>493</v>
      </c>
      <c r="C17" s="1446" t="s">
        <v>599</v>
      </c>
      <c r="D17" s="1446"/>
      <c r="E17" s="263">
        <f>E14</f>
        <v>0</v>
      </c>
      <c r="F17" s="263">
        <f t="shared" ref="F17:G17" si="0">F14</f>
        <v>0</v>
      </c>
      <c r="G17" s="263">
        <f t="shared" si="0"/>
        <v>0</v>
      </c>
      <c r="H17" s="264"/>
      <c r="I17" s="4"/>
      <c r="J17" s="4"/>
      <c r="K17" s="4"/>
      <c r="L17" s="607"/>
    </row>
    <row r="18" spans="2:12" ht="18" customHeight="1" x14ac:dyDescent="0.2">
      <c r="B18" s="5"/>
      <c r="H18" s="264"/>
      <c r="I18" s="4"/>
      <c r="J18" s="4"/>
      <c r="K18" s="4"/>
    </row>
  </sheetData>
  <sheetProtection selectLockedCells="1" selectUnlockedCells="1"/>
  <mergeCells count="11">
    <mergeCell ref="B3:J3"/>
    <mergeCell ref="B4:J4"/>
    <mergeCell ref="B5:J5"/>
    <mergeCell ref="C6:J6"/>
    <mergeCell ref="B1:K1"/>
    <mergeCell ref="B8:B10"/>
    <mergeCell ref="C8:D8"/>
    <mergeCell ref="C17:D17"/>
    <mergeCell ref="E9:G9"/>
    <mergeCell ref="C11:D11"/>
    <mergeCell ref="C9:D10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9.85546875" style="157" customWidth="1"/>
    <col min="3" max="3" width="10.28515625" style="158" customWidth="1"/>
    <col min="4" max="4" width="11" style="158" customWidth="1"/>
    <col min="5" max="5" width="10.85546875" style="158" customWidth="1"/>
    <col min="6" max="6" width="33.7109375" style="158" customWidth="1"/>
    <col min="7" max="7" width="10.5703125" style="288" customWidth="1"/>
    <col min="8" max="8" width="12.42578125" style="288" customWidth="1"/>
    <col min="9" max="9" width="13" style="288" customWidth="1"/>
    <col min="10" max="10" width="9.140625" style="157"/>
    <col min="11" max="16384" width="9.140625" style="10"/>
  </cols>
  <sheetData>
    <row r="1" spans="1:10" ht="12.75" customHeight="1" x14ac:dyDescent="0.2">
      <c r="B1" s="1244" t="s">
        <v>1365</v>
      </c>
      <c r="C1" s="1299"/>
      <c r="D1" s="1299"/>
      <c r="E1" s="1299"/>
      <c r="F1" s="1299"/>
      <c r="G1" s="1299"/>
      <c r="H1" s="1299"/>
      <c r="I1" s="1299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47" t="s">
        <v>77</v>
      </c>
      <c r="C4" s="1247"/>
      <c r="D4" s="1247"/>
      <c r="E4" s="1247"/>
      <c r="F4" s="1247"/>
      <c r="G4" s="1247"/>
      <c r="H4" s="1247"/>
      <c r="I4" s="1247"/>
      <c r="J4" s="160"/>
    </row>
    <row r="5" spans="1:10" s="122" customFormat="1" x14ac:dyDescent="0.2">
      <c r="A5" s="160"/>
      <c r="B5" s="1360" t="s">
        <v>183</v>
      </c>
      <c r="C5" s="1360"/>
      <c r="D5" s="1360"/>
      <c r="E5" s="1360"/>
      <c r="F5" s="1360"/>
      <c r="G5" s="1360"/>
      <c r="H5" s="1360"/>
      <c r="I5" s="1360"/>
      <c r="J5" s="160"/>
    </row>
    <row r="6" spans="1:10" s="122" customFormat="1" x14ac:dyDescent="0.2">
      <c r="A6" s="160"/>
      <c r="B6" s="1247" t="s">
        <v>1139</v>
      </c>
      <c r="C6" s="1247"/>
      <c r="D6" s="1247"/>
      <c r="E6" s="1247"/>
      <c r="F6" s="1247"/>
      <c r="G6" s="1247"/>
      <c r="H6" s="1247"/>
      <c r="I6" s="1247"/>
      <c r="J6" s="160"/>
    </row>
    <row r="7" spans="1:10" s="122" customFormat="1" x14ac:dyDescent="0.2">
      <c r="A7" s="160"/>
      <c r="B7" s="1248" t="s">
        <v>303</v>
      </c>
      <c r="C7" s="1248"/>
      <c r="D7" s="1248"/>
      <c r="E7" s="1248"/>
      <c r="F7" s="1248"/>
      <c r="G7" s="1248"/>
      <c r="H7" s="1248"/>
      <c r="I7" s="1248"/>
      <c r="J7" s="160"/>
    </row>
    <row r="8" spans="1:10" s="122" customFormat="1" ht="12.75" customHeight="1" x14ac:dyDescent="0.2">
      <c r="A8" s="1252" t="s">
        <v>56</v>
      </c>
      <c r="B8" s="1253" t="s">
        <v>57</v>
      </c>
      <c r="C8" s="1268" t="s">
        <v>58</v>
      </c>
      <c r="D8" s="1268"/>
      <c r="E8" s="1269"/>
      <c r="F8" s="1359" t="s">
        <v>59</v>
      </c>
      <c r="G8" s="1266" t="s">
        <v>60</v>
      </c>
      <c r="H8" s="1267"/>
      <c r="I8" s="1267"/>
      <c r="J8" s="604"/>
    </row>
    <row r="9" spans="1:10" s="122" customFormat="1" ht="12.75" customHeight="1" x14ac:dyDescent="0.2">
      <c r="A9" s="1252"/>
      <c r="B9" s="1253"/>
      <c r="C9" s="1245" t="s">
        <v>1140</v>
      </c>
      <c r="D9" s="1245"/>
      <c r="E9" s="1246"/>
      <c r="F9" s="1359"/>
      <c r="G9" s="1258" t="s">
        <v>1140</v>
      </c>
      <c r="H9" s="1258"/>
      <c r="I9" s="1258"/>
      <c r="J9" s="604"/>
    </row>
    <row r="10" spans="1:10" s="306" customFormat="1" ht="36.6" customHeight="1" x14ac:dyDescent="0.2">
      <c r="A10" s="1252"/>
      <c r="B10" s="304" t="s">
        <v>61</v>
      </c>
      <c r="C10" s="135" t="s">
        <v>62</v>
      </c>
      <c r="D10" s="135" t="s">
        <v>63</v>
      </c>
      <c r="E10" s="162" t="s">
        <v>64</v>
      </c>
      <c r="F10" s="305" t="s">
        <v>65</v>
      </c>
      <c r="G10" s="354" t="s">
        <v>62</v>
      </c>
      <c r="H10" s="354" t="s">
        <v>63</v>
      </c>
      <c r="I10" s="354" t="s">
        <v>64</v>
      </c>
      <c r="J10" s="611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216</v>
      </c>
      <c r="G12" s="283">
        <v>208582</v>
      </c>
      <c r="H12" s="283">
        <v>52046</v>
      </c>
      <c r="I12" s="465">
        <f>SUM(G12:H12)</f>
        <v>260628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534" t="s">
        <v>217</v>
      </c>
      <c r="G13" s="283">
        <v>44979</v>
      </c>
      <c r="H13" s="283">
        <v>9920</v>
      </c>
      <c r="I13" s="465">
        <f>SUM(G13:H13)</f>
        <v>54899</v>
      </c>
      <c r="J13" s="603"/>
    </row>
    <row r="14" spans="1:10" x14ac:dyDescent="0.2">
      <c r="A14" s="164">
        <f t="shared" si="0"/>
        <v>4</v>
      </c>
      <c r="B14" s="167" t="s">
        <v>193</v>
      </c>
      <c r="C14" s="118">
        <f>'tám, végl. pe.átv  '!C53</f>
        <v>0</v>
      </c>
      <c r="D14" s="118">
        <f>'tám, végl. pe.átv  '!D53</f>
        <v>915</v>
      </c>
      <c r="E14" s="283">
        <f t="shared" si="1"/>
        <v>915</v>
      </c>
      <c r="F14" s="139" t="s">
        <v>218</v>
      </c>
      <c r="G14" s="283">
        <v>171618</v>
      </c>
      <c r="H14" s="283">
        <v>54226</v>
      </c>
      <c r="I14" s="465">
        <f>SUM(G14:H14)</f>
        <v>225844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290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447</v>
      </c>
      <c r="G18" s="290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290"/>
      <c r="H19" s="290"/>
      <c r="I19" s="467"/>
      <c r="J19" s="190"/>
    </row>
    <row r="20" spans="1:10" x14ac:dyDescent="0.2">
      <c r="A20" s="164">
        <f t="shared" si="0"/>
        <v>10</v>
      </c>
      <c r="B20" s="116" t="s">
        <v>195</v>
      </c>
      <c r="C20" s="355">
        <v>85267</v>
      </c>
      <c r="D20" s="355">
        <v>52284</v>
      </c>
      <c r="E20" s="355">
        <f>SUM(C20:D20)</f>
        <v>137551</v>
      </c>
      <c r="F20" s="139" t="s">
        <v>191</v>
      </c>
      <c r="G20" s="290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931</v>
      </c>
      <c r="G21" s="290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932</v>
      </c>
      <c r="G22" s="290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425179</v>
      </c>
      <c r="H24" s="356">
        <f>SUM(H12:H22)</f>
        <v>116192</v>
      </c>
      <c r="I24" s="468">
        <f>SUM(I12:I22)</f>
        <v>541371</v>
      </c>
      <c r="J24" s="190"/>
    </row>
    <row r="25" spans="1:10" x14ac:dyDescent="0.2">
      <c r="A25" s="164">
        <f t="shared" si="0"/>
        <v>15</v>
      </c>
      <c r="B25" s="167" t="s">
        <v>45</v>
      </c>
      <c r="C25" s="168">
        <f>'felh. bev.  '!D44</f>
        <v>0</v>
      </c>
      <c r="D25" s="168">
        <f>'felh. bev.  '!E44</f>
        <v>1285</v>
      </c>
      <c r="E25" s="168">
        <f>'felh. bev.  '!F44</f>
        <v>1285</v>
      </c>
      <c r="F25" s="171"/>
      <c r="G25" s="290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290">
        <f>'felhalm. kiad.  '!G109</f>
        <v>0</v>
      </c>
      <c r="H27" s="290">
        <f>'felhalm. kiad.  '!H109</f>
        <v>36600</v>
      </c>
      <c r="I27" s="467">
        <f>SUM(G27:H27)</f>
        <v>36600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290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290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85267</v>
      </c>
      <c r="D32" s="168">
        <f>D14+D20</f>
        <v>53199</v>
      </c>
      <c r="E32" s="168">
        <f>E14+E20</f>
        <v>138466</v>
      </c>
      <c r="F32" s="139" t="s">
        <v>441</v>
      </c>
      <c r="G32" s="28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>
        <f>C16+C23+C24+C25+C26+C27+C30</f>
        <v>0</v>
      </c>
      <c r="D33" s="177">
        <f t="shared" ref="D33:E33" si="2">D16+D23+D24+D25+D26+D27+D30</f>
        <v>1285</v>
      </c>
      <c r="E33" s="177">
        <f t="shared" si="2"/>
        <v>1285</v>
      </c>
      <c r="F33" s="176" t="s">
        <v>68</v>
      </c>
      <c r="G33" s="357">
        <f>SUM(G27:G32)</f>
        <v>0</v>
      </c>
      <c r="H33" s="357">
        <f>SUM(H27:H32)</f>
        <v>36600</v>
      </c>
      <c r="I33" s="469">
        <f>SUM(I27:I31)</f>
        <v>36600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85267</v>
      </c>
      <c r="D34" s="173">
        <f>SUM(D32:D33)</f>
        <v>54484</v>
      </c>
      <c r="E34" s="173">
        <f>SUM(C34:D34)</f>
        <v>139751</v>
      </c>
      <c r="F34" s="179" t="s">
        <v>69</v>
      </c>
      <c r="G34" s="358">
        <f>G24+G33</f>
        <v>425179</v>
      </c>
      <c r="H34" s="358">
        <f>H24+H33</f>
        <v>152792</v>
      </c>
      <c r="I34" s="444">
        <f>I24+I33</f>
        <v>577971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684</v>
      </c>
      <c r="C39" s="126"/>
      <c r="D39" s="126"/>
      <c r="E39" s="126"/>
      <c r="F39" s="181" t="s">
        <v>4</v>
      </c>
      <c r="G39" s="189"/>
      <c r="I39" s="470"/>
      <c r="J39" s="509"/>
    </row>
    <row r="40" spans="1:10" s="11" customFormat="1" x14ac:dyDescent="0.2">
      <c r="A40" s="164">
        <f t="shared" si="0"/>
        <v>30</v>
      </c>
      <c r="B40" s="116" t="s">
        <v>962</v>
      </c>
      <c r="C40" s="126"/>
      <c r="D40" s="126"/>
      <c r="E40" s="126"/>
      <c r="F40" s="535" t="s">
        <v>3</v>
      </c>
      <c r="G40" s="358"/>
      <c r="H40" s="358"/>
      <c r="I40" s="444"/>
      <c r="J40" s="509"/>
    </row>
    <row r="41" spans="1:10" x14ac:dyDescent="0.2">
      <c r="A41" s="164">
        <f t="shared" si="0"/>
        <v>31</v>
      </c>
      <c r="B41" s="118" t="s">
        <v>686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3" t="s">
        <v>273</v>
      </c>
      <c r="C43" s="119">
        <v>2162</v>
      </c>
      <c r="D43" s="119">
        <v>0</v>
      </c>
      <c r="E43" s="119">
        <f>C43+D43</f>
        <v>2162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3" t="s">
        <v>960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687</v>
      </c>
      <c r="C45" s="119"/>
      <c r="D45" s="119"/>
      <c r="E45" s="119"/>
      <c r="F45" s="139" t="s">
        <v>8</v>
      </c>
      <c r="G45" s="358"/>
      <c r="H45" s="358"/>
      <c r="I45" s="467"/>
      <c r="J45" s="190"/>
    </row>
    <row r="46" spans="1:10" x14ac:dyDescent="0.2">
      <c r="A46" s="164">
        <f t="shared" si="0"/>
        <v>36</v>
      </c>
      <c r="B46" s="119" t="s">
        <v>688</v>
      </c>
      <c r="C46" s="126"/>
      <c r="D46" s="126"/>
      <c r="E46" s="126"/>
      <c r="F46" s="139" t="s">
        <v>9</v>
      </c>
      <c r="G46" s="358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290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119">
        <f>G24-(C32+C43)</f>
        <v>337750</v>
      </c>
      <c r="D48" s="119">
        <f>H24-(D32+D43)</f>
        <v>62993</v>
      </c>
      <c r="E48" s="119">
        <f>I24-(E32+E43)</f>
        <v>400743</v>
      </c>
      <c r="F48" s="139" t="s">
        <v>11</v>
      </c>
      <c r="G48" s="290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0</v>
      </c>
      <c r="D49" s="119">
        <f>H33-D33</f>
        <v>35315</v>
      </c>
      <c r="E49" s="119">
        <f>I33-E33</f>
        <v>35315</v>
      </c>
      <c r="F49" s="139" t="s">
        <v>12</v>
      </c>
      <c r="G49" s="290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339912</v>
      </c>
      <c r="D53" s="126">
        <f>SUM(D39:D51)</f>
        <v>98308</v>
      </c>
      <c r="E53" s="126">
        <f>SUM(E39:E51)</f>
        <v>438220</v>
      </c>
      <c r="F53" s="140" t="s">
        <v>442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3">
        <f t="shared" si="0"/>
        <v>44</v>
      </c>
      <c r="B54" s="1106" t="s">
        <v>444</v>
      </c>
      <c r="C54" s="1070">
        <f>C34+C53</f>
        <v>425179</v>
      </c>
      <c r="D54" s="302">
        <f>D34+D53</f>
        <v>152792</v>
      </c>
      <c r="E54" s="919">
        <f>E34+E53</f>
        <v>577971</v>
      </c>
      <c r="F54" s="503" t="s">
        <v>443</v>
      </c>
      <c r="G54" s="1105">
        <f>G34+G53</f>
        <v>425179</v>
      </c>
      <c r="H54" s="927">
        <f>H34+H53</f>
        <v>152792</v>
      </c>
      <c r="I54" s="803">
        <f>I34+I53</f>
        <v>577971</v>
      </c>
      <c r="J54" s="289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</row>
  </sheetData>
  <sheetProtection selectLockedCells="1" selectUnlockedCells="1"/>
  <mergeCells count="12">
    <mergeCell ref="A8:A10"/>
    <mergeCell ref="B8:B9"/>
    <mergeCell ref="C8:E8"/>
    <mergeCell ref="C9:E9"/>
    <mergeCell ref="G9:I9"/>
    <mergeCell ref="B1:I1"/>
    <mergeCell ref="F8:F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85546875" style="157" customWidth="1"/>
    <col min="3" max="3" width="11.28515625" style="158" customWidth="1"/>
    <col min="4" max="4" width="13.85546875" style="158" customWidth="1"/>
    <col min="5" max="5" width="13" style="158" customWidth="1"/>
    <col min="6" max="6" width="35.42578125" style="158" customWidth="1"/>
    <col min="7" max="7" width="12.140625" style="288" customWidth="1"/>
    <col min="8" max="8" width="11.42578125" style="288" customWidth="1"/>
    <col min="9" max="9" width="12.85546875" style="288" customWidth="1"/>
    <col min="10" max="10" width="9.140625" style="157"/>
    <col min="11" max="16384" width="9.140625" style="10"/>
  </cols>
  <sheetData>
    <row r="1" spans="1:10" ht="12.75" x14ac:dyDescent="0.2">
      <c r="B1" s="1244" t="s">
        <v>1366</v>
      </c>
      <c r="C1" s="1299"/>
      <c r="D1" s="1299"/>
      <c r="E1" s="1299"/>
      <c r="F1" s="1299"/>
      <c r="G1" s="1299"/>
      <c r="H1" s="1299"/>
      <c r="I1" s="1299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47" t="s">
        <v>77</v>
      </c>
      <c r="C4" s="1247"/>
      <c r="D4" s="1247"/>
      <c r="E4" s="1247"/>
      <c r="F4" s="1247"/>
      <c r="G4" s="1247"/>
      <c r="H4" s="1247"/>
      <c r="I4" s="1247"/>
      <c r="J4" s="160"/>
    </row>
    <row r="5" spans="1:10" s="122" customFormat="1" x14ac:dyDescent="0.2">
      <c r="A5" s="160"/>
      <c r="B5" s="1360" t="s">
        <v>184</v>
      </c>
      <c r="C5" s="1360"/>
      <c r="D5" s="1360"/>
      <c r="E5" s="1360"/>
      <c r="F5" s="1360"/>
      <c r="G5" s="1360"/>
      <c r="H5" s="1360"/>
      <c r="I5" s="1360"/>
      <c r="J5" s="160"/>
    </row>
    <row r="6" spans="1:10" s="122" customFormat="1" x14ac:dyDescent="0.2">
      <c r="A6" s="160"/>
      <c r="B6" s="1247" t="s">
        <v>1139</v>
      </c>
      <c r="C6" s="1247"/>
      <c r="D6" s="1247"/>
      <c r="E6" s="1247"/>
      <c r="F6" s="1247"/>
      <c r="G6" s="1247"/>
      <c r="H6" s="1247"/>
      <c r="I6" s="1247"/>
      <c r="J6" s="160"/>
    </row>
    <row r="7" spans="1:10" s="122" customFormat="1" x14ac:dyDescent="0.2">
      <c r="A7" s="160"/>
      <c r="B7" s="1248" t="s">
        <v>303</v>
      </c>
      <c r="C7" s="1248"/>
      <c r="D7" s="1248"/>
      <c r="E7" s="1248"/>
      <c r="F7" s="1248"/>
      <c r="G7" s="1248"/>
      <c r="H7" s="1248"/>
      <c r="I7" s="1248"/>
      <c r="J7" s="160"/>
    </row>
    <row r="8" spans="1:10" s="122" customFormat="1" ht="12.75" customHeight="1" x14ac:dyDescent="0.2">
      <c r="A8" s="1271" t="s">
        <v>56</v>
      </c>
      <c r="B8" s="1452" t="s">
        <v>57</v>
      </c>
      <c r="C8" s="1269" t="s">
        <v>58</v>
      </c>
      <c r="D8" s="1253"/>
      <c r="E8" s="1304"/>
      <c r="F8" s="1454" t="s">
        <v>59</v>
      </c>
      <c r="G8" s="1266" t="s">
        <v>60</v>
      </c>
      <c r="H8" s="1267"/>
      <c r="I8" s="1267"/>
      <c r="J8" s="604"/>
    </row>
    <row r="9" spans="1:10" s="122" customFormat="1" ht="12.75" customHeight="1" x14ac:dyDescent="0.2">
      <c r="A9" s="1272"/>
      <c r="B9" s="1453"/>
      <c r="C9" s="1246" t="s">
        <v>1140</v>
      </c>
      <c r="D9" s="1382"/>
      <c r="E9" s="1456"/>
      <c r="F9" s="1455"/>
      <c r="G9" s="1259" t="s">
        <v>1140</v>
      </c>
      <c r="H9" s="1457"/>
      <c r="I9" s="1458"/>
      <c r="J9" s="604"/>
    </row>
    <row r="10" spans="1:10" s="306" customFormat="1" ht="36.6" customHeight="1" x14ac:dyDescent="0.2">
      <c r="A10" s="1273"/>
      <c r="B10" s="304" t="s">
        <v>61</v>
      </c>
      <c r="C10" s="135" t="s">
        <v>62</v>
      </c>
      <c r="D10" s="135" t="s">
        <v>63</v>
      </c>
      <c r="E10" s="135" t="s">
        <v>64</v>
      </c>
      <c r="F10" s="291" t="s">
        <v>65</v>
      </c>
      <c r="G10" s="354" t="s">
        <v>62</v>
      </c>
      <c r="H10" s="354" t="s">
        <v>63</v>
      </c>
      <c r="I10" s="354" t="s">
        <v>64</v>
      </c>
      <c r="J10" s="611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>SUM(C12:D12)</f>
        <v>0</v>
      </c>
      <c r="F12" s="139" t="s">
        <v>216</v>
      </c>
      <c r="G12" s="283">
        <v>86936</v>
      </c>
      <c r="H12" s="283">
        <v>8217</v>
      </c>
      <c r="I12" s="465">
        <f>SUM(G12:H12)</f>
        <v>95153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>SUM(C13:D13)</f>
        <v>0</v>
      </c>
      <c r="F13" s="534" t="s">
        <v>217</v>
      </c>
      <c r="G13" s="283">
        <v>15178</v>
      </c>
      <c r="H13" s="283">
        <v>2235</v>
      </c>
      <c r="I13" s="465">
        <f>SUM(G13:H13)</f>
        <v>17413</v>
      </c>
      <c r="J13" s="190"/>
    </row>
    <row r="14" spans="1:10" x14ac:dyDescent="0.2">
      <c r="A14" s="164">
        <f t="shared" si="0"/>
        <v>4</v>
      </c>
      <c r="B14" s="167" t="s">
        <v>37</v>
      </c>
      <c r="C14" s="118"/>
      <c r="D14" s="118"/>
      <c r="E14" s="119">
        <f>SUM(C14:D14)</f>
        <v>0</v>
      </c>
      <c r="F14" s="139" t="s">
        <v>218</v>
      </c>
      <c r="G14" s="283">
        <v>14058</v>
      </c>
      <c r="H14" s="283"/>
      <c r="I14" s="465">
        <f>SUM(G14:H14)</f>
        <v>14058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>SUM(C16:D16)</f>
        <v>0</v>
      </c>
      <c r="F16" s="139" t="s">
        <v>28</v>
      </c>
      <c r="G16" s="290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>SUM(C18:D18)</f>
        <v>0</v>
      </c>
      <c r="F18" s="139" t="s">
        <v>447</v>
      </c>
      <c r="G18" s="290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290"/>
      <c r="H19" s="290"/>
      <c r="I19" s="467"/>
      <c r="J19" s="190"/>
    </row>
    <row r="20" spans="1:10" x14ac:dyDescent="0.2">
      <c r="A20" s="164">
        <f t="shared" si="0"/>
        <v>10</v>
      </c>
      <c r="B20" s="116" t="s">
        <v>41</v>
      </c>
      <c r="C20" s="168">
        <v>0</v>
      </c>
      <c r="D20" s="168"/>
      <c r="E20" s="441">
        <f>SUM(C20:D20)</f>
        <v>0</v>
      </c>
      <c r="F20" s="158" t="s">
        <v>930</v>
      </c>
      <c r="G20" s="290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441"/>
      <c r="F21" s="119" t="s">
        <v>931</v>
      </c>
      <c r="G21" s="290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932</v>
      </c>
      <c r="G22" s="290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116172</v>
      </c>
      <c r="H24" s="356">
        <f>SUM(H12:H22)</f>
        <v>10452</v>
      </c>
      <c r="I24" s="468">
        <f>SUM(I12:I22)</f>
        <v>126624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0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227</v>
      </c>
      <c r="G27" s="290">
        <f>'felhalm. kiad.  '!G127</f>
        <v>2000</v>
      </c>
      <c r="H27" s="290">
        <f>'felhalm. kiad.  '!H127</f>
        <v>0</v>
      </c>
      <c r="I27" s="467">
        <f>SUM(G27:H27)</f>
        <v>2000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290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290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0</v>
      </c>
      <c r="D32" s="168">
        <f>D14+D20</f>
        <v>0</v>
      </c>
      <c r="E32" s="168">
        <f>E14+E20</f>
        <v>0</v>
      </c>
      <c r="F32" s="139" t="s">
        <v>441</v>
      </c>
      <c r="G32" s="28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7">
        <f>SUM(G27:G32)</f>
        <v>2000</v>
      </c>
      <c r="H33" s="357">
        <f>SUM(H27:H32)</f>
        <v>0</v>
      </c>
      <c r="I33" s="469">
        <f>SUM(I27:I31)</f>
        <v>2000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0</v>
      </c>
      <c r="D34" s="173">
        <f>SUM(D32:D33)</f>
        <v>0</v>
      </c>
      <c r="E34" s="173">
        <f>SUM(C34:D34)</f>
        <v>0</v>
      </c>
      <c r="F34" s="179" t="s">
        <v>69</v>
      </c>
      <c r="G34" s="358">
        <f>G24+G33</f>
        <v>118172</v>
      </c>
      <c r="H34" s="358">
        <f>H24+H33</f>
        <v>10452</v>
      </c>
      <c r="I34" s="444">
        <f>I24+I33</f>
        <v>128624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684</v>
      </c>
      <c r="C39" s="126"/>
      <c r="D39" s="126"/>
      <c r="E39" s="126"/>
      <c r="F39" s="181" t="s">
        <v>4</v>
      </c>
      <c r="G39" s="189"/>
      <c r="I39" s="470"/>
      <c r="J39" s="509"/>
    </row>
    <row r="40" spans="1:10" s="11" customFormat="1" x14ac:dyDescent="0.2">
      <c r="A40" s="164">
        <f t="shared" si="0"/>
        <v>30</v>
      </c>
      <c r="B40" s="116" t="s">
        <v>963</v>
      </c>
      <c r="C40" s="126"/>
      <c r="D40" s="126"/>
      <c r="E40" s="126"/>
      <c r="F40" s="535" t="s">
        <v>3</v>
      </c>
      <c r="G40" s="358"/>
      <c r="H40" s="358"/>
      <c r="I40" s="444"/>
      <c r="J40" s="509"/>
    </row>
    <row r="41" spans="1:10" x14ac:dyDescent="0.2">
      <c r="A41" s="164">
        <f t="shared" si="0"/>
        <v>31</v>
      </c>
      <c r="B41" s="118" t="s">
        <v>686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3" t="s">
        <v>209</v>
      </c>
      <c r="C43" s="119">
        <v>43</v>
      </c>
      <c r="D43" s="119"/>
      <c r="E43" s="119">
        <f>C43+D43</f>
        <v>43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3" t="s">
        <v>960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687</v>
      </c>
      <c r="C45" s="119"/>
      <c r="D45" s="119"/>
      <c r="E45" s="119"/>
      <c r="F45" s="139" t="s">
        <v>8</v>
      </c>
      <c r="G45" s="358"/>
      <c r="H45" s="358"/>
      <c r="I45" s="467"/>
      <c r="J45" s="190"/>
    </row>
    <row r="46" spans="1:10" x14ac:dyDescent="0.2">
      <c r="A46" s="164">
        <f t="shared" si="0"/>
        <v>36</v>
      </c>
      <c r="B46" s="119" t="s">
        <v>688</v>
      </c>
      <c r="C46" s="126"/>
      <c r="D46" s="126"/>
      <c r="E46" s="126"/>
      <c r="F46" s="139" t="s">
        <v>9</v>
      </c>
      <c r="G46" s="358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290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119">
        <f>G24-(C34+C43)</f>
        <v>116129</v>
      </c>
      <c r="D48" s="119">
        <f>H24-(D34+D43)</f>
        <v>10452</v>
      </c>
      <c r="E48" s="119">
        <f>I24-(E34+E43)</f>
        <v>126581</v>
      </c>
      <c r="F48" s="139" t="s">
        <v>11</v>
      </c>
      <c r="G48" s="290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2000</v>
      </c>
      <c r="D49" s="119"/>
      <c r="E49" s="119">
        <f>I33-E33</f>
        <v>2000</v>
      </c>
      <c r="F49" s="139" t="s">
        <v>12</v>
      </c>
      <c r="G49" s="290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118172</v>
      </c>
      <c r="D53" s="126">
        <f>SUM(D39:D51)</f>
        <v>10452</v>
      </c>
      <c r="E53" s="126">
        <f>SUM(E39:E51)</f>
        <v>128624</v>
      </c>
      <c r="F53" s="140" t="s">
        <v>442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3">
        <f t="shared" si="0"/>
        <v>44</v>
      </c>
      <c r="B54" s="1107" t="s">
        <v>444</v>
      </c>
      <c r="C54" s="302">
        <f>C34+C53</f>
        <v>118172</v>
      </c>
      <c r="D54" s="302">
        <f>D34+D53</f>
        <v>10452</v>
      </c>
      <c r="E54" s="919">
        <f>E34+E53</f>
        <v>128624</v>
      </c>
      <c r="F54" s="503" t="s">
        <v>443</v>
      </c>
      <c r="G54" s="1105">
        <f>G34+G53</f>
        <v>118172</v>
      </c>
      <c r="H54" s="802">
        <f>H34+H53</f>
        <v>10452</v>
      </c>
      <c r="I54" s="803">
        <f>I34+I53</f>
        <v>128624</v>
      </c>
      <c r="J54" s="10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7" customWidth="1"/>
    <col min="2" max="2" width="38.28515625" style="157" customWidth="1"/>
    <col min="3" max="3" width="10.140625" style="158" customWidth="1"/>
    <col min="4" max="4" width="11.140625" style="158" customWidth="1"/>
    <col min="5" max="5" width="11.5703125" style="158" customWidth="1"/>
    <col min="6" max="6" width="38" style="158" customWidth="1"/>
    <col min="7" max="7" width="10.42578125" style="158" customWidth="1"/>
    <col min="8" max="8" width="12" style="288" customWidth="1"/>
    <col min="9" max="9" width="13.28515625" style="288" customWidth="1"/>
    <col min="10" max="10" width="9.140625" style="157"/>
    <col min="11" max="16384" width="9.140625" style="10"/>
  </cols>
  <sheetData>
    <row r="1" spans="1:10" ht="12.75" customHeight="1" x14ac:dyDescent="0.2">
      <c r="C1" s="1244" t="s">
        <v>1367</v>
      </c>
      <c r="D1" s="1244"/>
      <c r="E1" s="1244"/>
      <c r="F1" s="1244"/>
      <c r="G1" s="1244"/>
      <c r="H1" s="1244"/>
      <c r="I1" s="1244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47" t="s">
        <v>77</v>
      </c>
      <c r="C4" s="1247"/>
      <c r="D4" s="1247"/>
      <c r="E4" s="1247"/>
      <c r="F4" s="1247"/>
      <c r="G4" s="1247"/>
      <c r="H4" s="1247"/>
      <c r="I4" s="1247"/>
      <c r="J4" s="160"/>
    </row>
    <row r="5" spans="1:10" s="122" customFormat="1" x14ac:dyDescent="0.2">
      <c r="A5" s="160"/>
      <c r="B5" s="1360" t="s">
        <v>692</v>
      </c>
      <c r="C5" s="1360"/>
      <c r="D5" s="1360"/>
      <c r="E5" s="1360"/>
      <c r="F5" s="1360"/>
      <c r="G5" s="1360"/>
      <c r="H5" s="1360"/>
      <c r="I5" s="1360"/>
      <c r="J5" s="160"/>
    </row>
    <row r="6" spans="1:10" s="122" customFormat="1" ht="12.75" customHeight="1" x14ac:dyDescent="0.2">
      <c r="A6" s="160"/>
      <c r="B6" s="1460" t="s">
        <v>1144</v>
      </c>
      <c r="C6" s="1460"/>
      <c r="D6" s="1460"/>
      <c r="E6" s="1460"/>
      <c r="F6" s="1460"/>
      <c r="G6" s="1460"/>
      <c r="H6" s="1460"/>
      <c r="I6" s="1460"/>
    </row>
    <row r="7" spans="1:10" s="122" customFormat="1" x14ac:dyDescent="0.2">
      <c r="A7" s="160"/>
      <c r="B7" s="1248" t="s">
        <v>303</v>
      </c>
      <c r="C7" s="1248"/>
      <c r="D7" s="1248"/>
      <c r="E7" s="1248"/>
      <c r="F7" s="1248"/>
      <c r="G7" s="1248"/>
      <c r="H7" s="1248"/>
      <c r="I7" s="1248"/>
      <c r="J7" s="160"/>
    </row>
    <row r="8" spans="1:10" s="122" customFormat="1" ht="12.75" customHeight="1" x14ac:dyDescent="0.2">
      <c r="A8" s="1252" t="s">
        <v>56</v>
      </c>
      <c r="B8" s="1253" t="s">
        <v>57</v>
      </c>
      <c r="C8" s="1269" t="s">
        <v>58</v>
      </c>
      <c r="D8" s="1253"/>
      <c r="E8" s="1304"/>
      <c r="F8" s="1459" t="s">
        <v>59</v>
      </c>
      <c r="G8" s="1266" t="s">
        <v>60</v>
      </c>
      <c r="H8" s="1267"/>
      <c r="I8" s="1267"/>
    </row>
    <row r="9" spans="1:10" s="122" customFormat="1" ht="12.75" customHeight="1" x14ac:dyDescent="0.2">
      <c r="A9" s="1252"/>
      <c r="B9" s="1253"/>
      <c r="C9" s="1246" t="s">
        <v>1140</v>
      </c>
      <c r="D9" s="1382"/>
      <c r="E9" s="1456"/>
      <c r="F9" s="1459"/>
      <c r="G9" s="1259" t="s">
        <v>1140</v>
      </c>
      <c r="H9" s="1457"/>
      <c r="I9" s="1458"/>
    </row>
    <row r="10" spans="1:10" s="123" customFormat="1" ht="36.6" customHeight="1" x14ac:dyDescent="0.2">
      <c r="A10" s="1252"/>
      <c r="B10" s="161" t="s">
        <v>61</v>
      </c>
      <c r="C10" s="135" t="s">
        <v>62</v>
      </c>
      <c r="D10" s="135" t="s">
        <v>63</v>
      </c>
      <c r="E10" s="135" t="s">
        <v>64</v>
      </c>
      <c r="F10" s="630" t="s">
        <v>65</v>
      </c>
      <c r="G10" s="135" t="s">
        <v>62</v>
      </c>
      <c r="H10" s="354" t="s">
        <v>63</v>
      </c>
      <c r="I10" s="354" t="s">
        <v>64</v>
      </c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4"/>
      <c r="J11" s="1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216</v>
      </c>
      <c r="G12" s="283">
        <v>47602</v>
      </c>
      <c r="H12" s="283">
        <v>42920</v>
      </c>
      <c r="I12" s="465">
        <f>SUM(G12:H12)</f>
        <v>90522</v>
      </c>
      <c r="J12" s="1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139" t="s">
        <v>217</v>
      </c>
      <c r="G13" s="283">
        <v>7106</v>
      </c>
      <c r="H13" s="283">
        <v>10149</v>
      </c>
      <c r="I13" s="465">
        <f>SUM(G13:H13)</f>
        <v>17255</v>
      </c>
      <c r="J13" s="10"/>
    </row>
    <row r="14" spans="1:10" x14ac:dyDescent="0.2">
      <c r="A14" s="164">
        <f t="shared" si="0"/>
        <v>4</v>
      </c>
      <c r="B14" s="167" t="s">
        <v>37</v>
      </c>
      <c r="C14" s="118">
        <v>0</v>
      </c>
      <c r="D14" s="118">
        <f>'tám, végl. pe.átv  '!D57</f>
        <v>0</v>
      </c>
      <c r="E14" s="119">
        <f t="shared" si="1"/>
        <v>0</v>
      </c>
      <c r="F14" s="139" t="s">
        <v>218</v>
      </c>
      <c r="G14" s="283">
        <v>70953</v>
      </c>
      <c r="H14" s="283">
        <v>88852</v>
      </c>
      <c r="I14" s="465">
        <f>SUM(G14:H14)</f>
        <v>159805</v>
      </c>
      <c r="J14" s="1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6"/>
      <c r="J15" s="1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169"/>
      <c r="H16" s="290"/>
      <c r="I16" s="467"/>
      <c r="J16" s="10"/>
    </row>
    <row r="17" spans="1:12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7"/>
      <c r="J17" s="10"/>
    </row>
    <row r="18" spans="1:12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447</v>
      </c>
      <c r="G18" s="169"/>
      <c r="H18" s="290"/>
      <c r="I18" s="467"/>
      <c r="J18" s="10"/>
    </row>
    <row r="19" spans="1:12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169"/>
      <c r="H19" s="290"/>
      <c r="I19" s="467"/>
      <c r="J19" s="10"/>
    </row>
    <row r="20" spans="1:12" x14ac:dyDescent="0.2">
      <c r="A20" s="164">
        <f t="shared" si="0"/>
        <v>10</v>
      </c>
      <c r="B20" s="116" t="s">
        <v>195</v>
      </c>
      <c r="C20" s="355">
        <v>70500</v>
      </c>
      <c r="D20" s="355">
        <v>33707</v>
      </c>
      <c r="E20" s="168">
        <f>SUM(C20:D20)</f>
        <v>104207</v>
      </c>
      <c r="F20" s="139" t="s">
        <v>929</v>
      </c>
      <c r="G20" s="169"/>
      <c r="H20" s="290"/>
      <c r="I20" s="467">
        <f>G20+H20</f>
        <v>0</v>
      </c>
      <c r="J20" s="10"/>
    </row>
    <row r="21" spans="1:12" x14ac:dyDescent="0.2">
      <c r="A21" s="164">
        <f t="shared" si="0"/>
        <v>11</v>
      </c>
      <c r="C21" s="168"/>
      <c r="D21" s="168"/>
      <c r="E21" s="168"/>
      <c r="F21" s="139" t="s">
        <v>439</v>
      </c>
      <c r="G21" s="169"/>
      <c r="H21" s="290"/>
      <c r="I21" s="467"/>
      <c r="J21" s="10"/>
    </row>
    <row r="22" spans="1:12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440</v>
      </c>
      <c r="G22" s="169"/>
      <c r="H22" s="290"/>
      <c r="I22" s="467"/>
    </row>
    <row r="23" spans="1:12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7"/>
    </row>
    <row r="24" spans="1:12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125661</v>
      </c>
      <c r="H24" s="356">
        <f>SUM(H12:H22)</f>
        <v>141921</v>
      </c>
      <c r="I24" s="468">
        <f>SUM(I12:I22)</f>
        <v>267582</v>
      </c>
      <c r="J24" s="10"/>
    </row>
    <row r="25" spans="1:12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169"/>
      <c r="H25" s="290"/>
      <c r="I25" s="467"/>
      <c r="J25" s="10"/>
      <c r="L25" s="289"/>
    </row>
    <row r="26" spans="1:12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7"/>
      <c r="J26" s="10"/>
    </row>
    <row r="27" spans="1:12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169">
        <f>'felhalm. kiad.  '!G116</f>
        <v>2500</v>
      </c>
      <c r="H27" s="169">
        <f>'felhalm. kiad.  '!H116</f>
        <v>2500</v>
      </c>
      <c r="I27" s="443">
        <f>'felhalm. kiad.  '!F116</f>
        <v>5000</v>
      </c>
      <c r="J27" s="10"/>
    </row>
    <row r="28" spans="1:12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7"/>
      <c r="J28" s="10"/>
    </row>
    <row r="29" spans="1:12" x14ac:dyDescent="0.2">
      <c r="A29" s="164">
        <f t="shared" si="0"/>
        <v>19</v>
      </c>
      <c r="B29" s="157" t="s">
        <v>50</v>
      </c>
      <c r="C29" s="119">
        <f>'tám, végl. pe.átv  '!C60</f>
        <v>0</v>
      </c>
      <c r="D29" s="119">
        <f>'tám, végl. pe.átv  '!D60</f>
        <v>203</v>
      </c>
      <c r="E29" s="119">
        <f>'tám, végl. pe.átv  '!E60</f>
        <v>203</v>
      </c>
      <c r="F29" s="139" t="s">
        <v>32</v>
      </c>
      <c r="G29" s="169"/>
      <c r="H29" s="290"/>
      <c r="I29" s="467"/>
      <c r="J29" s="10"/>
    </row>
    <row r="30" spans="1:12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169"/>
      <c r="H30" s="290"/>
      <c r="I30" s="467"/>
      <c r="K30" s="800"/>
    </row>
    <row r="31" spans="1:12" x14ac:dyDescent="0.2">
      <c r="A31" s="164">
        <f t="shared" si="0"/>
        <v>21</v>
      </c>
      <c r="C31" s="119"/>
      <c r="D31" s="119"/>
      <c r="E31" s="119"/>
      <c r="F31" s="139" t="s">
        <v>445</v>
      </c>
      <c r="G31" s="169"/>
      <c r="H31" s="290"/>
      <c r="I31" s="467"/>
      <c r="J31" s="10"/>
    </row>
    <row r="32" spans="1:12" s="11" customFormat="1" x14ac:dyDescent="0.2">
      <c r="A32" s="164">
        <f t="shared" si="0"/>
        <v>22</v>
      </c>
      <c r="B32" s="174" t="s">
        <v>52</v>
      </c>
      <c r="C32" s="168">
        <f>C14+C20</f>
        <v>70500</v>
      </c>
      <c r="D32" s="168">
        <f>D14+D20+D29</f>
        <v>33910</v>
      </c>
      <c r="E32" s="168">
        <f>E14+E20+E29</f>
        <v>104410</v>
      </c>
      <c r="F32" s="139" t="s">
        <v>441</v>
      </c>
      <c r="G32" s="158"/>
      <c r="H32" s="288"/>
      <c r="I32" s="467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177">
        <f>SUM(G27:G32)</f>
        <v>2500</v>
      </c>
      <c r="H33" s="357">
        <f>SUM(H27:H32)</f>
        <v>2500</v>
      </c>
      <c r="I33" s="469">
        <f>SUM(I27:I31)</f>
        <v>5000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70500</v>
      </c>
      <c r="D34" s="173">
        <f>SUM(D32:D33)</f>
        <v>33910</v>
      </c>
      <c r="E34" s="173">
        <f>SUM(C34:D34)</f>
        <v>104410</v>
      </c>
      <c r="F34" s="179" t="s">
        <v>69</v>
      </c>
      <c r="G34" s="173">
        <f>G24+G33</f>
        <v>128161</v>
      </c>
      <c r="H34" s="358">
        <f>H24+H33</f>
        <v>144421</v>
      </c>
      <c r="I34" s="444">
        <f>I24+I33</f>
        <v>272582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7"/>
      <c r="J35" s="1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68"/>
      <c r="J36" s="1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7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</row>
    <row r="39" spans="1:10" s="11" customFormat="1" ht="12" customHeight="1" x14ac:dyDescent="0.2">
      <c r="A39" s="164">
        <f t="shared" si="0"/>
        <v>29</v>
      </c>
      <c r="B39" s="136" t="s">
        <v>684</v>
      </c>
      <c r="C39" s="126"/>
      <c r="D39" s="126"/>
      <c r="E39" s="126"/>
      <c r="F39" s="181" t="s">
        <v>4</v>
      </c>
      <c r="G39" s="182"/>
      <c r="I39" s="470"/>
    </row>
    <row r="40" spans="1:10" s="11" customFormat="1" x14ac:dyDescent="0.2">
      <c r="A40" s="164">
        <f t="shared" si="0"/>
        <v>30</v>
      </c>
      <c r="B40" s="157" t="s">
        <v>964</v>
      </c>
      <c r="C40" s="126"/>
      <c r="D40" s="126"/>
      <c r="E40" s="126"/>
      <c r="F40" s="535" t="s">
        <v>3</v>
      </c>
      <c r="G40" s="173"/>
      <c r="H40" s="358"/>
      <c r="I40" s="444"/>
    </row>
    <row r="41" spans="1:10" x14ac:dyDescent="0.2">
      <c r="A41" s="164">
        <f t="shared" si="0"/>
        <v>31</v>
      </c>
      <c r="B41" s="118" t="s">
        <v>686</v>
      </c>
      <c r="C41" s="185"/>
      <c r="D41" s="185"/>
      <c r="E41" s="185"/>
      <c r="F41" s="139" t="s">
        <v>5</v>
      </c>
      <c r="G41" s="173"/>
      <c r="H41" s="358"/>
      <c r="I41" s="444"/>
      <c r="J41" s="1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2"/>
      <c r="H42" s="189"/>
      <c r="I42" s="444"/>
      <c r="J42" s="10"/>
    </row>
    <row r="43" spans="1:10" x14ac:dyDescent="0.2">
      <c r="A43" s="164">
        <f t="shared" si="0"/>
        <v>33</v>
      </c>
      <c r="B43" s="533" t="s">
        <v>209</v>
      </c>
      <c r="C43" s="119">
        <v>3148</v>
      </c>
      <c r="D43" s="119"/>
      <c r="E43" s="119">
        <f>C43+D43</f>
        <v>3148</v>
      </c>
      <c r="F43" s="139" t="s">
        <v>7</v>
      </c>
      <c r="G43" s="182"/>
      <c r="H43" s="189"/>
      <c r="I43" s="444"/>
      <c r="J43" s="10"/>
    </row>
    <row r="44" spans="1:10" x14ac:dyDescent="0.2">
      <c r="A44" s="164">
        <f t="shared" si="0"/>
        <v>34</v>
      </c>
      <c r="B44" s="533" t="s">
        <v>960</v>
      </c>
      <c r="C44" s="119"/>
      <c r="D44" s="119"/>
      <c r="E44" s="119">
        <f>C44+D44</f>
        <v>0</v>
      </c>
      <c r="F44" s="139"/>
      <c r="G44" s="182"/>
      <c r="H44" s="189"/>
      <c r="I44" s="444"/>
      <c r="J44" s="10"/>
    </row>
    <row r="45" spans="1:10" x14ac:dyDescent="0.2">
      <c r="A45" s="164">
        <f t="shared" si="0"/>
        <v>35</v>
      </c>
      <c r="B45" s="119" t="s">
        <v>687</v>
      </c>
      <c r="C45" s="119"/>
      <c r="D45" s="119"/>
      <c r="E45" s="119"/>
      <c r="F45" s="139" t="s">
        <v>8</v>
      </c>
      <c r="G45" s="173"/>
      <c r="H45" s="358"/>
      <c r="I45" s="467"/>
      <c r="J45" s="10"/>
    </row>
    <row r="46" spans="1:10" x14ac:dyDescent="0.2">
      <c r="A46" s="164">
        <f t="shared" si="0"/>
        <v>36</v>
      </c>
      <c r="B46" s="119" t="s">
        <v>688</v>
      </c>
      <c r="C46" s="126"/>
      <c r="D46" s="126"/>
      <c r="E46" s="126"/>
      <c r="F46" s="139" t="s">
        <v>9</v>
      </c>
      <c r="G46" s="173"/>
      <c r="H46" s="358"/>
      <c r="I46" s="467"/>
      <c r="J46" s="1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169"/>
      <c r="H47" s="290"/>
      <c r="I47" s="467"/>
      <c r="J47" s="10"/>
    </row>
    <row r="48" spans="1:10" x14ac:dyDescent="0.2">
      <c r="A48" s="164">
        <f t="shared" si="0"/>
        <v>38</v>
      </c>
      <c r="B48" s="533" t="s">
        <v>213</v>
      </c>
      <c r="C48" s="119">
        <f>G24-(C34+C43+C44)</f>
        <v>52013</v>
      </c>
      <c r="D48" s="119">
        <f>H24-(D34+D43+D44)</f>
        <v>108011</v>
      </c>
      <c r="E48" s="119">
        <f>I24-(E34+E43+E44)</f>
        <v>160024</v>
      </c>
      <c r="F48" s="139" t="s">
        <v>11</v>
      </c>
      <c r="G48" s="169"/>
      <c r="H48" s="290"/>
      <c r="I48" s="467"/>
      <c r="J48" s="10"/>
    </row>
    <row r="49" spans="1:10" x14ac:dyDescent="0.2">
      <c r="A49" s="164">
        <f t="shared" si="0"/>
        <v>39</v>
      </c>
      <c r="B49" s="533" t="s">
        <v>214</v>
      </c>
      <c r="C49" s="119">
        <f>G33-C33</f>
        <v>2500</v>
      </c>
      <c r="D49" s="119">
        <f>H33-D33</f>
        <v>2500</v>
      </c>
      <c r="E49" s="119">
        <f>I33-E33</f>
        <v>5000</v>
      </c>
      <c r="F49" s="139" t="s">
        <v>12</v>
      </c>
      <c r="G49" s="169"/>
      <c r="H49" s="290"/>
      <c r="I49" s="467"/>
      <c r="J49" s="1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169"/>
      <c r="H50" s="290"/>
      <c r="I50" s="467"/>
      <c r="J50" s="1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169"/>
      <c r="H51" s="290"/>
      <c r="I51" s="467"/>
      <c r="J51" s="1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169"/>
      <c r="H52" s="290"/>
      <c r="I52" s="467"/>
      <c r="J52" s="1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57661</v>
      </c>
      <c r="D53" s="126">
        <f>SUM(D39:D51)</f>
        <v>110511</v>
      </c>
      <c r="E53" s="519">
        <f>SUM(E39:E51)</f>
        <v>168172</v>
      </c>
      <c r="F53" s="126" t="s">
        <v>442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0"/>
    </row>
    <row r="54" spans="1:10" ht="12" thickBot="1" x14ac:dyDescent="0.25">
      <c r="A54" s="923">
        <f t="shared" si="0"/>
        <v>44</v>
      </c>
      <c r="B54" s="1106" t="s">
        <v>444</v>
      </c>
      <c r="C54" s="302">
        <f>C34+C53</f>
        <v>128161</v>
      </c>
      <c r="D54" s="302">
        <f>D34+D53</f>
        <v>144421</v>
      </c>
      <c r="E54" s="801">
        <f>E34+E53</f>
        <v>272582</v>
      </c>
      <c r="F54" s="303" t="s">
        <v>443</v>
      </c>
      <c r="G54" s="1071">
        <f>G34+G53</f>
        <v>128161</v>
      </c>
      <c r="H54" s="802">
        <f>H34+H53</f>
        <v>144421</v>
      </c>
      <c r="I54" s="803">
        <f>I34+I53</f>
        <v>272582</v>
      </c>
      <c r="J54" s="10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</row>
  </sheetData>
  <mergeCells count="12">
    <mergeCell ref="B7:I7"/>
    <mergeCell ref="B4:I4"/>
    <mergeCell ref="B5:I5"/>
    <mergeCell ref="B6:I6"/>
    <mergeCell ref="C1:I1"/>
    <mergeCell ref="A8:A10"/>
    <mergeCell ref="B8:B9"/>
    <mergeCell ref="C8:E8"/>
    <mergeCell ref="F8:F9"/>
    <mergeCell ref="G8:I8"/>
    <mergeCell ref="C9:E9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7109375" style="157" customWidth="1"/>
    <col min="3" max="3" width="7" style="158" customWidth="1"/>
    <col min="4" max="5" width="9.5703125" style="158" customWidth="1"/>
    <col min="6" max="6" width="38" style="158" customWidth="1"/>
    <col min="7" max="7" width="7.5703125" style="158" customWidth="1"/>
    <col min="8" max="8" width="10.140625" style="288" customWidth="1"/>
    <col min="9" max="9" width="9.42578125" style="288" customWidth="1"/>
    <col min="10" max="10" width="9.140625" style="157"/>
    <col min="11" max="16384" width="9.140625" style="10"/>
  </cols>
  <sheetData>
    <row r="1" spans="1:10" ht="12.75" customHeight="1" x14ac:dyDescent="0.2">
      <c r="B1" s="1461" t="s">
        <v>1368</v>
      </c>
      <c r="C1" s="1388"/>
      <c r="D1" s="1388"/>
      <c r="E1" s="1388"/>
      <c r="F1" s="1388"/>
      <c r="G1" s="1388"/>
      <c r="H1" s="1388"/>
      <c r="I1" s="1388"/>
    </row>
    <row r="2" spans="1:10" x14ac:dyDescent="0.2">
      <c r="I2" s="353"/>
    </row>
    <row r="3" spans="1:10" x14ac:dyDescent="0.2">
      <c r="I3" s="353"/>
    </row>
    <row r="4" spans="1:10" s="122" customFormat="1" ht="12.75" customHeight="1" x14ac:dyDescent="0.2">
      <c r="A4" s="1247" t="s">
        <v>77</v>
      </c>
      <c r="B4" s="1247"/>
      <c r="C4" s="1247"/>
      <c r="D4" s="1247"/>
      <c r="E4" s="1247"/>
      <c r="F4" s="1247"/>
      <c r="G4" s="1247"/>
      <c r="H4" s="1247"/>
      <c r="I4" s="1247"/>
      <c r="J4" s="160"/>
    </row>
    <row r="5" spans="1:10" s="122" customFormat="1" ht="12.75" customHeight="1" x14ac:dyDescent="0.2">
      <c r="A5" s="1360" t="s">
        <v>716</v>
      </c>
      <c r="B5" s="1360"/>
      <c r="C5" s="1360"/>
      <c r="D5" s="1360"/>
      <c r="E5" s="1360"/>
      <c r="F5" s="1360"/>
      <c r="G5" s="1360"/>
      <c r="H5" s="1360"/>
      <c r="I5" s="1360"/>
      <c r="J5" s="160"/>
    </row>
    <row r="6" spans="1:10" s="122" customFormat="1" ht="12.75" customHeight="1" x14ac:dyDescent="0.2">
      <c r="A6" s="1247" t="s">
        <v>1139</v>
      </c>
      <c r="B6" s="1247"/>
      <c r="C6" s="1247"/>
      <c r="D6" s="1247"/>
      <c r="E6" s="1247"/>
      <c r="F6" s="1247"/>
      <c r="G6" s="1247"/>
      <c r="H6" s="1247"/>
      <c r="I6" s="1247"/>
      <c r="J6" s="160"/>
    </row>
    <row r="7" spans="1:10" s="122" customFormat="1" x14ac:dyDescent="0.2">
      <c r="A7" s="160"/>
      <c r="B7" s="1248" t="s">
        <v>305</v>
      </c>
      <c r="C7" s="1248"/>
      <c r="D7" s="1248"/>
      <c r="E7" s="1248"/>
      <c r="F7" s="1248"/>
      <c r="G7" s="1248"/>
      <c r="H7" s="1248"/>
      <c r="I7" s="1248"/>
      <c r="J7" s="160"/>
    </row>
    <row r="8" spans="1:10" s="122" customFormat="1" ht="12.75" customHeight="1" x14ac:dyDescent="0.2">
      <c r="A8" s="1252" t="s">
        <v>56</v>
      </c>
      <c r="B8" s="1253" t="s">
        <v>57</v>
      </c>
      <c r="C8" s="1268" t="s">
        <v>58</v>
      </c>
      <c r="D8" s="1268"/>
      <c r="E8" s="1269"/>
      <c r="F8" s="1359" t="s">
        <v>59</v>
      </c>
      <c r="G8" s="1250" t="s">
        <v>60</v>
      </c>
      <c r="H8" s="1251"/>
      <c r="I8" s="1251"/>
      <c r="J8" s="604"/>
    </row>
    <row r="9" spans="1:10" s="122" customFormat="1" ht="12.75" customHeight="1" x14ac:dyDescent="0.2">
      <c r="A9" s="1252"/>
      <c r="B9" s="1253"/>
      <c r="C9" s="1245" t="s">
        <v>1140</v>
      </c>
      <c r="D9" s="1245"/>
      <c r="E9" s="1246"/>
      <c r="F9" s="1359"/>
      <c r="G9" s="1245" t="s">
        <v>1140</v>
      </c>
      <c r="H9" s="1245"/>
      <c r="I9" s="1245"/>
      <c r="J9" s="604"/>
    </row>
    <row r="10" spans="1:10" s="123" customFormat="1" ht="36.6" customHeight="1" x14ac:dyDescent="0.2">
      <c r="A10" s="1252"/>
      <c r="B10" s="161" t="s">
        <v>61</v>
      </c>
      <c r="C10" s="135" t="s">
        <v>62</v>
      </c>
      <c r="D10" s="135" t="s">
        <v>63</v>
      </c>
      <c r="E10" s="162" t="s">
        <v>64</v>
      </c>
      <c r="F10" s="163" t="s">
        <v>65</v>
      </c>
      <c r="G10" s="135" t="s">
        <v>62</v>
      </c>
      <c r="H10" s="354" t="s">
        <v>63</v>
      </c>
      <c r="I10" s="354" t="s">
        <v>64</v>
      </c>
      <c r="J10" s="605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/>
      <c r="F12" s="139" t="s">
        <v>216</v>
      </c>
      <c r="G12" s="283">
        <v>81643</v>
      </c>
      <c r="H12" s="283">
        <v>166200</v>
      </c>
      <c r="I12" s="465">
        <f>SUM(G12:H12)</f>
        <v>247843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/>
      <c r="F13" s="139" t="s">
        <v>217</v>
      </c>
      <c r="G13" s="283">
        <v>13321</v>
      </c>
      <c r="H13" s="283">
        <v>33472</v>
      </c>
      <c r="I13" s="465">
        <f>SUM(G13:H13)</f>
        <v>46793</v>
      </c>
      <c r="J13" s="190"/>
    </row>
    <row r="14" spans="1:10" x14ac:dyDescent="0.2">
      <c r="A14" s="164">
        <f t="shared" si="0"/>
        <v>4</v>
      </c>
      <c r="B14" s="167" t="s">
        <v>193</v>
      </c>
      <c r="C14" s="295">
        <f>'tám, végl. pe.átv  '!C70</f>
        <v>20865</v>
      </c>
      <c r="D14" s="295">
        <f>'tám, végl. pe.átv  '!D70</f>
        <v>358</v>
      </c>
      <c r="E14" s="283">
        <f>SUM(C14:D14)</f>
        <v>21223</v>
      </c>
      <c r="F14" s="139" t="s">
        <v>218</v>
      </c>
      <c r="G14" s="283">
        <v>68346</v>
      </c>
      <c r="H14" s="283">
        <v>76600</v>
      </c>
      <c r="I14" s="465">
        <f>SUM(G14:H14)</f>
        <v>144946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/>
      <c r="F16" s="139" t="s">
        <v>28</v>
      </c>
      <c r="G16" s="169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/>
      <c r="F18" s="139" t="s">
        <v>447</v>
      </c>
      <c r="G18" s="169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169"/>
      <c r="H19" s="290"/>
      <c r="I19" s="467"/>
      <c r="J19" s="190"/>
    </row>
    <row r="20" spans="1:10" x14ac:dyDescent="0.2">
      <c r="A20" s="164">
        <f t="shared" si="0"/>
        <v>10</v>
      </c>
      <c r="B20" s="116" t="s">
        <v>195</v>
      </c>
      <c r="C20" s="355">
        <v>18399</v>
      </c>
      <c r="D20" s="355">
        <v>83892</v>
      </c>
      <c r="E20" s="168">
        <f>SUM(C20:D20)</f>
        <v>102291</v>
      </c>
      <c r="F20" s="139" t="s">
        <v>928</v>
      </c>
      <c r="G20" s="169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439</v>
      </c>
      <c r="G21" s="169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440</v>
      </c>
      <c r="G22" s="169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163310</v>
      </c>
      <c r="H24" s="356">
        <f>SUM(H12:H22)</f>
        <v>276272</v>
      </c>
      <c r="I24" s="468">
        <f>SUM(I12:I22)</f>
        <v>439582</v>
      </c>
      <c r="J24" s="190"/>
    </row>
    <row r="25" spans="1:10" x14ac:dyDescent="0.2">
      <c r="A25" s="164">
        <f t="shared" si="0"/>
        <v>15</v>
      </c>
      <c r="B25" s="167" t="s">
        <v>45</v>
      </c>
      <c r="C25" s="168">
        <v>0</v>
      </c>
      <c r="D25" s="168"/>
      <c r="E25" s="168">
        <f>D25+C25</f>
        <v>0</v>
      </c>
      <c r="F25" s="171"/>
      <c r="G25" s="169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169">
        <f>'felhalm. kiad.  '!G120</f>
        <v>0</v>
      </c>
      <c r="H27" s="290">
        <f>'felhalm. kiad.  '!H119</f>
        <v>2380</v>
      </c>
      <c r="I27" s="467">
        <f>SUM(G27:H27)</f>
        <v>2380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169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169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169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921">
        <f>C14+C20</f>
        <v>39264</v>
      </c>
      <c r="D32" s="921">
        <f>D14+D20</f>
        <v>84250</v>
      </c>
      <c r="E32" s="921">
        <f>E14+E20</f>
        <v>123514</v>
      </c>
      <c r="F32" s="139" t="s">
        <v>441</v>
      </c>
      <c r="G32" s="15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>
        <f>C16+C24+C25+C26+C27+C30</f>
        <v>0</v>
      </c>
      <c r="D33" s="177">
        <f t="shared" ref="D33:E33" si="1">D16+D24+D25+D26+D27+D30</f>
        <v>0</v>
      </c>
      <c r="E33" s="177">
        <f t="shared" si="1"/>
        <v>0</v>
      </c>
      <c r="F33" s="176" t="s">
        <v>68</v>
      </c>
      <c r="G33" s="177">
        <f>SUM(G27:G32)</f>
        <v>0</v>
      </c>
      <c r="H33" s="357">
        <f>SUM(H27:H32)</f>
        <v>2380</v>
      </c>
      <c r="I33" s="469">
        <f>SUM(I27:I31)</f>
        <v>2380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39264</v>
      </c>
      <c r="D34" s="173">
        <f>SUM(D32:D33)</f>
        <v>84250</v>
      </c>
      <c r="E34" s="173">
        <f>SUM(C34:D34)</f>
        <v>123514</v>
      </c>
      <c r="F34" s="179" t="s">
        <v>69</v>
      </c>
      <c r="G34" s="173">
        <f>G24+G33</f>
        <v>163310</v>
      </c>
      <c r="H34" s="358">
        <f>H24+H33</f>
        <v>278652</v>
      </c>
      <c r="I34" s="444">
        <f>I24+I33</f>
        <v>441962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684</v>
      </c>
      <c r="C39" s="126"/>
      <c r="D39" s="126"/>
      <c r="E39" s="126"/>
      <c r="F39" s="181" t="s">
        <v>4</v>
      </c>
      <c r="G39" s="182"/>
      <c r="I39" s="470"/>
      <c r="J39" s="509"/>
    </row>
    <row r="40" spans="1:10" s="11" customFormat="1" x14ac:dyDescent="0.2">
      <c r="A40" s="164">
        <f t="shared" si="0"/>
        <v>30</v>
      </c>
      <c r="B40" s="116" t="s">
        <v>963</v>
      </c>
      <c r="C40" s="126"/>
      <c r="D40" s="126"/>
      <c r="E40" s="126"/>
      <c r="F40" s="535" t="s">
        <v>3</v>
      </c>
      <c r="G40" s="173"/>
      <c r="H40" s="358"/>
      <c r="I40" s="444"/>
      <c r="J40" s="509"/>
    </row>
    <row r="41" spans="1:10" x14ac:dyDescent="0.2">
      <c r="A41" s="164">
        <f t="shared" si="0"/>
        <v>31</v>
      </c>
      <c r="B41" s="118" t="s">
        <v>686</v>
      </c>
      <c r="C41" s="185"/>
      <c r="D41" s="185"/>
      <c r="E41" s="185"/>
      <c r="F41" s="139" t="s">
        <v>5</v>
      </c>
      <c r="G41" s="173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2"/>
      <c r="H42" s="189"/>
      <c r="I42" s="444"/>
      <c r="J42" s="190"/>
    </row>
    <row r="43" spans="1:10" x14ac:dyDescent="0.2">
      <c r="A43" s="164">
        <f t="shared" si="0"/>
        <v>33</v>
      </c>
      <c r="B43" s="533" t="s">
        <v>209</v>
      </c>
      <c r="C43" s="119">
        <v>14707</v>
      </c>
      <c r="D43" s="119"/>
      <c r="E43" s="119">
        <f>C43+D43</f>
        <v>14707</v>
      </c>
      <c r="F43" s="139" t="s">
        <v>7</v>
      </c>
      <c r="G43" s="182"/>
      <c r="H43" s="189"/>
      <c r="I43" s="444"/>
      <c r="J43" s="190"/>
    </row>
    <row r="44" spans="1:10" x14ac:dyDescent="0.2">
      <c r="A44" s="164">
        <f t="shared" si="0"/>
        <v>34</v>
      </c>
      <c r="B44" s="533" t="s">
        <v>960</v>
      </c>
      <c r="C44" s="119"/>
      <c r="D44" s="119"/>
      <c r="E44" s="119"/>
      <c r="F44" s="139"/>
      <c r="G44" s="182"/>
      <c r="H44" s="189"/>
      <c r="I44" s="444"/>
      <c r="J44" s="190"/>
    </row>
    <row r="45" spans="1:10" x14ac:dyDescent="0.2">
      <c r="A45" s="164">
        <f t="shared" si="0"/>
        <v>35</v>
      </c>
      <c r="B45" s="119" t="s">
        <v>687</v>
      </c>
      <c r="C45" s="119"/>
      <c r="D45" s="119"/>
      <c r="E45" s="119"/>
      <c r="F45" s="139" t="s">
        <v>8</v>
      </c>
      <c r="G45" s="173"/>
      <c r="H45" s="358"/>
      <c r="I45" s="467"/>
      <c r="J45" s="190"/>
    </row>
    <row r="46" spans="1:10" x14ac:dyDescent="0.2">
      <c r="A46" s="164">
        <f t="shared" si="0"/>
        <v>36</v>
      </c>
      <c r="B46" s="119" t="s">
        <v>688</v>
      </c>
      <c r="C46" s="126"/>
      <c r="D46" s="126"/>
      <c r="E46" s="126"/>
      <c r="F46" s="139" t="s">
        <v>9</v>
      </c>
      <c r="G46" s="173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169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283">
        <f>G24-(C32+C43)</f>
        <v>109339</v>
      </c>
      <c r="D48" s="283">
        <f t="shared" ref="D48:E48" si="2">H24-(D32+D43)</f>
        <v>192022</v>
      </c>
      <c r="E48" s="283">
        <f t="shared" si="2"/>
        <v>301361</v>
      </c>
      <c r="F48" s="139" t="s">
        <v>11</v>
      </c>
      <c r="G48" s="169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0</v>
      </c>
      <c r="D49" s="119">
        <f t="shared" ref="D49:E49" si="3">H33-D33</f>
        <v>2380</v>
      </c>
      <c r="E49" s="119">
        <f t="shared" si="3"/>
        <v>2380</v>
      </c>
      <c r="F49" s="139" t="s">
        <v>12</v>
      </c>
      <c r="G49" s="169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449"/>
      <c r="F50" s="139" t="s">
        <v>13</v>
      </c>
      <c r="G50" s="169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449"/>
      <c r="F51" s="139" t="s">
        <v>14</v>
      </c>
      <c r="G51" s="169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449"/>
      <c r="F52" s="139" t="s">
        <v>15</v>
      </c>
      <c r="G52" s="169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124046</v>
      </c>
      <c r="D53" s="126">
        <f>SUM(D39:D51)</f>
        <v>194402</v>
      </c>
      <c r="E53" s="519">
        <f>SUM(E39:E51)</f>
        <v>318448</v>
      </c>
      <c r="F53" s="140" t="s">
        <v>442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1108">
        <f t="shared" si="0"/>
        <v>44</v>
      </c>
      <c r="B54" s="503" t="s">
        <v>444</v>
      </c>
      <c r="C54" s="1070">
        <f>C34+C53</f>
        <v>163310</v>
      </c>
      <c r="D54" s="302">
        <f>D34+D53</f>
        <v>278652</v>
      </c>
      <c r="E54" s="801">
        <f>E34+E53</f>
        <v>441962</v>
      </c>
      <c r="F54" s="503" t="s">
        <v>443</v>
      </c>
      <c r="G54" s="1071">
        <f>G34+G53</f>
        <v>163310</v>
      </c>
      <c r="H54" s="1105">
        <f>H34+H53</f>
        <v>278652</v>
      </c>
      <c r="I54" s="928">
        <f>I34+I53</f>
        <v>441962</v>
      </c>
      <c r="J54" s="289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86" customWidth="1"/>
    <col min="5" max="5" width="10.42578125" style="386" bestFit="1" customWidth="1"/>
    <col min="6" max="9" width="9.7109375" style="386" customWidth="1"/>
    <col min="10" max="10" width="10.140625" style="386" customWidth="1"/>
    <col min="11" max="14" width="9.7109375" style="386" customWidth="1"/>
    <col min="15" max="15" width="11.5703125" style="386" customWidth="1"/>
    <col min="16" max="16" width="10.140625" style="16" customWidth="1"/>
    <col min="17" max="16384" width="9.140625" style="16"/>
  </cols>
  <sheetData>
    <row r="1" spans="1:33" ht="12.75" customHeight="1" x14ac:dyDescent="0.25">
      <c r="B1" s="1464" t="s">
        <v>1255</v>
      </c>
      <c r="C1" s="1464"/>
      <c r="D1" s="1464"/>
      <c r="E1" s="1464"/>
      <c r="F1" s="1464"/>
      <c r="G1" s="1464"/>
      <c r="H1" s="1464"/>
      <c r="I1" s="1464"/>
      <c r="J1" s="1464"/>
      <c r="K1" s="1464"/>
      <c r="L1" s="1464"/>
      <c r="M1" s="1464"/>
      <c r="N1" s="1464"/>
      <c r="O1" s="1464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</row>
    <row r="2" spans="1:33" ht="14.1" customHeight="1" x14ac:dyDescent="0.25">
      <c r="A2" s="32"/>
      <c r="B2" s="1462" t="s">
        <v>86</v>
      </c>
      <c r="C2" s="1462"/>
      <c r="D2" s="1462"/>
      <c r="E2" s="1462"/>
      <c r="F2" s="1462"/>
      <c r="G2" s="1462"/>
      <c r="H2" s="1462"/>
      <c r="I2" s="1462"/>
      <c r="J2" s="1462"/>
      <c r="K2" s="1462"/>
      <c r="L2" s="1462"/>
      <c r="M2" s="1462"/>
      <c r="N2" s="1462"/>
      <c r="O2" s="1462"/>
    </row>
    <row r="3" spans="1:33" ht="14.1" customHeight="1" x14ac:dyDescent="0.25">
      <c r="A3" s="32"/>
      <c r="B3" s="1462" t="s">
        <v>1249</v>
      </c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  <c r="N3" s="1462"/>
      <c r="O3" s="1462"/>
    </row>
    <row r="4" spans="1:33" ht="14.1" customHeight="1" x14ac:dyDescent="0.25">
      <c r="A4" s="32"/>
      <c r="B4" s="780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</row>
    <row r="5" spans="1:33" ht="15" customHeight="1" x14ac:dyDescent="0.25">
      <c r="A5" s="1463"/>
      <c r="B5" s="782" t="s">
        <v>57</v>
      </c>
      <c r="C5" s="783" t="s">
        <v>58</v>
      </c>
      <c r="D5" s="783" t="s">
        <v>59</v>
      </c>
      <c r="E5" s="783" t="s">
        <v>60</v>
      </c>
      <c r="F5" s="783" t="s">
        <v>471</v>
      </c>
      <c r="G5" s="783" t="s">
        <v>472</v>
      </c>
      <c r="H5" s="783" t="s">
        <v>473</v>
      </c>
      <c r="I5" s="783" t="s">
        <v>594</v>
      </c>
      <c r="J5" s="783" t="s">
        <v>602</v>
      </c>
      <c r="K5" s="783" t="s">
        <v>603</v>
      </c>
      <c r="L5" s="783" t="s">
        <v>604</v>
      </c>
      <c r="M5" s="783" t="s">
        <v>605</v>
      </c>
      <c r="N5" s="783" t="s">
        <v>606</v>
      </c>
      <c r="O5" s="783" t="s">
        <v>607</v>
      </c>
    </row>
    <row r="6" spans="1:33" ht="12.75" customHeight="1" x14ac:dyDescent="0.25">
      <c r="A6" s="1463"/>
      <c r="B6" s="778" t="s">
        <v>85</v>
      </c>
      <c r="C6" s="784" t="s">
        <v>608</v>
      </c>
      <c r="D6" s="784" t="s">
        <v>609</v>
      </c>
      <c r="E6" s="784" t="s">
        <v>610</v>
      </c>
      <c r="F6" s="784" t="s">
        <v>611</v>
      </c>
      <c r="G6" s="784" t="s">
        <v>612</v>
      </c>
      <c r="H6" s="784" t="s">
        <v>613</v>
      </c>
      <c r="I6" s="784" t="s">
        <v>614</v>
      </c>
      <c r="J6" s="784" t="s">
        <v>615</v>
      </c>
      <c r="K6" s="784" t="s">
        <v>616</v>
      </c>
      <c r="L6" s="784" t="s">
        <v>617</v>
      </c>
      <c r="M6" s="784" t="s">
        <v>618</v>
      </c>
      <c r="N6" s="784" t="s">
        <v>619</v>
      </c>
      <c r="O6" s="784" t="s">
        <v>530</v>
      </c>
    </row>
    <row r="7" spans="1:33" s="32" customFormat="1" ht="12.75" customHeight="1" x14ac:dyDescent="0.25">
      <c r="A7" s="21" t="s">
        <v>480</v>
      </c>
      <c r="B7" s="34" t="s">
        <v>648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33" s="32" customFormat="1" ht="15.75" customHeight="1" x14ac:dyDescent="0.25">
      <c r="A8" s="21" t="s">
        <v>488</v>
      </c>
      <c r="B8" s="32" t="s">
        <v>642</v>
      </c>
      <c r="C8" s="264">
        <f>O8/12</f>
        <v>74714.833333333328</v>
      </c>
      <c r="D8" s="264">
        <f>C8</f>
        <v>74714.833333333328</v>
      </c>
      <c r="E8" s="264">
        <f t="shared" ref="E8:N8" si="0">D8</f>
        <v>74714.833333333328</v>
      </c>
      <c r="F8" s="264">
        <f t="shared" si="0"/>
        <v>74714.833333333328</v>
      </c>
      <c r="G8" s="264">
        <f t="shared" si="0"/>
        <v>74714.833333333328</v>
      </c>
      <c r="H8" s="264">
        <f t="shared" si="0"/>
        <v>74714.833333333328</v>
      </c>
      <c r="I8" s="264">
        <f t="shared" si="0"/>
        <v>74714.833333333328</v>
      </c>
      <c r="J8" s="264">
        <f t="shared" si="0"/>
        <v>74714.833333333328</v>
      </c>
      <c r="K8" s="264">
        <f t="shared" si="0"/>
        <v>74714.833333333328</v>
      </c>
      <c r="L8" s="264">
        <f t="shared" si="0"/>
        <v>74714.833333333328</v>
      </c>
      <c r="M8" s="264">
        <f t="shared" si="0"/>
        <v>74714.833333333328</v>
      </c>
      <c r="N8" s="264">
        <f t="shared" si="0"/>
        <v>74714.833333333328</v>
      </c>
      <c r="O8" s="264">
        <f>Össz.önkor.mérleg.!E11</f>
        <v>896578</v>
      </c>
      <c r="P8" s="35"/>
    </row>
    <row r="9" spans="1:33" s="32" customFormat="1" ht="16.5" customHeight="1" x14ac:dyDescent="0.25">
      <c r="A9" s="21" t="s">
        <v>489</v>
      </c>
      <c r="B9" s="32" t="s">
        <v>643</v>
      </c>
      <c r="C9" s="264">
        <f>O9/12</f>
        <v>3686.0833333333335</v>
      </c>
      <c r="D9" s="264">
        <f>C9</f>
        <v>3686.0833333333335</v>
      </c>
      <c r="E9" s="264">
        <f t="shared" ref="E9:N9" si="1">D9</f>
        <v>3686.0833333333335</v>
      </c>
      <c r="F9" s="264">
        <f t="shared" si="1"/>
        <v>3686.0833333333335</v>
      </c>
      <c r="G9" s="264">
        <f t="shared" si="1"/>
        <v>3686.0833333333335</v>
      </c>
      <c r="H9" s="264">
        <f t="shared" si="1"/>
        <v>3686.0833333333335</v>
      </c>
      <c r="I9" s="264">
        <f t="shared" si="1"/>
        <v>3686.0833333333335</v>
      </c>
      <c r="J9" s="264">
        <f t="shared" si="1"/>
        <v>3686.0833333333335</v>
      </c>
      <c r="K9" s="264">
        <f t="shared" si="1"/>
        <v>3686.0833333333335</v>
      </c>
      <c r="L9" s="264">
        <f t="shared" si="1"/>
        <v>3686.0833333333335</v>
      </c>
      <c r="M9" s="264">
        <f t="shared" si="1"/>
        <v>3686.0833333333335</v>
      </c>
      <c r="N9" s="264">
        <f t="shared" si="1"/>
        <v>3686.0833333333335</v>
      </c>
      <c r="O9" s="264">
        <f>Össz.önkor.mérleg.!E13</f>
        <v>44233</v>
      </c>
      <c r="P9" s="35"/>
    </row>
    <row r="10" spans="1:33" s="32" customFormat="1" ht="15.75" customHeight="1" x14ac:dyDescent="0.25">
      <c r="A10" s="21" t="s">
        <v>490</v>
      </c>
      <c r="B10" s="32" t="s">
        <v>454</v>
      </c>
      <c r="C10" s="264">
        <f>O10/12</f>
        <v>103367</v>
      </c>
      <c r="D10" s="264">
        <f>C10</f>
        <v>103367</v>
      </c>
      <c r="E10" s="264">
        <f t="shared" ref="E10:N10" si="2">D10</f>
        <v>103367</v>
      </c>
      <c r="F10" s="264">
        <f t="shared" si="2"/>
        <v>103367</v>
      </c>
      <c r="G10" s="264">
        <f t="shared" si="2"/>
        <v>103367</v>
      </c>
      <c r="H10" s="264">
        <f t="shared" si="2"/>
        <v>103367</v>
      </c>
      <c r="I10" s="264">
        <f t="shared" si="2"/>
        <v>103367</v>
      </c>
      <c r="J10" s="264">
        <f t="shared" si="2"/>
        <v>103367</v>
      </c>
      <c r="K10" s="264">
        <f t="shared" si="2"/>
        <v>103367</v>
      </c>
      <c r="L10" s="264">
        <f t="shared" si="2"/>
        <v>103367</v>
      </c>
      <c r="M10" s="264">
        <f t="shared" si="2"/>
        <v>103367</v>
      </c>
      <c r="N10" s="264">
        <f t="shared" si="2"/>
        <v>103367</v>
      </c>
      <c r="O10" s="264">
        <f>Össz.önkor.mérleg.!E17</f>
        <v>1240404</v>
      </c>
      <c r="P10" s="35"/>
    </row>
    <row r="11" spans="1:33" s="33" customFormat="1" ht="18" customHeight="1" x14ac:dyDescent="0.25">
      <c r="A11" s="21" t="s">
        <v>491</v>
      </c>
      <c r="B11" s="33" t="s">
        <v>644</v>
      </c>
      <c r="C11" s="264">
        <f>O11/12</f>
        <v>51236.416666666664</v>
      </c>
      <c r="D11" s="264">
        <f>C11</f>
        <v>51236.416666666664</v>
      </c>
      <c r="E11" s="264">
        <f t="shared" ref="E11:N11" si="3">D11</f>
        <v>51236.416666666664</v>
      </c>
      <c r="F11" s="264">
        <f t="shared" si="3"/>
        <v>51236.416666666664</v>
      </c>
      <c r="G11" s="264">
        <f t="shared" si="3"/>
        <v>51236.416666666664</v>
      </c>
      <c r="H11" s="264">
        <f t="shared" si="3"/>
        <v>51236.416666666664</v>
      </c>
      <c r="I11" s="264">
        <f t="shared" si="3"/>
        <v>51236.416666666664</v>
      </c>
      <c r="J11" s="264">
        <f t="shared" si="3"/>
        <v>51236.416666666664</v>
      </c>
      <c r="K11" s="264">
        <f t="shared" si="3"/>
        <v>51236.416666666664</v>
      </c>
      <c r="L11" s="264">
        <f t="shared" si="3"/>
        <v>51236.416666666664</v>
      </c>
      <c r="M11" s="264">
        <f t="shared" si="3"/>
        <v>51236.416666666664</v>
      </c>
      <c r="N11" s="264">
        <f t="shared" si="3"/>
        <v>51236.416666666664</v>
      </c>
      <c r="O11" s="264">
        <f>Össz.önkor.mérleg.!E20</f>
        <v>614837</v>
      </c>
      <c r="P11" s="35"/>
    </row>
    <row r="12" spans="1:33" s="32" customFormat="1" ht="13.5" customHeight="1" x14ac:dyDescent="0.25">
      <c r="A12" s="21" t="s">
        <v>492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>
        <f t="shared" ref="O12:O18" si="4">SUM(C12:N12)</f>
        <v>0</v>
      </c>
      <c r="P12" s="35"/>
    </row>
    <row r="13" spans="1:33" s="32" customFormat="1" ht="15" customHeight="1" x14ac:dyDescent="0.25">
      <c r="A13" s="21" t="s">
        <v>493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>
        <f t="shared" si="4"/>
        <v>0</v>
      </c>
      <c r="P13" s="35"/>
    </row>
    <row r="14" spans="1:33" s="34" customFormat="1" ht="15.75" customHeight="1" x14ac:dyDescent="0.25">
      <c r="A14" s="21" t="s">
        <v>494</v>
      </c>
      <c r="B14" s="785" t="s">
        <v>620</v>
      </c>
      <c r="C14" s="786">
        <f>SUM(C8:C13)</f>
        <v>233004.33333333331</v>
      </c>
      <c r="D14" s="786">
        <f>SUM(D8:D12)</f>
        <v>233004.33333333331</v>
      </c>
      <c r="E14" s="786">
        <f>SUM(E8:E12)</f>
        <v>233004.33333333331</v>
      </c>
      <c r="F14" s="786">
        <f>SUM(F8:F13)</f>
        <v>233004.33333333331</v>
      </c>
      <c r="G14" s="786">
        <f>SUM(G8:G13)</f>
        <v>233004.33333333331</v>
      </c>
      <c r="H14" s="786">
        <f t="shared" ref="H14:N14" si="5">SUM(H8:H12)</f>
        <v>233004.33333333331</v>
      </c>
      <c r="I14" s="786">
        <f t="shared" si="5"/>
        <v>233004.33333333331</v>
      </c>
      <c r="J14" s="786">
        <f t="shared" si="5"/>
        <v>233004.33333333331</v>
      </c>
      <c r="K14" s="786">
        <f t="shared" si="5"/>
        <v>233004.33333333331</v>
      </c>
      <c r="L14" s="786">
        <f t="shared" si="5"/>
        <v>233004.33333333331</v>
      </c>
      <c r="M14" s="786">
        <f t="shared" si="5"/>
        <v>233004.33333333331</v>
      </c>
      <c r="N14" s="786">
        <f t="shared" si="5"/>
        <v>233004.33333333331</v>
      </c>
      <c r="O14" s="787">
        <f>SUM(O8:O13)</f>
        <v>2796052</v>
      </c>
      <c r="P14" s="36"/>
    </row>
    <row r="15" spans="1:33" s="32" customFormat="1" ht="15.75" customHeight="1" x14ac:dyDescent="0.25">
      <c r="A15" s="21" t="s">
        <v>495</v>
      </c>
      <c r="B15" s="32" t="s">
        <v>645</v>
      </c>
      <c r="C15" s="264"/>
      <c r="D15" s="264"/>
      <c r="E15" s="264"/>
      <c r="F15" s="264"/>
      <c r="G15" s="788"/>
      <c r="H15" s="788"/>
      <c r="I15" s="788"/>
      <c r="J15" s="788"/>
      <c r="K15" s="788"/>
      <c r="L15" s="788"/>
      <c r="M15" s="788"/>
      <c r="N15" s="788"/>
      <c r="O15" s="266">
        <f>Össz.önkor.mérleg.!E24</f>
        <v>30747</v>
      </c>
      <c r="P15" s="35"/>
    </row>
    <row r="16" spans="1:33" s="32" customFormat="1" ht="15" customHeight="1" x14ac:dyDescent="0.25">
      <c r="A16" s="21" t="s">
        <v>531</v>
      </c>
      <c r="B16" s="32" t="s">
        <v>646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6">
        <v>0</v>
      </c>
      <c r="P16" s="35"/>
    </row>
    <row r="17" spans="1:256" s="32" customFormat="1" ht="16.5" customHeight="1" x14ac:dyDescent="0.25">
      <c r="A17" s="21" t="s">
        <v>532</v>
      </c>
      <c r="B17" s="32" t="s">
        <v>565</v>
      </c>
      <c r="C17" s="264">
        <f>O17/12</f>
        <v>239.16666666666666</v>
      </c>
      <c r="D17" s="264">
        <f>C17</f>
        <v>239.16666666666666</v>
      </c>
      <c r="E17" s="264">
        <f t="shared" ref="E17:N17" si="6">D17</f>
        <v>239.16666666666666</v>
      </c>
      <c r="F17" s="264">
        <f t="shared" si="6"/>
        <v>239.16666666666666</v>
      </c>
      <c r="G17" s="264">
        <f t="shared" si="6"/>
        <v>239.16666666666666</v>
      </c>
      <c r="H17" s="264">
        <f t="shared" si="6"/>
        <v>239.16666666666666</v>
      </c>
      <c r="I17" s="264">
        <f t="shared" si="6"/>
        <v>239.16666666666666</v>
      </c>
      <c r="J17" s="264">
        <f t="shared" si="6"/>
        <v>239.16666666666666</v>
      </c>
      <c r="K17" s="264">
        <f t="shared" si="6"/>
        <v>239.16666666666666</v>
      </c>
      <c r="L17" s="264">
        <f t="shared" si="6"/>
        <v>239.16666666666666</v>
      </c>
      <c r="M17" s="264">
        <f t="shared" si="6"/>
        <v>239.16666666666666</v>
      </c>
      <c r="N17" s="264">
        <f t="shared" si="6"/>
        <v>239.16666666666666</v>
      </c>
      <c r="O17" s="266">
        <f>Össz.önkor.mérleg.!E30</f>
        <v>2870</v>
      </c>
      <c r="P17" s="35"/>
    </row>
    <row r="18" spans="1:256" s="33" customFormat="1" ht="15" customHeight="1" x14ac:dyDescent="0.25">
      <c r="A18" s="21" t="s">
        <v>533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6">
        <f t="shared" si="4"/>
        <v>0</v>
      </c>
      <c r="P18" s="35"/>
    </row>
    <row r="19" spans="1:256" s="38" customFormat="1" ht="16.5" customHeight="1" x14ac:dyDescent="0.25">
      <c r="A19" s="21" t="s">
        <v>534</v>
      </c>
      <c r="B19" s="966" t="s">
        <v>621</v>
      </c>
      <c r="C19" s="967">
        <f>SUM(C15:C18)</f>
        <v>239.16666666666666</v>
      </c>
      <c r="D19" s="967">
        <f>SUM(D15:D18)</f>
        <v>239.16666666666666</v>
      </c>
      <c r="E19" s="967">
        <f>SUM(E15:E18)</f>
        <v>239.16666666666666</v>
      </c>
      <c r="F19" s="967">
        <f t="shared" ref="F19:M19" si="7">SUM(F15:F18)</f>
        <v>239.16666666666666</v>
      </c>
      <c r="G19" s="967">
        <f t="shared" si="7"/>
        <v>239.16666666666666</v>
      </c>
      <c r="H19" s="967">
        <f t="shared" si="7"/>
        <v>239.16666666666666</v>
      </c>
      <c r="I19" s="967">
        <f t="shared" si="7"/>
        <v>239.16666666666666</v>
      </c>
      <c r="J19" s="967">
        <f t="shared" si="7"/>
        <v>239.16666666666666</v>
      </c>
      <c r="K19" s="967">
        <f t="shared" si="7"/>
        <v>239.16666666666666</v>
      </c>
      <c r="L19" s="967">
        <f t="shared" si="7"/>
        <v>239.16666666666666</v>
      </c>
      <c r="M19" s="967">
        <f t="shared" si="7"/>
        <v>239.16666666666666</v>
      </c>
      <c r="N19" s="967">
        <f>SUM(N15:N18)</f>
        <v>239.16666666666666</v>
      </c>
      <c r="O19" s="968">
        <f>SUM(O15:O18)</f>
        <v>33617</v>
      </c>
      <c r="P19" s="37"/>
    </row>
    <row r="20" spans="1:256" s="34" customFormat="1" ht="16.5" customHeight="1" x14ac:dyDescent="0.25">
      <c r="A20" s="21" t="s">
        <v>535</v>
      </c>
      <c r="B20" s="38" t="s">
        <v>647</v>
      </c>
      <c r="C20" s="267"/>
      <c r="D20" s="267"/>
      <c r="E20" s="267"/>
      <c r="F20" s="267"/>
      <c r="G20" s="267"/>
      <c r="H20" s="265"/>
      <c r="I20" s="265"/>
      <c r="J20" s="265"/>
      <c r="K20" s="265"/>
      <c r="L20" s="265"/>
      <c r="M20" s="265"/>
      <c r="N20" s="265"/>
      <c r="O20" s="266">
        <f>SUM(C20:N20)</f>
        <v>0</v>
      </c>
      <c r="P20" s="36"/>
    </row>
    <row r="21" spans="1:256" s="32" customFormat="1" ht="15.75" customHeight="1" x14ac:dyDescent="0.25">
      <c r="A21" s="21" t="s">
        <v>536</v>
      </c>
      <c r="B21" s="33" t="s">
        <v>461</v>
      </c>
      <c r="C21" s="265">
        <f>O21/12</f>
        <v>127400.25</v>
      </c>
      <c r="D21" s="265">
        <f>C21</f>
        <v>127400.25</v>
      </c>
      <c r="E21" s="265">
        <f t="shared" ref="E21:N21" si="8">D21</f>
        <v>127400.25</v>
      </c>
      <c r="F21" s="265">
        <f t="shared" si="8"/>
        <v>127400.25</v>
      </c>
      <c r="G21" s="265">
        <f t="shared" si="8"/>
        <v>127400.25</v>
      </c>
      <c r="H21" s="265">
        <f t="shared" si="8"/>
        <v>127400.25</v>
      </c>
      <c r="I21" s="265">
        <f t="shared" si="8"/>
        <v>127400.25</v>
      </c>
      <c r="J21" s="265">
        <f t="shared" si="8"/>
        <v>127400.25</v>
      </c>
      <c r="K21" s="265">
        <f t="shared" si="8"/>
        <v>127400.25</v>
      </c>
      <c r="L21" s="265">
        <f t="shared" si="8"/>
        <v>127400.25</v>
      </c>
      <c r="M21" s="265">
        <f t="shared" si="8"/>
        <v>127400.25</v>
      </c>
      <c r="N21" s="265">
        <f t="shared" si="8"/>
        <v>127400.25</v>
      </c>
      <c r="O21" s="266">
        <f>Össz.önkor.mérleg.!E54</f>
        <v>1528803</v>
      </c>
      <c r="P21" s="35"/>
    </row>
    <row r="22" spans="1:256" s="34" customFormat="1" ht="16.5" customHeight="1" x14ac:dyDescent="0.25">
      <c r="A22" s="21" t="s">
        <v>537</v>
      </c>
      <c r="B22" s="789" t="s">
        <v>622</v>
      </c>
      <c r="C22" s="790">
        <f t="shared" ref="C22:N22" si="9">C19+C14+C20+C21</f>
        <v>360643.75</v>
      </c>
      <c r="D22" s="790">
        <f t="shared" si="9"/>
        <v>360643.75</v>
      </c>
      <c r="E22" s="790">
        <f t="shared" si="9"/>
        <v>360643.75</v>
      </c>
      <c r="F22" s="790">
        <f t="shared" si="9"/>
        <v>360643.75</v>
      </c>
      <c r="G22" s="790">
        <f t="shared" si="9"/>
        <v>360643.75</v>
      </c>
      <c r="H22" s="790">
        <f t="shared" si="9"/>
        <v>360643.75</v>
      </c>
      <c r="I22" s="790">
        <f t="shared" si="9"/>
        <v>360643.75</v>
      </c>
      <c r="J22" s="790">
        <f t="shared" si="9"/>
        <v>360643.75</v>
      </c>
      <c r="K22" s="790">
        <f t="shared" si="9"/>
        <v>360643.75</v>
      </c>
      <c r="L22" s="790">
        <f t="shared" si="9"/>
        <v>360643.75</v>
      </c>
      <c r="M22" s="790">
        <f t="shared" si="9"/>
        <v>360643.75</v>
      </c>
      <c r="N22" s="790">
        <f t="shared" si="9"/>
        <v>360643.75</v>
      </c>
      <c r="O22" s="791">
        <f>O14+O21+O19</f>
        <v>4358472</v>
      </c>
      <c r="P22" s="36"/>
    </row>
    <row r="23" spans="1:256" s="15" customFormat="1" ht="15" customHeight="1" x14ac:dyDescent="0.25">
      <c r="A23" s="21" t="s">
        <v>538</v>
      </c>
      <c r="B23" s="34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256" s="34" customFormat="1" ht="12.75" customHeight="1" x14ac:dyDescent="0.25">
      <c r="A24" s="21" t="s">
        <v>540</v>
      </c>
      <c r="B24" s="34" t="s">
        <v>65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256" s="32" customFormat="1" ht="15.75" customHeight="1" x14ac:dyDescent="0.25">
      <c r="A25" s="21" t="s">
        <v>541</v>
      </c>
      <c r="B25" s="32" t="s">
        <v>462</v>
      </c>
      <c r="C25" s="264">
        <f t="shared" ref="C25:C32" si="10">O25/12</f>
        <v>81769.25</v>
      </c>
      <c r="D25" s="264">
        <f>C25</f>
        <v>81769.25</v>
      </c>
      <c r="E25" s="264">
        <f t="shared" ref="E25:N25" si="11">D25</f>
        <v>81769.25</v>
      </c>
      <c r="F25" s="264">
        <f t="shared" si="11"/>
        <v>81769.25</v>
      </c>
      <c r="G25" s="264">
        <f t="shared" si="11"/>
        <v>81769.25</v>
      </c>
      <c r="H25" s="264">
        <f t="shared" si="11"/>
        <v>81769.25</v>
      </c>
      <c r="I25" s="264">
        <f t="shared" si="11"/>
        <v>81769.25</v>
      </c>
      <c r="J25" s="264">
        <f t="shared" si="11"/>
        <v>81769.25</v>
      </c>
      <c r="K25" s="264">
        <f t="shared" si="11"/>
        <v>81769.25</v>
      </c>
      <c r="L25" s="264">
        <f t="shared" si="11"/>
        <v>81769.25</v>
      </c>
      <c r="M25" s="264">
        <f t="shared" si="11"/>
        <v>81769.25</v>
      </c>
      <c r="N25" s="264">
        <f t="shared" si="11"/>
        <v>81769.25</v>
      </c>
      <c r="O25" s="266">
        <f>Össz.önkor.mérleg.!I10</f>
        <v>981231</v>
      </c>
      <c r="P25" s="35"/>
    </row>
    <row r="26" spans="1:256" s="32" customFormat="1" ht="17.25" customHeight="1" x14ac:dyDescent="0.25">
      <c r="A26" s="21" t="s">
        <v>542</v>
      </c>
      <c r="B26" s="32" t="s">
        <v>463</v>
      </c>
      <c r="C26" s="264">
        <f t="shared" si="10"/>
        <v>17326.75</v>
      </c>
      <c r="D26" s="264">
        <f t="shared" ref="D26:N32" si="12">C26</f>
        <v>17326.75</v>
      </c>
      <c r="E26" s="264">
        <f t="shared" si="12"/>
        <v>17326.75</v>
      </c>
      <c r="F26" s="264">
        <f t="shared" si="12"/>
        <v>17326.75</v>
      </c>
      <c r="G26" s="264">
        <f t="shared" si="12"/>
        <v>17326.75</v>
      </c>
      <c r="H26" s="264">
        <f t="shared" si="12"/>
        <v>17326.75</v>
      </c>
      <c r="I26" s="264">
        <f t="shared" si="12"/>
        <v>17326.75</v>
      </c>
      <c r="J26" s="264">
        <f t="shared" si="12"/>
        <v>17326.75</v>
      </c>
      <c r="K26" s="264">
        <f t="shared" si="12"/>
        <v>17326.75</v>
      </c>
      <c r="L26" s="264">
        <f t="shared" si="12"/>
        <v>17326.75</v>
      </c>
      <c r="M26" s="264">
        <f t="shared" si="12"/>
        <v>17326.75</v>
      </c>
      <c r="N26" s="264">
        <f t="shared" si="12"/>
        <v>17326.75</v>
      </c>
      <c r="O26" s="266">
        <f>Össz.önkor.mérleg.!I11</f>
        <v>207921</v>
      </c>
      <c r="P26" s="35"/>
    </row>
    <row r="27" spans="1:256" s="32" customFormat="1" ht="13.5" customHeight="1" x14ac:dyDescent="0.25">
      <c r="A27" s="21" t="s">
        <v>543</v>
      </c>
      <c r="B27" s="32" t="s">
        <v>464</v>
      </c>
      <c r="C27" s="264">
        <f t="shared" si="10"/>
        <v>101392.41666666667</v>
      </c>
      <c r="D27" s="264">
        <f t="shared" si="12"/>
        <v>101392.41666666667</v>
      </c>
      <c r="E27" s="264">
        <f t="shared" si="12"/>
        <v>101392.41666666667</v>
      </c>
      <c r="F27" s="264">
        <f t="shared" si="12"/>
        <v>101392.41666666667</v>
      </c>
      <c r="G27" s="264">
        <f t="shared" si="12"/>
        <v>101392.41666666667</v>
      </c>
      <c r="H27" s="264">
        <f t="shared" si="12"/>
        <v>101392.41666666667</v>
      </c>
      <c r="I27" s="264">
        <f t="shared" si="12"/>
        <v>101392.41666666667</v>
      </c>
      <c r="J27" s="264">
        <f t="shared" si="12"/>
        <v>101392.41666666667</v>
      </c>
      <c r="K27" s="264">
        <f t="shared" si="12"/>
        <v>101392.41666666667</v>
      </c>
      <c r="L27" s="264">
        <f t="shared" si="12"/>
        <v>101392.41666666667</v>
      </c>
      <c r="M27" s="264">
        <f t="shared" si="12"/>
        <v>101392.41666666667</v>
      </c>
      <c r="N27" s="264">
        <f t="shared" si="12"/>
        <v>101392.41666666667</v>
      </c>
      <c r="O27" s="266">
        <f>Össz.önkor.mérleg.!I12</f>
        <v>1216709</v>
      </c>
      <c r="P27" s="35"/>
    </row>
    <row r="28" spans="1:256" s="32" customFormat="1" ht="15" customHeight="1" x14ac:dyDescent="0.25">
      <c r="A28" s="21" t="s">
        <v>544</v>
      </c>
      <c r="B28" s="32" t="s">
        <v>623</v>
      </c>
      <c r="C28" s="264">
        <f t="shared" si="10"/>
        <v>1165.75</v>
      </c>
      <c r="D28" s="264">
        <f t="shared" si="12"/>
        <v>1165.75</v>
      </c>
      <c r="E28" s="264">
        <f t="shared" si="12"/>
        <v>1165.75</v>
      </c>
      <c r="F28" s="264">
        <f t="shared" si="12"/>
        <v>1165.75</v>
      </c>
      <c r="G28" s="264">
        <f t="shared" si="12"/>
        <v>1165.75</v>
      </c>
      <c r="H28" s="264">
        <f t="shared" si="12"/>
        <v>1165.75</v>
      </c>
      <c r="I28" s="264">
        <f t="shared" si="12"/>
        <v>1165.75</v>
      </c>
      <c r="J28" s="264">
        <f t="shared" si="12"/>
        <v>1165.75</v>
      </c>
      <c r="K28" s="264">
        <f t="shared" si="12"/>
        <v>1165.75</v>
      </c>
      <c r="L28" s="264">
        <f t="shared" si="12"/>
        <v>1165.75</v>
      </c>
      <c r="M28" s="264">
        <f t="shared" si="12"/>
        <v>1165.75</v>
      </c>
      <c r="N28" s="264">
        <f t="shared" si="12"/>
        <v>1165.75</v>
      </c>
      <c r="O28" s="266">
        <f>Össz.önkor.mérleg.!I14</f>
        <v>13989</v>
      </c>
      <c r="P28" s="35"/>
      <c r="IV28" s="35"/>
    </row>
    <row r="29" spans="1:256" s="32" customFormat="1" ht="15" customHeight="1" x14ac:dyDescent="0.25">
      <c r="A29" s="21" t="s">
        <v>545</v>
      </c>
      <c r="B29" s="32" t="s">
        <v>267</v>
      </c>
      <c r="C29" s="264">
        <v>38</v>
      </c>
      <c r="D29" s="264">
        <f t="shared" si="12"/>
        <v>38</v>
      </c>
      <c r="E29" s="264">
        <f t="shared" si="12"/>
        <v>38</v>
      </c>
      <c r="F29" s="264">
        <f t="shared" si="12"/>
        <v>38</v>
      </c>
      <c r="G29" s="264">
        <f t="shared" si="12"/>
        <v>38</v>
      </c>
      <c r="H29" s="264">
        <f t="shared" si="12"/>
        <v>38</v>
      </c>
      <c r="I29" s="264">
        <f t="shared" si="12"/>
        <v>38</v>
      </c>
      <c r="J29" s="264">
        <f t="shared" si="12"/>
        <v>38</v>
      </c>
      <c r="K29" s="264">
        <f t="shared" si="12"/>
        <v>38</v>
      </c>
      <c r="L29" s="264">
        <f t="shared" si="12"/>
        <v>38</v>
      </c>
      <c r="M29" s="264">
        <f t="shared" si="12"/>
        <v>38</v>
      </c>
      <c r="N29" s="264">
        <f t="shared" si="12"/>
        <v>38</v>
      </c>
      <c r="O29" s="266">
        <f>Össz.önkor.mérleg.!I19</f>
        <v>0</v>
      </c>
      <c r="P29" s="35"/>
    </row>
    <row r="30" spans="1:256" s="32" customFormat="1" ht="12.75" customHeight="1" x14ac:dyDescent="0.25">
      <c r="A30" s="21" t="s">
        <v>546</v>
      </c>
      <c r="B30" s="32" t="s">
        <v>465</v>
      </c>
      <c r="C30" s="264">
        <v>3993</v>
      </c>
      <c r="D30" s="264">
        <f t="shared" si="12"/>
        <v>3993</v>
      </c>
      <c r="E30" s="264">
        <f t="shared" si="12"/>
        <v>3993</v>
      </c>
      <c r="F30" s="264">
        <f t="shared" si="12"/>
        <v>3993</v>
      </c>
      <c r="G30" s="264">
        <f t="shared" si="12"/>
        <v>3993</v>
      </c>
      <c r="H30" s="264">
        <f t="shared" si="12"/>
        <v>3993</v>
      </c>
      <c r="I30" s="264">
        <f t="shared" si="12"/>
        <v>3993</v>
      </c>
      <c r="J30" s="264">
        <f t="shared" si="12"/>
        <v>3993</v>
      </c>
      <c r="K30" s="264">
        <f t="shared" si="12"/>
        <v>3993</v>
      </c>
      <c r="L30" s="264">
        <f t="shared" si="12"/>
        <v>3993</v>
      </c>
      <c r="M30" s="264">
        <f t="shared" si="12"/>
        <v>3993</v>
      </c>
      <c r="N30" s="264">
        <f t="shared" si="12"/>
        <v>3993</v>
      </c>
      <c r="O30" s="266">
        <f>Össz.önkor.mérleg.!I17</f>
        <v>64704</v>
      </c>
      <c r="P30" s="35"/>
    </row>
    <row r="31" spans="1:256" s="32" customFormat="1" ht="15.75" customHeight="1" x14ac:dyDescent="0.25">
      <c r="A31" s="21" t="s">
        <v>547</v>
      </c>
      <c r="B31" s="32" t="s">
        <v>466</v>
      </c>
      <c r="C31" s="264">
        <f t="shared" si="10"/>
        <v>24335.583333333332</v>
      </c>
      <c r="D31" s="264">
        <f t="shared" si="12"/>
        <v>24335.583333333332</v>
      </c>
      <c r="E31" s="264">
        <f t="shared" si="12"/>
        <v>24335.583333333332</v>
      </c>
      <c r="F31" s="264">
        <f t="shared" si="12"/>
        <v>24335.583333333332</v>
      </c>
      <c r="G31" s="264">
        <f t="shared" si="12"/>
        <v>24335.583333333332</v>
      </c>
      <c r="H31" s="264">
        <f t="shared" si="12"/>
        <v>24335.583333333332</v>
      </c>
      <c r="I31" s="264">
        <f t="shared" si="12"/>
        <v>24335.583333333332</v>
      </c>
      <c r="J31" s="264">
        <f t="shared" si="12"/>
        <v>24335.583333333332</v>
      </c>
      <c r="K31" s="264">
        <f t="shared" si="12"/>
        <v>24335.583333333332</v>
      </c>
      <c r="L31" s="264">
        <f t="shared" si="12"/>
        <v>24335.583333333332</v>
      </c>
      <c r="M31" s="264">
        <f t="shared" si="12"/>
        <v>24335.583333333332</v>
      </c>
      <c r="N31" s="264">
        <f t="shared" si="12"/>
        <v>24335.583333333332</v>
      </c>
      <c r="O31" s="266">
        <f>Össz.önkor.mérleg.!I18</f>
        <v>292027</v>
      </c>
      <c r="P31" s="35"/>
    </row>
    <row r="32" spans="1:256" s="32" customFormat="1" ht="15" customHeight="1" x14ac:dyDescent="0.25">
      <c r="A32" s="21" t="s">
        <v>566</v>
      </c>
      <c r="B32" s="32" t="s">
        <v>651</v>
      </c>
      <c r="C32" s="264">
        <f t="shared" si="10"/>
        <v>11963.416666666666</v>
      </c>
      <c r="D32" s="264">
        <f t="shared" si="12"/>
        <v>11963.416666666666</v>
      </c>
      <c r="E32" s="264">
        <f t="shared" si="12"/>
        <v>11963.416666666666</v>
      </c>
      <c r="F32" s="264">
        <f t="shared" si="12"/>
        <v>11963.416666666666</v>
      </c>
      <c r="G32" s="264">
        <f t="shared" si="12"/>
        <v>11963.416666666666</v>
      </c>
      <c r="H32" s="264">
        <f t="shared" si="12"/>
        <v>11963.416666666666</v>
      </c>
      <c r="I32" s="264">
        <f t="shared" si="12"/>
        <v>11963.416666666666</v>
      </c>
      <c r="J32" s="264">
        <f t="shared" si="12"/>
        <v>11963.416666666666</v>
      </c>
      <c r="K32" s="264">
        <f t="shared" si="12"/>
        <v>11963.416666666666</v>
      </c>
      <c r="L32" s="264">
        <f t="shared" si="12"/>
        <v>11963.416666666666</v>
      </c>
      <c r="M32" s="264">
        <f t="shared" si="12"/>
        <v>11963.416666666666</v>
      </c>
      <c r="N32" s="264">
        <f t="shared" si="12"/>
        <v>11963.416666666666</v>
      </c>
      <c r="O32" s="266">
        <f>Össz.önkor.mérleg.!I20+Össz.önkor.mérleg.!I21</f>
        <v>143561</v>
      </c>
      <c r="P32" s="35"/>
    </row>
    <row r="33" spans="1:16" s="33" customFormat="1" ht="15.75" customHeight="1" x14ac:dyDescent="0.25">
      <c r="A33" s="21" t="s">
        <v>567</v>
      </c>
      <c r="B33" s="969" t="s">
        <v>624</v>
      </c>
      <c r="C33" s="967">
        <f>SUM(C25:C32)</f>
        <v>241984.16666666669</v>
      </c>
      <c r="D33" s="967">
        <f>SUM(D25:D32)</f>
        <v>241984.16666666669</v>
      </c>
      <c r="E33" s="967">
        <f t="shared" ref="E33:N33" si="13">SUM(E25:E32)</f>
        <v>241984.16666666669</v>
      </c>
      <c r="F33" s="967">
        <f t="shared" si="13"/>
        <v>241984.16666666669</v>
      </c>
      <c r="G33" s="967">
        <f t="shared" si="13"/>
        <v>241984.16666666669</v>
      </c>
      <c r="H33" s="967">
        <f t="shared" si="13"/>
        <v>241984.16666666669</v>
      </c>
      <c r="I33" s="967">
        <f t="shared" si="13"/>
        <v>241984.16666666669</v>
      </c>
      <c r="J33" s="967">
        <f t="shared" si="13"/>
        <v>241984.16666666669</v>
      </c>
      <c r="K33" s="967">
        <f t="shared" si="13"/>
        <v>241984.16666666669</v>
      </c>
      <c r="L33" s="967">
        <f t="shared" si="13"/>
        <v>241984.16666666669</v>
      </c>
      <c r="M33" s="967">
        <f t="shared" si="13"/>
        <v>241984.16666666669</v>
      </c>
      <c r="N33" s="967">
        <f t="shared" si="13"/>
        <v>241984.16666666669</v>
      </c>
      <c r="O33" s="968">
        <f>SUM(O25:O32)</f>
        <v>2920142</v>
      </c>
      <c r="P33" s="623"/>
    </row>
    <row r="34" spans="1:16" s="33" customFormat="1" ht="15" customHeight="1" x14ac:dyDescent="0.25">
      <c r="A34" s="21" t="s">
        <v>568</v>
      </c>
      <c r="B34" s="33" t="s">
        <v>625</v>
      </c>
      <c r="C34" s="265">
        <f t="shared" ref="C34:C39" si="14">O34/12</f>
        <v>98318.083333333328</v>
      </c>
      <c r="D34" s="265">
        <f>C34</f>
        <v>98318.083333333328</v>
      </c>
      <c r="E34" s="265">
        <f t="shared" ref="E34:N34" si="15">D34</f>
        <v>98318.083333333328</v>
      </c>
      <c r="F34" s="265">
        <f t="shared" si="15"/>
        <v>98318.083333333328</v>
      </c>
      <c r="G34" s="265">
        <f t="shared" si="15"/>
        <v>98318.083333333328</v>
      </c>
      <c r="H34" s="265">
        <f t="shared" si="15"/>
        <v>98318.083333333328</v>
      </c>
      <c r="I34" s="265">
        <f t="shared" si="15"/>
        <v>98318.083333333328</v>
      </c>
      <c r="J34" s="265">
        <f t="shared" si="15"/>
        <v>98318.083333333328</v>
      </c>
      <c r="K34" s="265">
        <f t="shared" si="15"/>
        <v>98318.083333333328</v>
      </c>
      <c r="L34" s="265">
        <f t="shared" si="15"/>
        <v>98318.083333333328</v>
      </c>
      <c r="M34" s="265">
        <f t="shared" si="15"/>
        <v>98318.083333333328</v>
      </c>
      <c r="N34" s="265">
        <f t="shared" si="15"/>
        <v>98318.083333333328</v>
      </c>
      <c r="O34" s="267">
        <f>Össz.önkor.mérleg.!I27</f>
        <v>1179817</v>
      </c>
      <c r="P34" s="623"/>
    </row>
    <row r="35" spans="1:16" s="33" customFormat="1" ht="15" customHeight="1" x14ac:dyDescent="0.25">
      <c r="A35" s="21" t="s">
        <v>569</v>
      </c>
      <c r="B35" s="33" t="s">
        <v>484</v>
      </c>
      <c r="C35" s="265">
        <f t="shared" si="14"/>
        <v>4351.25</v>
      </c>
      <c r="D35" s="265">
        <f t="shared" ref="D35:N39" si="16">C35</f>
        <v>4351.25</v>
      </c>
      <c r="E35" s="265">
        <f t="shared" si="16"/>
        <v>4351.25</v>
      </c>
      <c r="F35" s="265">
        <f t="shared" si="16"/>
        <v>4351.25</v>
      </c>
      <c r="G35" s="265">
        <f t="shared" si="16"/>
        <v>4351.25</v>
      </c>
      <c r="H35" s="265">
        <f t="shared" si="16"/>
        <v>4351.25</v>
      </c>
      <c r="I35" s="265">
        <f t="shared" si="16"/>
        <v>4351.25</v>
      </c>
      <c r="J35" s="265">
        <f t="shared" si="16"/>
        <v>4351.25</v>
      </c>
      <c r="K35" s="265">
        <f t="shared" si="16"/>
        <v>4351.25</v>
      </c>
      <c r="L35" s="265">
        <f t="shared" si="16"/>
        <v>4351.25</v>
      </c>
      <c r="M35" s="265">
        <f t="shared" si="16"/>
        <v>4351.25</v>
      </c>
      <c r="N35" s="265">
        <f t="shared" si="16"/>
        <v>4351.25</v>
      </c>
      <c r="O35" s="267">
        <f>Össz.önkor.mérleg.!I28</f>
        <v>52215</v>
      </c>
      <c r="P35" s="623"/>
    </row>
    <row r="36" spans="1:16" s="33" customFormat="1" ht="15.75" customHeight="1" x14ac:dyDescent="0.25">
      <c r="A36" s="21" t="s">
        <v>570</v>
      </c>
      <c r="B36" s="33" t="s">
        <v>467</v>
      </c>
      <c r="C36" s="265">
        <f t="shared" si="14"/>
        <v>416.66666666666669</v>
      </c>
      <c r="D36" s="265">
        <f t="shared" si="16"/>
        <v>416.66666666666669</v>
      </c>
      <c r="E36" s="265">
        <f t="shared" si="16"/>
        <v>416.66666666666669</v>
      </c>
      <c r="F36" s="265">
        <f t="shared" si="16"/>
        <v>416.66666666666669</v>
      </c>
      <c r="G36" s="265">
        <f t="shared" si="16"/>
        <v>416.66666666666669</v>
      </c>
      <c r="H36" s="265">
        <f t="shared" si="16"/>
        <v>416.66666666666669</v>
      </c>
      <c r="I36" s="265">
        <f t="shared" si="16"/>
        <v>416.66666666666669</v>
      </c>
      <c r="J36" s="265">
        <f t="shared" si="16"/>
        <v>416.66666666666669</v>
      </c>
      <c r="K36" s="265">
        <f t="shared" si="16"/>
        <v>416.66666666666669</v>
      </c>
      <c r="L36" s="265">
        <f t="shared" si="16"/>
        <v>416.66666666666669</v>
      </c>
      <c r="M36" s="265">
        <f t="shared" si="16"/>
        <v>416.66666666666669</v>
      </c>
      <c r="N36" s="265">
        <f t="shared" si="16"/>
        <v>416.66666666666669</v>
      </c>
      <c r="O36" s="267">
        <v>5000</v>
      </c>
    </row>
    <row r="37" spans="1:16" s="33" customFormat="1" ht="15.75" customHeight="1" x14ac:dyDescent="0.25">
      <c r="A37" s="21" t="s">
        <v>571</v>
      </c>
      <c r="B37" s="32" t="s">
        <v>649</v>
      </c>
      <c r="C37" s="265">
        <f t="shared" si="14"/>
        <v>7519.666666666667</v>
      </c>
      <c r="D37" s="265">
        <f t="shared" si="16"/>
        <v>7519.666666666667</v>
      </c>
      <c r="E37" s="265">
        <f t="shared" si="16"/>
        <v>7519.666666666667</v>
      </c>
      <c r="F37" s="265">
        <f t="shared" si="16"/>
        <v>7519.666666666667</v>
      </c>
      <c r="G37" s="265">
        <f t="shared" si="16"/>
        <v>7519.666666666667</v>
      </c>
      <c r="H37" s="265">
        <f t="shared" si="16"/>
        <v>7519.666666666667</v>
      </c>
      <c r="I37" s="265">
        <f t="shared" si="16"/>
        <v>7519.666666666667</v>
      </c>
      <c r="J37" s="265">
        <f t="shared" si="16"/>
        <v>7519.666666666667</v>
      </c>
      <c r="K37" s="265">
        <f t="shared" si="16"/>
        <v>7519.666666666667</v>
      </c>
      <c r="L37" s="265">
        <f t="shared" si="16"/>
        <v>7519.666666666667</v>
      </c>
      <c r="M37" s="265">
        <f t="shared" si="16"/>
        <v>7519.666666666667</v>
      </c>
      <c r="N37" s="265">
        <f t="shared" si="16"/>
        <v>7519.666666666667</v>
      </c>
      <c r="O37" s="267">
        <f>Össz.önkor.mérleg.!I30</f>
        <v>90236</v>
      </c>
    </row>
    <row r="38" spans="1:16" s="33" customFormat="1" ht="16.5" customHeight="1" x14ac:dyDescent="0.25">
      <c r="A38" s="21" t="s">
        <v>572</v>
      </c>
      <c r="B38" s="32" t="s">
        <v>650</v>
      </c>
      <c r="C38" s="265">
        <f t="shared" si="14"/>
        <v>4503.166666666667</v>
      </c>
      <c r="D38" s="265">
        <f t="shared" si="16"/>
        <v>4503.166666666667</v>
      </c>
      <c r="E38" s="265">
        <f t="shared" si="16"/>
        <v>4503.166666666667</v>
      </c>
      <c r="F38" s="265">
        <f t="shared" si="16"/>
        <v>4503.166666666667</v>
      </c>
      <c r="G38" s="265">
        <f t="shared" si="16"/>
        <v>4503.166666666667</v>
      </c>
      <c r="H38" s="265">
        <f t="shared" si="16"/>
        <v>4503.166666666667</v>
      </c>
      <c r="I38" s="265">
        <f t="shared" si="16"/>
        <v>4503.166666666667</v>
      </c>
      <c r="J38" s="265">
        <f t="shared" si="16"/>
        <v>4503.166666666667</v>
      </c>
      <c r="K38" s="265">
        <f t="shared" si="16"/>
        <v>4503.166666666667</v>
      </c>
      <c r="L38" s="265">
        <f t="shared" si="16"/>
        <v>4503.166666666667</v>
      </c>
      <c r="M38" s="265">
        <f t="shared" si="16"/>
        <v>4503.166666666667</v>
      </c>
      <c r="N38" s="265">
        <f t="shared" si="16"/>
        <v>4503.166666666667</v>
      </c>
      <c r="O38" s="267">
        <f>Össz.önkor.mérleg.!I32</f>
        <v>54038</v>
      </c>
      <c r="P38" s="623"/>
    </row>
    <row r="39" spans="1:16" s="33" customFormat="1" ht="15" customHeight="1" x14ac:dyDescent="0.25">
      <c r="A39" s="21" t="s">
        <v>573</v>
      </c>
      <c r="B39" s="32" t="s">
        <v>652</v>
      </c>
      <c r="C39" s="265">
        <f t="shared" si="14"/>
        <v>3133.3333333333335</v>
      </c>
      <c r="D39" s="265">
        <f t="shared" si="16"/>
        <v>3133.3333333333335</v>
      </c>
      <c r="E39" s="265">
        <f t="shared" si="16"/>
        <v>3133.3333333333335</v>
      </c>
      <c r="F39" s="265">
        <f t="shared" si="16"/>
        <v>3133.3333333333335</v>
      </c>
      <c r="G39" s="265">
        <f t="shared" si="16"/>
        <v>3133.3333333333335</v>
      </c>
      <c r="H39" s="265">
        <f t="shared" si="16"/>
        <v>3133.3333333333335</v>
      </c>
      <c r="I39" s="265">
        <f t="shared" si="16"/>
        <v>3133.3333333333335</v>
      </c>
      <c r="J39" s="265">
        <f t="shared" si="16"/>
        <v>3133.3333333333335</v>
      </c>
      <c r="K39" s="265">
        <f t="shared" si="16"/>
        <v>3133.3333333333335</v>
      </c>
      <c r="L39" s="265">
        <f t="shared" si="16"/>
        <v>3133.3333333333335</v>
      </c>
      <c r="M39" s="265">
        <f t="shared" si="16"/>
        <v>3133.3333333333335</v>
      </c>
      <c r="N39" s="265">
        <f t="shared" si="16"/>
        <v>3133.3333333333335</v>
      </c>
      <c r="O39" s="267">
        <f>Össz.önkor.mérleg.!I33</f>
        <v>37600</v>
      </c>
      <c r="P39" s="623"/>
    </row>
    <row r="40" spans="1:16" s="38" customFormat="1" ht="15" customHeight="1" x14ac:dyDescent="0.25">
      <c r="A40" s="21" t="s">
        <v>574</v>
      </c>
      <c r="B40" s="785" t="s">
        <v>653</v>
      </c>
      <c r="C40" s="786">
        <f t="shared" ref="C40:O40" si="17">SUM(C34:C39)</f>
        <v>118242.16666666667</v>
      </c>
      <c r="D40" s="786">
        <f t="shared" si="17"/>
        <v>118242.16666666667</v>
      </c>
      <c r="E40" s="786">
        <f t="shared" si="17"/>
        <v>118242.16666666667</v>
      </c>
      <c r="F40" s="786">
        <f t="shared" si="17"/>
        <v>118242.16666666667</v>
      </c>
      <c r="G40" s="786">
        <f t="shared" si="17"/>
        <v>118242.16666666667</v>
      </c>
      <c r="H40" s="786">
        <f t="shared" si="17"/>
        <v>118242.16666666667</v>
      </c>
      <c r="I40" s="786">
        <f t="shared" si="17"/>
        <v>118242.16666666667</v>
      </c>
      <c r="J40" s="786">
        <f t="shared" si="17"/>
        <v>118242.16666666667</v>
      </c>
      <c r="K40" s="786">
        <f t="shared" si="17"/>
        <v>118242.16666666667</v>
      </c>
      <c r="L40" s="786">
        <f t="shared" si="17"/>
        <v>118242.16666666667</v>
      </c>
      <c r="M40" s="786">
        <f t="shared" si="17"/>
        <v>118242.16666666667</v>
      </c>
      <c r="N40" s="786">
        <f t="shared" si="17"/>
        <v>118242.16666666667</v>
      </c>
      <c r="O40" s="786">
        <f t="shared" si="17"/>
        <v>1418906</v>
      </c>
      <c r="P40" s="37"/>
    </row>
    <row r="41" spans="1:16" s="38" customFormat="1" ht="15" customHeight="1" x14ac:dyDescent="0.25">
      <c r="A41" s="21" t="s">
        <v>626</v>
      </c>
      <c r="B41" s="963" t="s">
        <v>1047</v>
      </c>
      <c r="C41" s="964">
        <f>O41/12</f>
        <v>2969.6666666666665</v>
      </c>
      <c r="D41" s="964">
        <f>C41</f>
        <v>2969.6666666666665</v>
      </c>
      <c r="E41" s="964">
        <f t="shared" ref="E41:N41" si="18">D41</f>
        <v>2969.6666666666665</v>
      </c>
      <c r="F41" s="964">
        <f t="shared" si="18"/>
        <v>2969.6666666666665</v>
      </c>
      <c r="G41" s="964">
        <f t="shared" si="18"/>
        <v>2969.6666666666665</v>
      </c>
      <c r="H41" s="964">
        <f t="shared" si="18"/>
        <v>2969.6666666666665</v>
      </c>
      <c r="I41" s="964">
        <f t="shared" si="18"/>
        <v>2969.6666666666665</v>
      </c>
      <c r="J41" s="964">
        <f t="shared" si="18"/>
        <v>2969.6666666666665</v>
      </c>
      <c r="K41" s="964">
        <f t="shared" si="18"/>
        <v>2969.6666666666665</v>
      </c>
      <c r="L41" s="964">
        <f t="shared" si="18"/>
        <v>2969.6666666666665</v>
      </c>
      <c r="M41" s="964">
        <f t="shared" si="18"/>
        <v>2969.6666666666665</v>
      </c>
      <c r="N41" s="964">
        <f t="shared" si="18"/>
        <v>2969.6666666666665</v>
      </c>
      <c r="O41" s="962">
        <f>Össz.önkor.mérleg.!I47</f>
        <v>35636</v>
      </c>
      <c r="P41" s="37"/>
    </row>
    <row r="42" spans="1:16" s="32" customFormat="1" ht="15.75" customHeight="1" x14ac:dyDescent="0.25">
      <c r="A42" s="21" t="s">
        <v>627</v>
      </c>
      <c r="B42" s="961" t="s">
        <v>1046</v>
      </c>
      <c r="C42" s="264">
        <f>SUM(C41)</f>
        <v>2969.6666666666665</v>
      </c>
      <c r="D42" s="264">
        <f>SUM(D41)</f>
        <v>2969.6666666666665</v>
      </c>
      <c r="E42" s="264">
        <f t="shared" ref="E42:N42" si="19">SUM(E41)</f>
        <v>2969.6666666666665</v>
      </c>
      <c r="F42" s="264">
        <f t="shared" si="19"/>
        <v>2969.6666666666665</v>
      </c>
      <c r="G42" s="264">
        <f t="shared" si="19"/>
        <v>2969.6666666666665</v>
      </c>
      <c r="H42" s="264">
        <f t="shared" si="19"/>
        <v>2969.6666666666665</v>
      </c>
      <c r="I42" s="264">
        <f t="shared" si="19"/>
        <v>2969.6666666666665</v>
      </c>
      <c r="J42" s="264">
        <f t="shared" si="19"/>
        <v>2969.6666666666665</v>
      </c>
      <c r="K42" s="264">
        <f t="shared" si="19"/>
        <v>2969.6666666666665</v>
      </c>
      <c r="L42" s="264">
        <f t="shared" si="19"/>
        <v>2969.6666666666665</v>
      </c>
      <c r="M42" s="264">
        <f t="shared" si="19"/>
        <v>2969.6666666666665</v>
      </c>
      <c r="N42" s="264">
        <f t="shared" si="19"/>
        <v>2969.6666666666665</v>
      </c>
      <c r="O42" s="266">
        <f>SUM(C42:N42)</f>
        <v>35636.000000000007</v>
      </c>
    </row>
    <row r="43" spans="1:16" s="34" customFormat="1" ht="16.5" customHeight="1" x14ac:dyDescent="0.25">
      <c r="A43" s="21" t="s">
        <v>628</v>
      </c>
      <c r="B43" s="789" t="s">
        <v>656</v>
      </c>
      <c r="C43" s="790">
        <f t="shared" ref="C43:N43" si="20">C40+C33+C42</f>
        <v>363196.00000000006</v>
      </c>
      <c r="D43" s="790">
        <f t="shared" si="20"/>
        <v>363196.00000000006</v>
      </c>
      <c r="E43" s="790">
        <f t="shared" si="20"/>
        <v>363196.00000000006</v>
      </c>
      <c r="F43" s="790">
        <f t="shared" si="20"/>
        <v>363196.00000000006</v>
      </c>
      <c r="G43" s="790">
        <f t="shared" si="20"/>
        <v>363196.00000000006</v>
      </c>
      <c r="H43" s="790">
        <f t="shared" si="20"/>
        <v>363196.00000000006</v>
      </c>
      <c r="I43" s="790">
        <f t="shared" si="20"/>
        <v>363196.00000000006</v>
      </c>
      <c r="J43" s="790">
        <f t="shared" si="20"/>
        <v>363196.00000000006</v>
      </c>
      <c r="K43" s="790">
        <f t="shared" si="20"/>
        <v>363196.00000000006</v>
      </c>
      <c r="L43" s="790">
        <f t="shared" si="20"/>
        <v>363196.00000000006</v>
      </c>
      <c r="M43" s="790">
        <f t="shared" si="20"/>
        <v>363196.00000000006</v>
      </c>
      <c r="N43" s="790">
        <f t="shared" si="20"/>
        <v>363196.00000000006</v>
      </c>
      <c r="O43" s="791">
        <f>O33+O40+O41</f>
        <v>4374684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O110"/>
  <sheetViews>
    <sheetView zoomScale="90" zoomScaleNormal="90"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AE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9" width="5.85546875" style="17" customWidth="1"/>
    <col min="10" max="10" width="5.7109375" style="17" customWidth="1"/>
    <col min="11" max="11" width="4" style="17" customWidth="1"/>
    <col min="12" max="12" width="5.7109375" style="17" customWidth="1"/>
    <col min="13" max="14" width="7.28515625" style="17" customWidth="1"/>
    <col min="15" max="15" width="6.7109375" style="17" customWidth="1"/>
    <col min="16" max="17" width="5.140625" style="17" customWidth="1"/>
    <col min="18" max="18" width="5.7109375" style="17" customWidth="1"/>
    <col min="19" max="21" width="6.7109375" style="17" customWidth="1"/>
    <col min="22" max="22" width="6.42578125" style="17" customWidth="1"/>
    <col min="23" max="23" width="6.7109375" style="17" customWidth="1"/>
    <col min="24" max="25" width="6.85546875" style="17" customWidth="1"/>
    <col min="26" max="26" width="6.5703125" style="17" customWidth="1"/>
    <col min="27" max="29" width="7.140625" style="17" customWidth="1"/>
    <col min="30" max="30" width="6" style="17" customWidth="1"/>
    <col min="31" max="31" width="7.5703125" style="17" customWidth="1"/>
    <col min="32" max="16384" width="9.140625" style="16"/>
  </cols>
  <sheetData>
    <row r="1" spans="1:32" ht="15.75" customHeight="1" x14ac:dyDescent="0.25">
      <c r="A1" s="1464" t="s">
        <v>1301</v>
      </c>
      <c r="B1" s="1464"/>
      <c r="C1" s="1464"/>
      <c r="D1" s="1464"/>
      <c r="E1" s="1464"/>
      <c r="F1" s="1464"/>
      <c r="G1" s="1464"/>
      <c r="H1" s="1464"/>
      <c r="I1" s="1464"/>
      <c r="J1" s="1464"/>
      <c r="K1" s="1464"/>
      <c r="L1" s="1464"/>
      <c r="M1" s="1464"/>
      <c r="N1" s="1464"/>
      <c r="O1" s="1464"/>
      <c r="P1" s="1464"/>
      <c r="Q1" s="1464"/>
      <c r="R1" s="1464"/>
      <c r="S1" s="1464"/>
      <c r="T1" s="1464"/>
      <c r="U1" s="1464"/>
      <c r="V1" s="1464"/>
      <c r="W1" s="1464"/>
      <c r="X1" s="1464"/>
      <c r="Y1" s="1464"/>
      <c r="Z1" s="1464"/>
      <c r="AA1" s="1464"/>
      <c r="AB1" s="1464"/>
      <c r="AC1" s="1464"/>
      <c r="AD1" s="1464"/>
      <c r="AE1" s="1464"/>
    </row>
    <row r="2" spans="1:32" ht="15.75" customHeight="1" x14ac:dyDescent="0.25">
      <c r="A2" s="1468" t="s">
        <v>54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  <c r="Y2" s="1468"/>
      <c r="Z2" s="1468"/>
      <c r="AA2" s="1468"/>
      <c r="AB2" s="1468"/>
      <c r="AC2" s="1468"/>
      <c r="AD2" s="1468"/>
      <c r="AE2" s="1468"/>
    </row>
    <row r="3" spans="1:32" ht="15.75" customHeight="1" x14ac:dyDescent="0.25">
      <c r="A3" s="1468" t="s">
        <v>1141</v>
      </c>
      <c r="B3" s="1468"/>
      <c r="C3" s="1468"/>
      <c r="D3" s="1468"/>
      <c r="E3" s="1468"/>
      <c r="F3" s="1468"/>
      <c r="G3" s="1468"/>
      <c r="H3" s="1468"/>
      <c r="I3" s="1468"/>
      <c r="J3" s="1468"/>
      <c r="K3" s="1468"/>
      <c r="L3" s="1468"/>
      <c r="M3" s="1468"/>
      <c r="N3" s="1468"/>
      <c r="O3" s="1468"/>
      <c r="P3" s="1468"/>
      <c r="Q3" s="1468"/>
      <c r="R3" s="1468"/>
      <c r="S3" s="1468"/>
      <c r="T3" s="1468"/>
      <c r="U3" s="1468"/>
      <c r="V3" s="1468"/>
      <c r="W3" s="1468"/>
      <c r="X3" s="1468"/>
      <c r="Y3" s="1468"/>
      <c r="Z3" s="1468"/>
      <c r="AA3" s="1468"/>
      <c r="AB3" s="1468"/>
      <c r="AC3" s="1468"/>
      <c r="AD3" s="1468"/>
      <c r="AE3" s="1468"/>
    </row>
    <row r="4" spans="1:32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 t="s">
        <v>657</v>
      </c>
    </row>
    <row r="5" spans="1:32" ht="27.75" customHeight="1" x14ac:dyDescent="0.25">
      <c r="A5" s="1471" t="s">
        <v>70</v>
      </c>
      <c r="B5" s="42" t="s">
        <v>57</v>
      </c>
      <c r="C5" s="1469" t="s">
        <v>58</v>
      </c>
      <c r="D5" s="1469"/>
      <c r="E5" s="1469" t="s">
        <v>59</v>
      </c>
      <c r="F5" s="1469"/>
      <c r="G5" s="1469" t="s">
        <v>60</v>
      </c>
      <c r="H5" s="1469"/>
      <c r="I5" s="1469"/>
      <c r="J5" s="1469"/>
      <c r="K5" s="1472" t="s">
        <v>471</v>
      </c>
      <c r="L5" s="1472"/>
      <c r="M5" s="1469" t="s">
        <v>472</v>
      </c>
      <c r="N5" s="1469"/>
      <c r="O5" s="1469"/>
      <c r="P5" s="1469" t="s">
        <v>473</v>
      </c>
      <c r="Q5" s="1469"/>
      <c r="R5" s="1469"/>
      <c r="S5" s="1470" t="s">
        <v>594</v>
      </c>
      <c r="T5" s="1470"/>
      <c r="U5" s="1470"/>
      <c r="V5" s="1470"/>
      <c r="W5" s="1470"/>
      <c r="X5" s="1469" t="s">
        <v>602</v>
      </c>
      <c r="Y5" s="1469"/>
      <c r="Z5" s="1469"/>
      <c r="AA5" s="1469" t="s">
        <v>603</v>
      </c>
      <c r="AB5" s="1469"/>
      <c r="AC5" s="1469"/>
      <c r="AD5" s="1469"/>
      <c r="AE5" s="1469"/>
    </row>
    <row r="6" spans="1:32" s="4" customFormat="1" ht="30.75" customHeight="1" x14ac:dyDescent="0.2">
      <c r="A6" s="1471"/>
      <c r="B6" s="1437" t="s">
        <v>658</v>
      </c>
      <c r="C6" s="1466" t="s">
        <v>659</v>
      </c>
      <c r="D6" s="1466"/>
      <c r="E6" s="1466"/>
      <c r="F6" s="1466"/>
      <c r="G6" s="1466" t="s">
        <v>660</v>
      </c>
      <c r="H6" s="1466"/>
      <c r="I6" s="1466"/>
      <c r="J6" s="1466"/>
      <c r="K6" s="1466"/>
      <c r="L6" s="1466"/>
      <c r="M6" s="1465" t="s">
        <v>661</v>
      </c>
      <c r="N6" s="1465"/>
      <c r="O6" s="1465"/>
      <c r="P6" s="1465"/>
      <c r="Q6" s="1465"/>
      <c r="R6" s="1465"/>
      <c r="S6" s="1465" t="s">
        <v>530</v>
      </c>
      <c r="T6" s="1465"/>
      <c r="U6" s="1465"/>
      <c r="V6" s="1465"/>
      <c r="W6" s="1465"/>
      <c r="X6" s="1465"/>
      <c r="Y6" s="1465"/>
      <c r="Z6" s="1465"/>
      <c r="AA6" s="1320" t="s">
        <v>662</v>
      </c>
      <c r="AB6" s="1320"/>
      <c r="AC6" s="1320"/>
      <c r="AD6" s="1320"/>
      <c r="AE6" s="1320"/>
    </row>
    <row r="7" spans="1:32" s="4" customFormat="1" ht="40.5" customHeight="1" x14ac:dyDescent="0.2">
      <c r="A7" s="1471"/>
      <c r="B7" s="1437"/>
      <c r="C7" s="1467" t="s">
        <v>663</v>
      </c>
      <c r="D7" s="1467"/>
      <c r="E7" s="1252" t="s">
        <v>664</v>
      </c>
      <c r="F7" s="1252"/>
      <c r="G7" s="1467" t="s">
        <v>665</v>
      </c>
      <c r="H7" s="1467"/>
      <c r="I7" s="1467"/>
      <c r="J7" s="1467"/>
      <c r="K7" s="1467" t="s">
        <v>664</v>
      </c>
      <c r="L7" s="1467"/>
      <c r="M7" s="1474" t="s">
        <v>665</v>
      </c>
      <c r="N7" s="1474"/>
      <c r="O7" s="1474"/>
      <c r="P7" s="1467" t="s">
        <v>664</v>
      </c>
      <c r="Q7" s="1467"/>
      <c r="R7" s="1467"/>
      <c r="S7" s="1474" t="s">
        <v>665</v>
      </c>
      <c r="T7" s="1474"/>
      <c r="U7" s="1474"/>
      <c r="V7" s="1474"/>
      <c r="W7" s="1474"/>
      <c r="X7" s="1474" t="s">
        <v>666</v>
      </c>
      <c r="Y7" s="1474"/>
      <c r="Z7" s="1474"/>
      <c r="AA7" s="1320"/>
      <c r="AB7" s="1320"/>
      <c r="AC7" s="1320"/>
      <c r="AD7" s="1320"/>
      <c r="AE7" s="1320"/>
    </row>
    <row r="8" spans="1:32" s="4" customFormat="1" ht="27" customHeight="1" x14ac:dyDescent="0.2">
      <c r="A8" s="1471"/>
      <c r="B8" s="1437"/>
      <c r="C8" s="43">
        <v>42736</v>
      </c>
      <c r="D8" s="43">
        <v>43100</v>
      </c>
      <c r="E8" s="43">
        <v>42736</v>
      </c>
      <c r="F8" s="43">
        <v>43100</v>
      </c>
      <c r="G8" s="43">
        <v>42736</v>
      </c>
      <c r="H8" s="43">
        <v>43221</v>
      </c>
      <c r="I8" s="43">
        <v>43374</v>
      </c>
      <c r="J8" s="43">
        <v>43100</v>
      </c>
      <c r="K8" s="43">
        <v>42736</v>
      </c>
      <c r="L8" s="43">
        <v>43100</v>
      </c>
      <c r="M8" s="43">
        <v>42736</v>
      </c>
      <c r="N8" s="1200">
        <v>43497</v>
      </c>
      <c r="O8" s="43">
        <v>43100</v>
      </c>
      <c r="P8" s="43">
        <v>42736</v>
      </c>
      <c r="Q8" s="43">
        <v>43497</v>
      </c>
      <c r="R8" s="43">
        <v>43100</v>
      </c>
      <c r="S8" s="43">
        <v>42736</v>
      </c>
      <c r="T8" s="1200">
        <v>43497</v>
      </c>
      <c r="U8" s="43">
        <v>43221</v>
      </c>
      <c r="V8" s="43">
        <v>43009</v>
      </c>
      <c r="W8" s="43">
        <v>43100</v>
      </c>
      <c r="X8" s="43">
        <v>42736</v>
      </c>
      <c r="Y8" s="43">
        <v>43497</v>
      </c>
      <c r="Z8" s="43">
        <v>43100</v>
      </c>
      <c r="AA8" s="43">
        <v>42736</v>
      </c>
      <c r="AB8" s="1200">
        <v>43497</v>
      </c>
      <c r="AC8" s="43">
        <v>43221</v>
      </c>
      <c r="AD8" s="855">
        <v>43009</v>
      </c>
      <c r="AE8" s="43">
        <v>43100</v>
      </c>
    </row>
    <row r="9" spans="1:32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2" s="4" customFormat="1" ht="13.9" customHeight="1" x14ac:dyDescent="0.25">
      <c r="A10" s="44" t="s">
        <v>480</v>
      </c>
      <c r="B10" s="46" t="s">
        <v>1239</v>
      </c>
      <c r="C10" s="1072">
        <v>6</v>
      </c>
      <c r="D10" s="1072">
        <f>C10</f>
        <v>6</v>
      </c>
      <c r="E10" s="1074"/>
      <c r="F10" s="1072">
        <f>+E10</f>
        <v>0</v>
      </c>
      <c r="G10" s="47">
        <v>2</v>
      </c>
      <c r="H10" s="47"/>
      <c r="I10" s="47"/>
      <c r="J10" s="47" t="s">
        <v>667</v>
      </c>
      <c r="K10" s="47"/>
      <c r="L10" s="47"/>
      <c r="M10" s="47" t="s">
        <v>563</v>
      </c>
      <c r="N10" s="47"/>
      <c r="O10" s="47" t="s">
        <v>563</v>
      </c>
      <c r="P10" s="47" t="s">
        <v>563</v>
      </c>
      <c r="Q10" s="47"/>
      <c r="R10" s="47" t="s">
        <v>563</v>
      </c>
      <c r="S10" s="1072">
        <f>C10+G10</f>
        <v>8</v>
      </c>
      <c r="T10" s="1072"/>
      <c r="U10" s="1072"/>
      <c r="V10" s="1072">
        <v>0</v>
      </c>
      <c r="W10" s="1072">
        <f>D10+J10</f>
        <v>8</v>
      </c>
      <c r="X10" s="1072">
        <v>0</v>
      </c>
      <c r="Y10" s="1072"/>
      <c r="Z10" s="1072">
        <f>X10</f>
        <v>0</v>
      </c>
      <c r="AA10" s="1075">
        <f>C10+E10/2+K10/2+P10/2+G10+M10</f>
        <v>8</v>
      </c>
      <c r="AB10" s="1075"/>
      <c r="AC10" s="508"/>
      <c r="AD10" s="508"/>
      <c r="AE10" s="508">
        <f>AA10+AD10</f>
        <v>8</v>
      </c>
    </row>
    <row r="11" spans="1:32" s="4" customFormat="1" ht="13.9" customHeight="1" x14ac:dyDescent="0.25">
      <c r="A11" s="44"/>
      <c r="B11" s="31"/>
      <c r="C11" s="4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2" s="17" customFormat="1" ht="14.45" customHeight="1" x14ac:dyDescent="0.25">
      <c r="A12" s="5" t="s">
        <v>488</v>
      </c>
      <c r="B12" s="49" t="s">
        <v>668</v>
      </c>
      <c r="C12" s="50">
        <v>3</v>
      </c>
      <c r="D12" s="51">
        <f>C12</f>
        <v>3</v>
      </c>
      <c r="E12" s="51"/>
      <c r="F12" s="51"/>
      <c r="G12" s="51">
        <v>36</v>
      </c>
      <c r="H12" s="987">
        <v>2</v>
      </c>
      <c r="I12" s="987">
        <v>-2</v>
      </c>
      <c r="J12" s="51">
        <f>G12</f>
        <v>36</v>
      </c>
      <c r="K12" s="51"/>
      <c r="L12" s="51"/>
      <c r="M12" s="51">
        <v>0</v>
      </c>
      <c r="N12" s="51"/>
      <c r="O12" s="51">
        <v>0</v>
      </c>
      <c r="P12" s="51">
        <v>0</v>
      </c>
      <c r="Q12" s="51"/>
      <c r="R12" s="51">
        <v>0</v>
      </c>
      <c r="S12" s="51">
        <f>C12+G12+M12</f>
        <v>39</v>
      </c>
      <c r="T12" s="51"/>
      <c r="U12" s="51">
        <v>2</v>
      </c>
      <c r="V12" s="856">
        <v>-2</v>
      </c>
      <c r="W12" s="51">
        <f>SUM(S12:V12)</f>
        <v>39</v>
      </c>
      <c r="X12" s="51">
        <v>0</v>
      </c>
      <c r="Y12" s="51"/>
      <c r="Z12" s="51">
        <v>0</v>
      </c>
      <c r="AA12" s="53">
        <f>S12</f>
        <v>39</v>
      </c>
      <c r="AB12" s="53"/>
      <c r="AC12" s="965">
        <v>2</v>
      </c>
      <c r="AD12" s="965">
        <f>V12</f>
        <v>-2</v>
      </c>
      <c r="AE12" s="53">
        <f>AA12+AC12+AD12</f>
        <v>39</v>
      </c>
    </row>
    <row r="13" spans="1:32" s="17" customFormat="1" ht="14.45" customHeight="1" x14ac:dyDescent="0.25">
      <c r="A13" s="5"/>
    </row>
    <row r="14" spans="1:32" ht="15.75" customHeight="1" x14ac:dyDescent="0.25">
      <c r="A14" s="5"/>
      <c r="B14" s="54"/>
      <c r="C14" s="55"/>
      <c r="D14" s="56"/>
      <c r="E14" s="56"/>
      <c r="F14" s="56"/>
      <c r="G14" s="56"/>
      <c r="H14" s="56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2" s="17" customFormat="1" ht="14.45" customHeight="1" x14ac:dyDescent="0.25">
      <c r="A15" s="5" t="s">
        <v>489</v>
      </c>
      <c r="B15" s="59" t="s">
        <v>669</v>
      </c>
      <c r="C15" s="60"/>
      <c r="D15" s="61"/>
      <c r="E15" s="61"/>
      <c r="F15" s="61"/>
      <c r="G15" s="61"/>
      <c r="H15" s="61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2" s="17" customFormat="1" ht="14.45" customHeight="1" x14ac:dyDescent="0.25">
      <c r="A16" s="5" t="s">
        <v>490</v>
      </c>
      <c r="B16" s="64" t="s">
        <v>670</v>
      </c>
      <c r="C16" s="959"/>
      <c r="D16" s="66"/>
      <c r="E16" s="66"/>
      <c r="F16" s="66"/>
      <c r="G16" s="66"/>
      <c r="H16" s="66"/>
      <c r="I16" s="66"/>
      <c r="J16" s="66"/>
      <c r="K16" s="66"/>
      <c r="L16" s="66"/>
      <c r="M16" s="986">
        <v>22.5</v>
      </c>
      <c r="N16" s="986"/>
      <c r="O16" s="987">
        <f t="shared" ref="O16:O23" si="0">M16</f>
        <v>22.5</v>
      </c>
      <c r="P16" s="986"/>
      <c r="Q16" s="986"/>
      <c r="R16" s="986"/>
      <c r="S16" s="987">
        <f t="shared" ref="S16:S24" si="1">C16+G16+M16</f>
        <v>22.5</v>
      </c>
      <c r="T16" s="987"/>
      <c r="U16" s="987"/>
      <c r="V16" s="987"/>
      <c r="W16" s="987">
        <f t="shared" ref="W16:W23" si="2">D16+J16+O16</f>
        <v>22.5</v>
      </c>
      <c r="X16" s="987"/>
      <c r="Y16" s="987"/>
      <c r="Z16" s="987"/>
      <c r="AA16" s="987">
        <f t="shared" ref="AA16:AA21" si="3">S16+X16/2</f>
        <v>22.5</v>
      </c>
      <c r="AB16" s="987"/>
      <c r="AC16" s="987"/>
      <c r="AD16" s="987"/>
      <c r="AE16" s="987">
        <f t="shared" ref="AE16:AE23" si="4">W16+Z16/2</f>
        <v>22.5</v>
      </c>
      <c r="AF16" s="960"/>
    </row>
    <row r="17" spans="1:32" s="17" customFormat="1" ht="14.45" customHeight="1" x14ac:dyDescent="0.25">
      <c r="A17" s="5" t="s">
        <v>491</v>
      </c>
      <c r="B17" s="64" t="s">
        <v>951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>
        <v>20</v>
      </c>
      <c r="N17" s="66"/>
      <c r="O17" s="51">
        <f t="shared" si="0"/>
        <v>20</v>
      </c>
      <c r="P17" s="66"/>
      <c r="Q17" s="66"/>
      <c r="R17" s="66"/>
      <c r="S17" s="51">
        <f t="shared" si="1"/>
        <v>20</v>
      </c>
      <c r="T17" s="51"/>
      <c r="U17" s="51"/>
      <c r="V17" s="51"/>
      <c r="W17" s="51">
        <f t="shared" si="2"/>
        <v>20</v>
      </c>
      <c r="X17" s="51"/>
      <c r="Y17" s="51"/>
      <c r="Z17" s="51"/>
      <c r="AA17" s="51">
        <f t="shared" si="3"/>
        <v>20</v>
      </c>
      <c r="AB17" s="51"/>
      <c r="AC17" s="51"/>
      <c r="AD17" s="51"/>
      <c r="AE17" s="51">
        <f t="shared" si="4"/>
        <v>20</v>
      </c>
    </row>
    <row r="18" spans="1:32" s="17" customFormat="1" ht="14.45" customHeight="1" x14ac:dyDescent="0.25">
      <c r="A18" s="5" t="s">
        <v>492</v>
      </c>
      <c r="B18" s="64" t="s">
        <v>952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>
        <v>9</v>
      </c>
      <c r="N18" s="66"/>
      <c r="O18" s="51">
        <f t="shared" si="0"/>
        <v>9</v>
      </c>
      <c r="P18" s="66"/>
      <c r="Q18" s="66"/>
      <c r="R18" s="66"/>
      <c r="S18" s="51">
        <f t="shared" si="1"/>
        <v>9</v>
      </c>
      <c r="T18" s="51"/>
      <c r="U18" s="51"/>
      <c r="V18" s="51"/>
      <c r="W18" s="51">
        <f t="shared" si="2"/>
        <v>9</v>
      </c>
      <c r="X18" s="51"/>
      <c r="Y18" s="51"/>
      <c r="Z18" s="51"/>
      <c r="AA18" s="51">
        <f t="shared" si="3"/>
        <v>9</v>
      </c>
      <c r="AB18" s="51"/>
      <c r="AC18" s="51"/>
      <c r="AD18" s="51"/>
      <c r="AE18" s="51">
        <f t="shared" si="4"/>
        <v>9</v>
      </c>
    </row>
    <row r="19" spans="1:32" s="17" customFormat="1" ht="14.45" customHeight="1" x14ac:dyDescent="0.25">
      <c r="A19" s="5" t="s">
        <v>493</v>
      </c>
      <c r="B19" s="64" t="s">
        <v>953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>
        <v>11</v>
      </c>
      <c r="N19" s="66"/>
      <c r="O19" s="51">
        <f t="shared" si="0"/>
        <v>11</v>
      </c>
      <c r="P19" s="66"/>
      <c r="Q19" s="66"/>
      <c r="R19" s="66"/>
      <c r="S19" s="51">
        <f t="shared" si="1"/>
        <v>11</v>
      </c>
      <c r="T19" s="51"/>
      <c r="U19" s="51"/>
      <c r="V19" s="51"/>
      <c r="W19" s="51">
        <f t="shared" si="2"/>
        <v>11</v>
      </c>
      <c r="X19" s="51"/>
      <c r="Y19" s="51"/>
      <c r="Z19" s="51"/>
      <c r="AA19" s="51">
        <f t="shared" si="3"/>
        <v>11</v>
      </c>
      <c r="AB19" s="51"/>
      <c r="AC19" s="51"/>
      <c r="AD19" s="51"/>
      <c r="AE19" s="51">
        <f t="shared" si="4"/>
        <v>11</v>
      </c>
    </row>
    <row r="20" spans="1:32" s="17" customFormat="1" ht="14.45" customHeight="1" x14ac:dyDescent="0.25">
      <c r="A20" s="5" t="s">
        <v>494</v>
      </c>
      <c r="B20" s="64" t="s">
        <v>671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>
        <v>1</v>
      </c>
      <c r="N20" s="66"/>
      <c r="O20" s="51">
        <f t="shared" si="0"/>
        <v>1</v>
      </c>
      <c r="P20" s="66"/>
      <c r="Q20" s="66"/>
      <c r="R20" s="66"/>
      <c r="S20" s="51">
        <f t="shared" si="1"/>
        <v>1</v>
      </c>
      <c r="T20" s="51"/>
      <c r="U20" s="51"/>
      <c r="V20" s="51"/>
      <c r="W20" s="51">
        <f t="shared" si="2"/>
        <v>1</v>
      </c>
      <c r="X20" s="51"/>
      <c r="Y20" s="51"/>
      <c r="Z20" s="51"/>
      <c r="AA20" s="51">
        <f t="shared" si="3"/>
        <v>1</v>
      </c>
      <c r="AB20" s="51"/>
      <c r="AC20" s="51"/>
      <c r="AD20" s="51"/>
      <c r="AE20" s="51">
        <f t="shared" si="4"/>
        <v>1</v>
      </c>
    </row>
    <row r="21" spans="1:32" s="17" customFormat="1" ht="14.45" customHeight="1" x14ac:dyDescent="0.25">
      <c r="A21" s="5" t="s">
        <v>495</v>
      </c>
      <c r="B21" s="64" t="s">
        <v>672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>
        <v>5</v>
      </c>
      <c r="N21" s="66"/>
      <c r="O21" s="51">
        <f t="shared" si="0"/>
        <v>5</v>
      </c>
      <c r="P21" s="66"/>
      <c r="Q21" s="66"/>
      <c r="R21" s="66"/>
      <c r="S21" s="51">
        <f t="shared" si="1"/>
        <v>5</v>
      </c>
      <c r="T21" s="51"/>
      <c r="U21" s="51"/>
      <c r="V21" s="51"/>
      <c r="W21" s="51">
        <f t="shared" si="2"/>
        <v>5</v>
      </c>
      <c r="X21" s="51"/>
      <c r="Y21" s="51"/>
      <c r="Z21" s="51"/>
      <c r="AA21" s="51">
        <f t="shared" si="3"/>
        <v>5</v>
      </c>
      <c r="AB21" s="51"/>
      <c r="AC21" s="51"/>
      <c r="AD21" s="51"/>
      <c r="AE21" s="51">
        <f t="shared" si="4"/>
        <v>5</v>
      </c>
    </row>
    <row r="22" spans="1:32" s="17" customFormat="1" ht="14.45" customHeight="1" x14ac:dyDescent="0.25">
      <c r="A22" s="5" t="s">
        <v>532</v>
      </c>
      <c r="B22" s="64" t="s">
        <v>935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>
        <v>3</v>
      </c>
      <c r="N22" s="66"/>
      <c r="O22" s="51">
        <f t="shared" si="0"/>
        <v>3</v>
      </c>
      <c r="P22" s="66"/>
      <c r="Q22" s="66"/>
      <c r="R22" s="66"/>
      <c r="S22" s="51">
        <f t="shared" si="1"/>
        <v>3</v>
      </c>
      <c r="T22" s="51"/>
      <c r="U22" s="51"/>
      <c r="V22" s="51"/>
      <c r="W22" s="51">
        <f t="shared" si="2"/>
        <v>3</v>
      </c>
      <c r="X22" s="51"/>
      <c r="Y22" s="51"/>
      <c r="Z22" s="51"/>
      <c r="AA22" s="51">
        <v>3</v>
      </c>
      <c r="AB22" s="51"/>
      <c r="AC22" s="51"/>
      <c r="AD22" s="51"/>
      <c r="AE22" s="51">
        <f t="shared" si="4"/>
        <v>3</v>
      </c>
    </row>
    <row r="23" spans="1:32" s="17" customFormat="1" ht="14.45" customHeight="1" x14ac:dyDescent="0.25">
      <c r="A23" s="5" t="s">
        <v>533</v>
      </c>
      <c r="B23" s="64" t="s">
        <v>673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>
        <v>4</v>
      </c>
      <c r="N23" s="66"/>
      <c r="O23" s="51">
        <f t="shared" si="0"/>
        <v>4</v>
      </c>
      <c r="P23" s="66"/>
      <c r="Q23" s="66"/>
      <c r="R23" s="66"/>
      <c r="S23" s="51">
        <f t="shared" si="1"/>
        <v>4</v>
      </c>
      <c r="T23" s="51"/>
      <c r="U23" s="51"/>
      <c r="V23" s="51"/>
      <c r="W23" s="51">
        <f t="shared" si="2"/>
        <v>4</v>
      </c>
      <c r="X23" s="51"/>
      <c r="Y23" s="51"/>
      <c r="Z23" s="51"/>
      <c r="AA23" s="51">
        <f>S23+X23/2</f>
        <v>4</v>
      </c>
      <c r="AB23" s="51"/>
      <c r="AC23" s="51"/>
      <c r="AD23" s="51"/>
      <c r="AE23" s="51">
        <f t="shared" si="4"/>
        <v>4</v>
      </c>
    </row>
    <row r="24" spans="1:32" s="17" customFormat="1" ht="14.45" customHeight="1" x14ac:dyDescent="0.25">
      <c r="A24" s="5" t="s">
        <v>534</v>
      </c>
      <c r="B24" s="49" t="s">
        <v>674</v>
      </c>
      <c r="C24" s="50"/>
      <c r="D24" s="67"/>
      <c r="E24" s="67"/>
      <c r="F24" s="67"/>
      <c r="G24" s="67"/>
      <c r="H24" s="67"/>
      <c r="I24" s="67"/>
      <c r="J24" s="66"/>
      <c r="K24" s="66"/>
      <c r="L24" s="66"/>
      <c r="M24" s="51">
        <f>SUM(M16:M23)</f>
        <v>75.5</v>
      </c>
      <c r="N24" s="51"/>
      <c r="O24" s="51">
        <f>SUM(O16:O23)</f>
        <v>75.5</v>
      </c>
      <c r="P24" s="51">
        <v>0</v>
      </c>
      <c r="Q24" s="51"/>
      <c r="R24" s="51">
        <v>0</v>
      </c>
      <c r="S24" s="51">
        <f t="shared" si="1"/>
        <v>75.5</v>
      </c>
      <c r="T24" s="51"/>
      <c r="U24" s="51"/>
      <c r="V24" s="51"/>
      <c r="W24" s="51">
        <f>SUM(W16:W23)</f>
        <v>75.5</v>
      </c>
      <c r="X24" s="51">
        <v>0</v>
      </c>
      <c r="Y24" s="51"/>
      <c r="Z24" s="51">
        <v>0</v>
      </c>
      <c r="AA24" s="270">
        <f>S24+X24/2</f>
        <v>75.5</v>
      </c>
      <c r="AB24" s="270"/>
      <c r="AC24" s="270"/>
      <c r="AD24" s="856">
        <v>0</v>
      </c>
      <c r="AE24" s="51">
        <f>SUM(AE16:AE23)</f>
        <v>75.5</v>
      </c>
      <c r="AF24" s="804"/>
    </row>
    <row r="25" spans="1:32" s="17" customFormat="1" ht="13.5" customHeight="1" x14ac:dyDescent="0.25">
      <c r="A25" s="5"/>
      <c r="B25" s="131"/>
      <c r="C25" s="132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2" ht="12.75" customHeight="1" x14ac:dyDescent="0.25">
      <c r="A26" s="5"/>
      <c r="B26" s="54"/>
      <c r="C26" s="55"/>
      <c r="D26" s="56"/>
      <c r="E26" s="56"/>
      <c r="F26" s="56"/>
      <c r="G26" s="56"/>
      <c r="H26" s="56"/>
      <c r="I26" s="56"/>
      <c r="J26" s="74"/>
      <c r="K26" s="74"/>
      <c r="L26" s="74"/>
      <c r="M26" s="74"/>
      <c r="N26" s="74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2" s="17" customFormat="1" ht="27" customHeight="1" x14ac:dyDescent="0.25">
      <c r="A27" s="5" t="s">
        <v>535</v>
      </c>
      <c r="B27" s="59" t="s">
        <v>675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</row>
    <row r="28" spans="1:32" s="17" customFormat="1" ht="27.75" customHeight="1" x14ac:dyDescent="0.25">
      <c r="A28" s="5" t="s">
        <v>536</v>
      </c>
      <c r="B28" s="1194" t="s">
        <v>1264</v>
      </c>
      <c r="C28" s="1195"/>
      <c r="D28" s="986"/>
      <c r="E28" s="986"/>
      <c r="F28" s="986"/>
      <c r="G28" s="986"/>
      <c r="H28" s="986"/>
      <c r="I28" s="986"/>
      <c r="J28" s="987"/>
      <c r="K28" s="987"/>
      <c r="L28" s="987"/>
      <c r="M28" s="986">
        <v>7</v>
      </c>
      <c r="N28" s="986">
        <v>1</v>
      </c>
      <c r="O28" s="987">
        <f>M28+N28</f>
        <v>8</v>
      </c>
      <c r="P28" s="986"/>
      <c r="Q28" s="986"/>
      <c r="R28" s="986"/>
      <c r="S28" s="987">
        <f>C28+G28+M28</f>
        <v>7</v>
      </c>
      <c r="T28" s="987">
        <v>1</v>
      </c>
      <c r="U28" s="987"/>
      <c r="V28" s="987"/>
      <c r="W28" s="987">
        <f>D28+J28+O28</f>
        <v>8</v>
      </c>
      <c r="X28" s="987"/>
      <c r="Y28" s="987"/>
      <c r="Z28" s="987"/>
      <c r="AA28" s="987">
        <f t="shared" ref="AA28:AA40" si="5">C28+G28+M28+P28/2</f>
        <v>7</v>
      </c>
      <c r="AB28" s="987">
        <f>N28</f>
        <v>1</v>
      </c>
      <c r="AC28" s="987"/>
      <c r="AD28" s="986"/>
      <c r="AE28" s="987">
        <f>D28+J28+O28+R28/2</f>
        <v>8</v>
      </c>
      <c r="AF28" s="29"/>
    </row>
    <row r="29" spans="1:32" s="17" customFormat="1" ht="14.45" customHeight="1" x14ac:dyDescent="0.25">
      <c r="A29" s="5" t="s">
        <v>537</v>
      </c>
      <c r="B29" s="1194" t="s">
        <v>676</v>
      </c>
      <c r="C29" s="1195"/>
      <c r="D29" s="986"/>
      <c r="E29" s="986"/>
      <c r="F29" s="986"/>
      <c r="G29" s="986"/>
      <c r="H29" s="986"/>
      <c r="I29" s="986"/>
      <c r="J29" s="986"/>
      <c r="K29" s="986"/>
      <c r="L29" s="986"/>
      <c r="M29" s="986">
        <v>1</v>
      </c>
      <c r="N29" s="986"/>
      <c r="O29" s="987">
        <f t="shared" ref="O29:O38" si="6">M29</f>
        <v>1</v>
      </c>
      <c r="P29" s="986"/>
      <c r="Q29" s="986"/>
      <c r="R29" s="986"/>
      <c r="S29" s="987">
        <f>C29+G29+M29</f>
        <v>1</v>
      </c>
      <c r="T29" s="987"/>
      <c r="U29" s="987"/>
      <c r="V29" s="987"/>
      <c r="W29" s="987">
        <f>D29+J29+O29</f>
        <v>1</v>
      </c>
      <c r="X29" s="987"/>
      <c r="Y29" s="987"/>
      <c r="Z29" s="987"/>
      <c r="AA29" s="987">
        <f t="shared" si="5"/>
        <v>1</v>
      </c>
      <c r="AB29" s="987"/>
      <c r="AC29" s="987"/>
      <c r="AD29" s="986"/>
      <c r="AE29" s="987">
        <f>D29+J29+O29+R29/2</f>
        <v>1</v>
      </c>
      <c r="AF29" s="29"/>
    </row>
    <row r="30" spans="1:32" s="17" customFormat="1" ht="14.25" customHeight="1" x14ac:dyDescent="0.25">
      <c r="A30" s="5" t="s">
        <v>538</v>
      </c>
      <c r="B30" s="1194" t="s">
        <v>1258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>
        <v>31</v>
      </c>
      <c r="N30" s="66"/>
      <c r="O30" s="51">
        <f t="shared" si="6"/>
        <v>31</v>
      </c>
      <c r="P30" s="66">
        <v>1</v>
      </c>
      <c r="Q30" s="66">
        <v>-1</v>
      </c>
      <c r="R30" s="66">
        <f>P30+Q30</f>
        <v>0</v>
      </c>
      <c r="S30" s="51">
        <v>31</v>
      </c>
      <c r="T30" s="51"/>
      <c r="U30" s="51"/>
      <c r="V30" s="51"/>
      <c r="W30" s="51">
        <f>D30+J30+O30</f>
        <v>31</v>
      </c>
      <c r="X30" s="987">
        <f>P30+K30+E30</f>
        <v>1</v>
      </c>
      <c r="Y30" s="987">
        <v>-1</v>
      </c>
      <c r="Z30" s="987">
        <f>F30+L30+R30</f>
        <v>0</v>
      </c>
      <c r="AA30" s="987">
        <f t="shared" si="5"/>
        <v>31.5</v>
      </c>
      <c r="AB30" s="987">
        <v>-0.5</v>
      </c>
      <c r="AC30" s="987"/>
      <c r="AD30" s="986"/>
      <c r="AE30" s="987">
        <f>D30+J30+O30+R30/2+AB30</f>
        <v>30.5</v>
      </c>
      <c r="AF30" s="29"/>
    </row>
    <row r="31" spans="1:32" s="17" customFormat="1" ht="29.25" customHeight="1" x14ac:dyDescent="0.25">
      <c r="A31" s="5" t="s">
        <v>540</v>
      </c>
      <c r="B31" s="1194" t="s">
        <v>1259</v>
      </c>
      <c r="C31" s="1195"/>
      <c r="D31" s="986"/>
      <c r="E31" s="986"/>
      <c r="F31" s="986"/>
      <c r="G31" s="986"/>
      <c r="H31" s="986"/>
      <c r="I31" s="986"/>
      <c r="J31" s="986"/>
      <c r="K31" s="986"/>
      <c r="L31" s="986"/>
      <c r="M31" s="1196">
        <v>2</v>
      </c>
      <c r="N31" s="1196"/>
      <c r="O31" s="1197">
        <f t="shared" si="6"/>
        <v>2</v>
      </c>
      <c r="P31" s="1196"/>
      <c r="Q31" s="1196"/>
      <c r="R31" s="1196"/>
      <c r="S31" s="1197">
        <f>C31+G31+M31</f>
        <v>2</v>
      </c>
      <c r="T31" s="1197"/>
      <c r="U31" s="1197"/>
      <c r="V31" s="1197"/>
      <c r="W31" s="1197">
        <f>D31+J31+O31</f>
        <v>2</v>
      </c>
      <c r="X31" s="1197"/>
      <c r="Y31" s="1197"/>
      <c r="Z31" s="1197"/>
      <c r="AA31" s="1197">
        <f t="shared" si="5"/>
        <v>2</v>
      </c>
      <c r="AB31" s="1197"/>
      <c r="AC31" s="1197"/>
      <c r="AD31" s="1196"/>
      <c r="AE31" s="1197">
        <f>D31+J31+O31+R31/2</f>
        <v>2</v>
      </c>
      <c r="AF31" s="29"/>
    </row>
    <row r="32" spans="1:32" s="17" customFormat="1" ht="14.45" customHeight="1" x14ac:dyDescent="0.25">
      <c r="A32" s="5" t="s">
        <v>541</v>
      </c>
      <c r="B32" s="1194" t="s">
        <v>691</v>
      </c>
      <c r="C32" s="1195"/>
      <c r="D32" s="986"/>
      <c r="E32" s="986"/>
      <c r="F32" s="986"/>
      <c r="G32" s="986"/>
      <c r="H32" s="986"/>
      <c r="I32" s="986"/>
      <c r="J32" s="986"/>
      <c r="K32" s="986"/>
      <c r="L32" s="986"/>
      <c r="M32" s="986">
        <v>2</v>
      </c>
      <c r="N32" s="986"/>
      <c r="O32" s="987">
        <f t="shared" si="6"/>
        <v>2</v>
      </c>
      <c r="P32" s="986"/>
      <c r="Q32" s="986"/>
      <c r="R32" s="986"/>
      <c r="S32" s="987">
        <f>C32+G32+M32</f>
        <v>2</v>
      </c>
      <c r="T32" s="987"/>
      <c r="U32" s="987"/>
      <c r="V32" s="987"/>
      <c r="W32" s="987">
        <f>D32+J32+O32</f>
        <v>2</v>
      </c>
      <c r="X32" s="987"/>
      <c r="Y32" s="987"/>
      <c r="Z32" s="987"/>
      <c r="AA32" s="987">
        <f t="shared" si="5"/>
        <v>2</v>
      </c>
      <c r="AB32" s="987"/>
      <c r="AC32" s="987"/>
      <c r="AD32" s="987"/>
      <c r="AE32" s="987">
        <f>D32+J32+O32+R32/2</f>
        <v>2</v>
      </c>
      <c r="AF32" s="29"/>
    </row>
    <row r="33" spans="1:34" s="17" customFormat="1" ht="14.45" customHeight="1" x14ac:dyDescent="0.25">
      <c r="A33" s="5" t="s">
        <v>542</v>
      </c>
      <c r="B33" s="1194" t="s">
        <v>677</v>
      </c>
      <c r="C33" s="1195"/>
      <c r="D33" s="986"/>
      <c r="E33" s="986"/>
      <c r="F33" s="986"/>
      <c r="G33" s="986"/>
      <c r="H33" s="986"/>
      <c r="I33" s="986"/>
      <c r="J33" s="986"/>
      <c r="K33" s="986"/>
      <c r="L33" s="986"/>
      <c r="M33" s="986">
        <v>2</v>
      </c>
      <c r="N33" s="986">
        <v>1</v>
      </c>
      <c r="O33" s="987">
        <f>M33+N33</f>
        <v>3</v>
      </c>
      <c r="P33" s="986"/>
      <c r="Q33" s="986"/>
      <c r="R33" s="986"/>
      <c r="S33" s="987">
        <v>2</v>
      </c>
      <c r="T33" s="987">
        <v>1</v>
      </c>
      <c r="U33" s="987"/>
      <c r="V33" s="987"/>
      <c r="W33" s="987">
        <f>S33+T33</f>
        <v>3</v>
      </c>
      <c r="X33" s="987"/>
      <c r="Y33" s="987"/>
      <c r="Z33" s="987"/>
      <c r="AA33" s="987">
        <f t="shared" si="5"/>
        <v>2</v>
      </c>
      <c r="AB33" s="987">
        <f>T33</f>
        <v>1</v>
      </c>
      <c r="AC33" s="987"/>
      <c r="AD33" s="986"/>
      <c r="AE33" s="987">
        <f>AB33+AA33</f>
        <v>3</v>
      </c>
      <c r="AF33" s="29"/>
      <c r="AH33" s="583"/>
    </row>
    <row r="34" spans="1:34" s="17" customFormat="1" ht="14.45" customHeight="1" x14ac:dyDescent="0.25">
      <c r="A34" s="5" t="s">
        <v>543</v>
      </c>
      <c r="B34" s="1194" t="s">
        <v>678</v>
      </c>
      <c r="C34" s="1195"/>
      <c r="D34" s="986"/>
      <c r="E34" s="986"/>
      <c r="F34" s="986"/>
      <c r="G34" s="986"/>
      <c r="H34" s="986"/>
      <c r="I34" s="986"/>
      <c r="J34" s="986"/>
      <c r="K34" s="986"/>
      <c r="L34" s="986"/>
      <c r="M34" s="986">
        <v>5</v>
      </c>
      <c r="N34" s="986"/>
      <c r="O34" s="987">
        <f t="shared" si="6"/>
        <v>5</v>
      </c>
      <c r="P34" s="986"/>
      <c r="Q34" s="986"/>
      <c r="R34" s="986"/>
      <c r="S34" s="987">
        <f>M34+P34</f>
        <v>5</v>
      </c>
      <c r="T34" s="987"/>
      <c r="U34" s="987"/>
      <c r="V34" s="987"/>
      <c r="W34" s="987">
        <f>D34+J34+O34</f>
        <v>5</v>
      </c>
      <c r="X34" s="987"/>
      <c r="Y34" s="987"/>
      <c r="Z34" s="987"/>
      <c r="AA34" s="987">
        <f t="shared" si="5"/>
        <v>5</v>
      </c>
      <c r="AB34" s="987"/>
      <c r="AC34" s="987"/>
      <c r="AD34" s="986"/>
      <c r="AE34" s="987">
        <f>D34+J34+O34+R34/2</f>
        <v>5</v>
      </c>
      <c r="AF34" s="29"/>
    </row>
    <row r="35" spans="1:34" s="17" customFormat="1" ht="29.25" customHeight="1" x14ac:dyDescent="0.25">
      <c r="A35" s="5" t="s">
        <v>544</v>
      </c>
      <c r="B35" s="1194" t="s">
        <v>1263</v>
      </c>
      <c r="C35" s="1195"/>
      <c r="D35" s="986"/>
      <c r="E35" s="986"/>
      <c r="F35" s="986"/>
      <c r="G35" s="986"/>
      <c r="H35" s="986"/>
      <c r="I35" s="986"/>
      <c r="J35" s="986"/>
      <c r="K35" s="986"/>
      <c r="L35" s="986"/>
      <c r="M35" s="986">
        <v>4</v>
      </c>
      <c r="N35" s="986">
        <v>1</v>
      </c>
      <c r="O35" s="987">
        <f>M35+N35</f>
        <v>5</v>
      </c>
      <c r="P35" s="986"/>
      <c r="Q35" s="986"/>
      <c r="R35" s="986"/>
      <c r="S35" s="987">
        <v>4</v>
      </c>
      <c r="T35" s="987">
        <v>1</v>
      </c>
      <c r="U35" s="987"/>
      <c r="V35" s="987"/>
      <c r="W35" s="987">
        <f>D35+J35+O35</f>
        <v>5</v>
      </c>
      <c r="X35" s="987"/>
      <c r="Y35" s="987"/>
      <c r="Z35" s="987"/>
      <c r="AA35" s="987">
        <f t="shared" si="5"/>
        <v>4</v>
      </c>
      <c r="AB35" s="987">
        <f>T35</f>
        <v>1</v>
      </c>
      <c r="AC35" s="987"/>
      <c r="AD35" s="986"/>
      <c r="AE35" s="987">
        <f>D35+J35+O35+R35/2</f>
        <v>5</v>
      </c>
    </row>
    <row r="36" spans="1:34" s="17" customFormat="1" ht="14.45" customHeight="1" x14ac:dyDescent="0.25">
      <c r="A36" s="5" t="s">
        <v>545</v>
      </c>
      <c r="B36" s="1194" t="s">
        <v>1265</v>
      </c>
      <c r="C36" s="1195"/>
      <c r="D36" s="986"/>
      <c r="E36" s="986"/>
      <c r="F36" s="986"/>
      <c r="G36" s="986"/>
      <c r="H36" s="986"/>
      <c r="I36" s="986"/>
      <c r="J36" s="986"/>
      <c r="K36" s="986"/>
      <c r="L36" s="986"/>
      <c r="M36" s="986">
        <v>1</v>
      </c>
      <c r="N36" s="986">
        <v>-1</v>
      </c>
      <c r="O36" s="987">
        <f>M36+N36</f>
        <v>0</v>
      </c>
      <c r="P36" s="986"/>
      <c r="Q36" s="986"/>
      <c r="R36" s="986"/>
      <c r="S36" s="987">
        <v>1</v>
      </c>
      <c r="T36" s="987">
        <f>N36</f>
        <v>-1</v>
      </c>
      <c r="U36" s="987"/>
      <c r="V36" s="987"/>
      <c r="W36" s="987">
        <f>D36+J36+O36</f>
        <v>0</v>
      </c>
      <c r="X36" s="987"/>
      <c r="Y36" s="987"/>
      <c r="Z36" s="987"/>
      <c r="AA36" s="987">
        <f t="shared" si="5"/>
        <v>1</v>
      </c>
      <c r="AB36" s="987">
        <f>T36</f>
        <v>-1</v>
      </c>
      <c r="AC36" s="987"/>
      <c r="AD36" s="986"/>
      <c r="AE36" s="987">
        <f>D36+J36+O36+R36/2</f>
        <v>0</v>
      </c>
    </row>
    <row r="37" spans="1:34" s="17" customFormat="1" ht="42.75" customHeight="1" x14ac:dyDescent="0.25">
      <c r="A37" s="5" t="s">
        <v>546</v>
      </c>
      <c r="B37" s="1194" t="s">
        <v>1261</v>
      </c>
      <c r="C37" s="1195"/>
      <c r="D37" s="986"/>
      <c r="E37" s="986"/>
      <c r="F37" s="986"/>
      <c r="G37" s="986"/>
      <c r="H37" s="986"/>
      <c r="I37" s="986"/>
      <c r="J37" s="986"/>
      <c r="K37" s="986"/>
      <c r="L37" s="986"/>
      <c r="M37" s="986">
        <v>4</v>
      </c>
      <c r="N37" s="986">
        <v>1</v>
      </c>
      <c r="O37" s="987">
        <f t="shared" si="6"/>
        <v>4</v>
      </c>
      <c r="P37" s="986"/>
      <c r="Q37" s="986"/>
      <c r="R37" s="986"/>
      <c r="S37" s="987">
        <v>4</v>
      </c>
      <c r="T37" s="987">
        <f>N37</f>
        <v>1</v>
      </c>
      <c r="U37" s="987"/>
      <c r="V37" s="987"/>
      <c r="W37" s="987">
        <f>S37+T37</f>
        <v>5</v>
      </c>
      <c r="X37" s="987"/>
      <c r="Y37" s="987"/>
      <c r="Z37" s="987"/>
      <c r="AA37" s="987">
        <f t="shared" si="5"/>
        <v>4</v>
      </c>
      <c r="AB37" s="987">
        <f>T37</f>
        <v>1</v>
      </c>
      <c r="AC37" s="987"/>
      <c r="AD37" s="986"/>
      <c r="AE37" s="987">
        <f>D37+J37+O37+R37/2+AB37</f>
        <v>5</v>
      </c>
    </row>
    <row r="38" spans="1:34" s="17" customFormat="1" ht="14.25" customHeight="1" x14ac:dyDescent="0.25">
      <c r="A38" s="5" t="s">
        <v>547</v>
      </c>
      <c r="B38" s="1194" t="s">
        <v>1260</v>
      </c>
      <c r="C38" s="1195"/>
      <c r="D38" s="986"/>
      <c r="E38" s="986"/>
      <c r="F38" s="986"/>
      <c r="G38" s="986"/>
      <c r="H38" s="986"/>
      <c r="I38" s="986"/>
      <c r="J38" s="986"/>
      <c r="K38" s="986"/>
      <c r="L38" s="986"/>
      <c r="M38" s="986">
        <v>4</v>
      </c>
      <c r="N38" s="986">
        <v>-1</v>
      </c>
      <c r="O38" s="987">
        <f t="shared" si="6"/>
        <v>4</v>
      </c>
      <c r="P38" s="986"/>
      <c r="Q38" s="986"/>
      <c r="R38" s="986"/>
      <c r="S38" s="987">
        <v>4</v>
      </c>
      <c r="T38" s="987">
        <f>N38</f>
        <v>-1</v>
      </c>
      <c r="U38" s="987"/>
      <c r="V38" s="987"/>
      <c r="W38" s="987">
        <f>S38+T38</f>
        <v>3</v>
      </c>
      <c r="X38" s="987"/>
      <c r="Y38" s="987"/>
      <c r="Z38" s="987"/>
      <c r="AA38" s="987">
        <f t="shared" si="5"/>
        <v>4</v>
      </c>
      <c r="AB38" s="987">
        <f>T38</f>
        <v>-1</v>
      </c>
      <c r="AC38" s="987"/>
      <c r="AD38" s="986"/>
      <c r="AE38" s="987">
        <f>D38+J38+O38+R38/2+N38</f>
        <v>3</v>
      </c>
    </row>
    <row r="39" spans="1:34" s="17" customFormat="1" ht="27.75" customHeight="1" x14ac:dyDescent="0.25">
      <c r="A39" s="5" t="s">
        <v>566</v>
      </c>
      <c r="B39" s="1194" t="s">
        <v>1262</v>
      </c>
      <c r="C39" s="1195"/>
      <c r="D39" s="986"/>
      <c r="E39" s="986"/>
      <c r="F39" s="986"/>
      <c r="G39" s="986"/>
      <c r="H39" s="986"/>
      <c r="I39" s="986"/>
      <c r="J39" s="986"/>
      <c r="K39" s="986"/>
      <c r="L39" s="986"/>
      <c r="M39" s="986">
        <v>1</v>
      </c>
      <c r="N39" s="986"/>
      <c r="O39" s="987">
        <f>SUM(M39:M39)</f>
        <v>1</v>
      </c>
      <c r="P39" s="986"/>
      <c r="Q39" s="986"/>
      <c r="R39" s="986"/>
      <c r="S39" s="987">
        <f>M39</f>
        <v>1</v>
      </c>
      <c r="T39" s="987"/>
      <c r="U39" s="987"/>
      <c r="V39" s="987"/>
      <c r="W39" s="987">
        <f>D39+J39+O39</f>
        <v>1</v>
      </c>
      <c r="X39" s="987"/>
      <c r="Y39" s="987"/>
      <c r="Z39" s="987"/>
      <c r="AA39" s="987">
        <f t="shared" si="5"/>
        <v>1</v>
      </c>
      <c r="AB39" s="987"/>
      <c r="AC39" s="987"/>
      <c r="AD39" s="986"/>
      <c r="AE39" s="987">
        <f>D39+J39+O39+R39/2</f>
        <v>1</v>
      </c>
    </row>
    <row r="40" spans="1:34" s="17" customFormat="1" ht="14.25" customHeight="1" x14ac:dyDescent="0.25">
      <c r="A40" s="5" t="s">
        <v>567</v>
      </c>
      <c r="B40" s="49" t="s">
        <v>679</v>
      </c>
      <c r="C40" s="50"/>
      <c r="D40" s="67"/>
      <c r="E40" s="67"/>
      <c r="F40" s="67"/>
      <c r="G40" s="67"/>
      <c r="H40" s="67"/>
      <c r="I40" s="67"/>
      <c r="J40" s="51"/>
      <c r="K40" s="51"/>
      <c r="L40" s="51"/>
      <c r="M40" s="987">
        <f>SUM(M28:M39)</f>
        <v>64</v>
      </c>
      <c r="N40" s="987">
        <f>SUM(N28:N39)</f>
        <v>2</v>
      </c>
      <c r="O40" s="987">
        <f>SUM(O28:O39)</f>
        <v>66</v>
      </c>
      <c r="P40" s="987">
        <f>SUM(P28:P38)</f>
        <v>1</v>
      </c>
      <c r="Q40" s="987">
        <f>SUM(Q28:Q39)</f>
        <v>-1</v>
      </c>
      <c r="R40" s="987">
        <f>SUM(R28:R38)</f>
        <v>0</v>
      </c>
      <c r="S40" s="987">
        <f>SUM(S28:S39)</f>
        <v>64</v>
      </c>
      <c r="T40" s="987">
        <f>SUM(T28:T39)</f>
        <v>2</v>
      </c>
      <c r="U40" s="987"/>
      <c r="V40" s="987"/>
      <c r="W40" s="987">
        <f>D40+J40+O40</f>
        <v>66</v>
      </c>
      <c r="X40" s="987">
        <f>P40+K40+E40</f>
        <v>1</v>
      </c>
      <c r="Y40" s="987">
        <f>SUM(Y28:Y39)</f>
        <v>-1</v>
      </c>
      <c r="Z40" s="987">
        <f>F40+L40+R40</f>
        <v>0</v>
      </c>
      <c r="AA40" s="1198">
        <f t="shared" si="5"/>
        <v>64.5</v>
      </c>
      <c r="AB40" s="1198">
        <f>SUM(AB28:AB39)</f>
        <v>1.5</v>
      </c>
      <c r="AC40" s="1198"/>
      <c r="AD40" s="987"/>
      <c r="AE40" s="987">
        <f>D40+J40+O40+R40/2</f>
        <v>66</v>
      </c>
    </row>
    <row r="41" spans="1:34" ht="12.75" hidden="1" customHeight="1" x14ac:dyDescent="0.25">
      <c r="A41" s="5" t="s">
        <v>568</v>
      </c>
      <c r="B41" s="68"/>
      <c r="C41" s="69"/>
      <c r="D41" s="70"/>
      <c r="E41" s="70"/>
      <c r="F41" s="70"/>
      <c r="G41" s="70"/>
      <c r="H41" s="70"/>
      <c r="I41" s="70"/>
      <c r="J41" s="71"/>
      <c r="K41" s="71"/>
      <c r="L41" s="71"/>
      <c r="M41" s="71"/>
      <c r="N41" s="71"/>
      <c r="O41" s="51">
        <f>M41</f>
        <v>0</v>
      </c>
      <c r="P41" s="71">
        <f>SUM(P28:P40)</f>
        <v>2</v>
      </c>
      <c r="Q41" s="71"/>
      <c r="R41" s="71"/>
      <c r="S41" s="71"/>
      <c r="T41" s="71"/>
      <c r="U41" s="71"/>
      <c r="V41" s="71"/>
      <c r="W41" s="71"/>
      <c r="X41" s="57"/>
      <c r="Y41" s="57"/>
      <c r="Z41" s="57"/>
      <c r="AA41" s="57"/>
      <c r="AB41" s="57"/>
      <c r="AC41" s="57"/>
      <c r="AD41" s="57"/>
      <c r="AE41" s="584"/>
      <c r="AF41" s="507"/>
    </row>
    <row r="42" spans="1:34" s="32" customFormat="1" ht="14.25" hidden="1" customHeight="1" x14ac:dyDescent="0.25">
      <c r="A42" s="5" t="s">
        <v>569</v>
      </c>
      <c r="B42" s="59"/>
      <c r="C42" s="73"/>
      <c r="D42" s="57"/>
      <c r="E42" s="57"/>
      <c r="F42" s="57"/>
      <c r="G42" s="57"/>
      <c r="H42" s="57"/>
      <c r="I42" s="57"/>
      <c r="J42" s="74"/>
      <c r="K42" s="74"/>
      <c r="L42" s="74"/>
      <c r="M42" s="74"/>
      <c r="N42" s="74"/>
      <c r="O42" s="57"/>
      <c r="P42" s="57"/>
      <c r="Q42" s="57"/>
      <c r="R42" s="57"/>
      <c r="S42" s="57"/>
      <c r="T42" s="57"/>
      <c r="U42" s="57"/>
      <c r="V42" s="57"/>
      <c r="W42" s="74"/>
      <c r="X42" s="74"/>
      <c r="Y42" s="74"/>
      <c r="Z42" s="57"/>
      <c r="AA42" s="57"/>
      <c r="AB42" s="57"/>
      <c r="AC42" s="57"/>
      <c r="AD42" s="57"/>
      <c r="AE42" s="57"/>
    </row>
    <row r="43" spans="1:34" s="32" customFormat="1" ht="14.45" hidden="1" customHeight="1" x14ac:dyDescent="0.25">
      <c r="A43" s="5" t="s">
        <v>570</v>
      </c>
      <c r="B43" s="75"/>
      <c r="C43" s="76"/>
      <c r="D43" s="51"/>
      <c r="E43" s="51"/>
      <c r="F43" s="51"/>
      <c r="G43" s="51"/>
      <c r="H43" s="51"/>
      <c r="I43" s="51"/>
      <c r="J43" s="66"/>
      <c r="K43" s="66"/>
      <c r="L43" s="66"/>
      <c r="M43" s="66"/>
      <c r="N43" s="66"/>
      <c r="O43" s="51"/>
      <c r="P43" s="51"/>
      <c r="Q43" s="51"/>
      <c r="R43" s="51"/>
      <c r="S43" s="51"/>
      <c r="T43" s="51"/>
      <c r="U43" s="51"/>
      <c r="V43" s="51"/>
      <c r="W43" s="66"/>
      <c r="X43" s="66"/>
      <c r="Y43" s="66"/>
      <c r="Z43" s="51"/>
      <c r="AA43" s="51"/>
      <c r="AB43" s="51"/>
      <c r="AC43" s="51"/>
      <c r="AD43" s="51"/>
      <c r="AE43" s="51"/>
    </row>
    <row r="44" spans="1:34" s="32" customFormat="1" ht="14.25" hidden="1" customHeight="1" x14ac:dyDescent="0.25">
      <c r="A44" s="5" t="s">
        <v>571</v>
      </c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51"/>
      <c r="AA44" s="51"/>
      <c r="AB44" s="51"/>
      <c r="AC44" s="51"/>
      <c r="AD44" s="51"/>
      <c r="AE44" s="51"/>
    </row>
    <row r="45" spans="1:34" s="32" customFormat="1" ht="14.25" hidden="1" customHeight="1" x14ac:dyDescent="0.25">
      <c r="A45" s="5" t="s">
        <v>572</v>
      </c>
      <c r="B45" s="64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51"/>
      <c r="AA45" s="51"/>
      <c r="AB45" s="51"/>
      <c r="AC45" s="51"/>
      <c r="AD45" s="51"/>
      <c r="AE45" s="51"/>
    </row>
    <row r="46" spans="1:34" s="32" customFormat="1" ht="14.25" hidden="1" customHeight="1" x14ac:dyDescent="0.25">
      <c r="A46" s="5" t="s">
        <v>573</v>
      </c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51"/>
      <c r="AA46" s="51"/>
      <c r="AB46" s="51"/>
      <c r="AC46" s="51"/>
      <c r="AD46" s="51"/>
      <c r="AE46" s="51"/>
    </row>
    <row r="47" spans="1:34" s="32" customFormat="1" ht="14.25" hidden="1" customHeight="1" x14ac:dyDescent="0.25">
      <c r="A47" s="5" t="s">
        <v>574</v>
      </c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51"/>
      <c r="AA47" s="51"/>
      <c r="AB47" s="51"/>
      <c r="AC47" s="51"/>
      <c r="AD47" s="51"/>
      <c r="AE47" s="51"/>
    </row>
    <row r="48" spans="1:34" s="32" customFormat="1" ht="14.25" hidden="1" customHeight="1" x14ac:dyDescent="0.25">
      <c r="A48" s="5" t="s">
        <v>626</v>
      </c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51"/>
      <c r="AA48" s="51"/>
      <c r="AB48" s="51"/>
      <c r="AC48" s="51"/>
      <c r="AD48" s="51"/>
      <c r="AE48" s="51"/>
    </row>
    <row r="49" spans="1:31" s="32" customFormat="1" ht="14.25" hidden="1" customHeight="1" x14ac:dyDescent="0.25">
      <c r="A49" s="5" t="s">
        <v>627</v>
      </c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51"/>
      <c r="AA49" s="51"/>
      <c r="AB49" s="51"/>
      <c r="AC49" s="51"/>
      <c r="AD49" s="51"/>
      <c r="AE49" s="51"/>
    </row>
    <row r="50" spans="1:31" s="32" customFormat="1" ht="14.25" hidden="1" customHeight="1" x14ac:dyDescent="0.25">
      <c r="A50" s="5" t="s">
        <v>628</v>
      </c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1"/>
      <c r="AB50" s="51"/>
      <c r="AC50" s="51"/>
      <c r="AD50" s="66"/>
      <c r="AE50" s="51"/>
    </row>
    <row r="51" spans="1:31" s="32" customFormat="1" ht="14.25" hidden="1" customHeight="1" x14ac:dyDescent="0.25">
      <c r="A51" s="5" t="s">
        <v>629</v>
      </c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1"/>
      <c r="AB51" s="51"/>
      <c r="AC51" s="51"/>
      <c r="AD51" s="66"/>
      <c r="AE51" s="51"/>
    </row>
    <row r="52" spans="1:31" s="32" customFormat="1" ht="14.25" hidden="1" customHeight="1" x14ac:dyDescent="0.25">
      <c r="A52" s="5" t="s">
        <v>116</v>
      </c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1"/>
      <c r="AB52" s="51"/>
      <c r="AC52" s="51"/>
      <c r="AD52" s="66"/>
      <c r="AE52" s="51"/>
    </row>
    <row r="53" spans="1:31" s="32" customFormat="1" ht="14.25" hidden="1" customHeight="1" x14ac:dyDescent="0.25">
      <c r="A53" s="5" t="s">
        <v>654</v>
      </c>
      <c r="B53" s="77"/>
      <c r="C53" s="7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51"/>
      <c r="AA53" s="51"/>
      <c r="AB53" s="51"/>
      <c r="AC53" s="51"/>
      <c r="AD53" s="51"/>
      <c r="AE53" s="51"/>
    </row>
    <row r="54" spans="1:31" s="32" customFormat="1" ht="14.25" hidden="1" customHeight="1" x14ac:dyDescent="0.25">
      <c r="A54" s="5" t="s">
        <v>655</v>
      </c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51"/>
      <c r="AA54" s="51"/>
      <c r="AB54" s="51"/>
      <c r="AC54" s="51"/>
      <c r="AD54" s="51"/>
      <c r="AE54" s="51"/>
    </row>
    <row r="55" spans="1:31" s="32" customFormat="1" ht="14.25" hidden="1" customHeight="1" x14ac:dyDescent="0.25">
      <c r="A55" s="5" t="s">
        <v>119</v>
      </c>
      <c r="B55" s="64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51"/>
      <c r="AA55" s="51"/>
      <c r="AB55" s="51"/>
      <c r="AC55" s="51"/>
      <c r="AD55" s="51"/>
      <c r="AE55" s="51"/>
    </row>
    <row r="56" spans="1:31" s="32" customFormat="1" ht="14.25" hidden="1" customHeight="1" x14ac:dyDescent="0.25">
      <c r="A56" s="5" t="s">
        <v>120</v>
      </c>
      <c r="B56" s="64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51"/>
      <c r="AA56" s="51"/>
      <c r="AB56" s="51"/>
      <c r="AC56" s="51"/>
      <c r="AD56" s="51"/>
      <c r="AE56" s="51"/>
    </row>
    <row r="57" spans="1:31" s="32" customFormat="1" ht="14.25" hidden="1" customHeight="1" x14ac:dyDescent="0.25">
      <c r="A57" s="5" t="s">
        <v>121</v>
      </c>
      <c r="B57" s="77"/>
      <c r="C57" s="7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51"/>
      <c r="AA57" s="51"/>
      <c r="AB57" s="51"/>
      <c r="AC57" s="51"/>
      <c r="AD57" s="51"/>
      <c r="AE57" s="51"/>
    </row>
    <row r="58" spans="1:31" s="32" customFormat="1" ht="14.25" hidden="1" customHeight="1" x14ac:dyDescent="0.25">
      <c r="A58" s="5" t="s">
        <v>124</v>
      </c>
      <c r="B58" s="64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51"/>
      <c r="AA58" s="51"/>
      <c r="AB58" s="51"/>
      <c r="AC58" s="51"/>
      <c r="AD58" s="51"/>
      <c r="AE58" s="51"/>
    </row>
    <row r="59" spans="1:31" s="32" customFormat="1" ht="14.25" hidden="1" customHeight="1" x14ac:dyDescent="0.25">
      <c r="A59" s="5" t="s">
        <v>127</v>
      </c>
      <c r="B59" s="64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51"/>
      <c r="AA59" s="51"/>
      <c r="AB59" s="51"/>
      <c r="AC59" s="51"/>
      <c r="AD59" s="51"/>
      <c r="AE59" s="51"/>
    </row>
    <row r="60" spans="1:31" s="32" customFormat="1" ht="14.45" hidden="1" customHeight="1" x14ac:dyDescent="0.25">
      <c r="A60" s="5" t="s">
        <v>128</v>
      </c>
      <c r="B60" s="77"/>
      <c r="C60" s="7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51"/>
      <c r="AA60" s="51"/>
      <c r="AB60" s="51"/>
      <c r="AC60" s="51"/>
      <c r="AD60" s="51"/>
      <c r="AE60" s="51"/>
    </row>
    <row r="61" spans="1:31" s="32" customFormat="1" ht="14.45" hidden="1" customHeight="1" x14ac:dyDescent="0.25">
      <c r="A61" s="5" t="s">
        <v>129</v>
      </c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51"/>
      <c r="AA61" s="51"/>
      <c r="AB61" s="51"/>
      <c r="AC61" s="51"/>
      <c r="AD61" s="51"/>
      <c r="AE61" s="51"/>
    </row>
    <row r="62" spans="1:31" s="32" customFormat="1" ht="14.45" hidden="1" customHeight="1" x14ac:dyDescent="0.25">
      <c r="A62" s="5" t="s">
        <v>130</v>
      </c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51"/>
      <c r="AA62" s="51"/>
      <c r="AB62" s="51"/>
      <c r="AC62" s="51"/>
      <c r="AD62" s="51"/>
      <c r="AE62" s="51"/>
    </row>
    <row r="63" spans="1:31" s="32" customFormat="1" ht="14.45" hidden="1" customHeight="1" x14ac:dyDescent="0.25">
      <c r="A63" s="5" t="s">
        <v>133</v>
      </c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51"/>
      <c r="AA63" s="51"/>
      <c r="AB63" s="51"/>
      <c r="AC63" s="51"/>
      <c r="AD63" s="51"/>
      <c r="AE63" s="51"/>
    </row>
    <row r="64" spans="1:31" s="32" customFormat="1" ht="14.45" hidden="1" customHeight="1" x14ac:dyDescent="0.25">
      <c r="A64" s="5" t="s">
        <v>136</v>
      </c>
      <c r="B64" s="49"/>
      <c r="C64" s="50"/>
      <c r="D64" s="67"/>
      <c r="E64" s="67"/>
      <c r="F64" s="67"/>
      <c r="G64" s="67"/>
      <c r="H64" s="67"/>
      <c r="I64" s="67"/>
      <c r="J64" s="66"/>
      <c r="K64" s="66"/>
      <c r="L64" s="66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52"/>
      <c r="AC64" s="52"/>
      <c r="AD64" s="51"/>
      <c r="AE64" s="51"/>
    </row>
    <row r="65" spans="1:31" s="32" customFormat="1" ht="14.45" customHeight="1" x14ac:dyDescent="0.25">
      <c r="A65" s="5"/>
      <c r="B65" s="632"/>
      <c r="C65" s="633"/>
      <c r="D65" s="133"/>
      <c r="E65" s="133"/>
      <c r="F65" s="133"/>
      <c r="G65" s="133"/>
      <c r="H65" s="133"/>
      <c r="I65" s="133"/>
      <c r="J65" s="634"/>
      <c r="K65" s="634"/>
      <c r="L65" s="6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635"/>
      <c r="AB65" s="635"/>
      <c r="AC65" s="635"/>
      <c r="AD65" s="134"/>
      <c r="AE65" s="134"/>
    </row>
    <row r="66" spans="1:31" s="32" customFormat="1" ht="14.45" customHeight="1" x14ac:dyDescent="0.25">
      <c r="A66" s="5"/>
      <c r="B66" s="79"/>
      <c r="C66" s="73"/>
      <c r="D66" s="56"/>
      <c r="E66" s="56"/>
      <c r="F66" s="56"/>
      <c r="G66" s="56"/>
      <c r="H66" s="56"/>
      <c r="I66" s="56"/>
      <c r="J66" s="74"/>
      <c r="K66" s="74"/>
      <c r="L66" s="74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273"/>
      <c r="AB66" s="273"/>
      <c r="AC66" s="273"/>
      <c r="AD66" s="57"/>
      <c r="AE66" s="57"/>
    </row>
    <row r="67" spans="1:31" s="32" customFormat="1" ht="14.45" customHeight="1" x14ac:dyDescent="0.25">
      <c r="A67" s="5"/>
      <c r="B67" s="79"/>
      <c r="C67" s="73"/>
      <c r="D67" s="56"/>
      <c r="E67" s="56"/>
      <c r="F67" s="56"/>
      <c r="G67" s="56"/>
      <c r="H67" s="56"/>
      <c r="I67" s="56"/>
      <c r="J67" s="74"/>
      <c r="K67" s="74"/>
      <c r="L67" s="74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273"/>
      <c r="AB67" s="273"/>
      <c r="AC67" s="273"/>
      <c r="AD67" s="57"/>
      <c r="AE67" s="57"/>
    </row>
    <row r="68" spans="1:31" s="32" customFormat="1" ht="14.45" customHeight="1" x14ac:dyDescent="0.25">
      <c r="A68" s="5" t="s">
        <v>568</v>
      </c>
      <c r="B68" s="34" t="s">
        <v>694</v>
      </c>
      <c r="C68" s="73"/>
      <c r="D68" s="56"/>
      <c r="E68" s="56"/>
      <c r="F68" s="56"/>
      <c r="G68" s="56"/>
      <c r="H68" s="56"/>
      <c r="I68" s="56"/>
      <c r="J68" s="74"/>
      <c r="K68" s="74"/>
      <c r="L68" s="74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273"/>
      <c r="AB68" s="273"/>
      <c r="AC68" s="273"/>
      <c r="AD68" s="57"/>
      <c r="AE68" s="57"/>
    </row>
    <row r="69" spans="1:31" s="32" customFormat="1" ht="14.45" customHeight="1" x14ac:dyDescent="0.25">
      <c r="A69" s="5" t="s">
        <v>569</v>
      </c>
      <c r="B69" s="637" t="s">
        <v>695</v>
      </c>
      <c r="C69" s="275"/>
      <c r="D69" s="276"/>
      <c r="E69" s="276"/>
      <c r="F69" s="276"/>
      <c r="G69" s="276"/>
      <c r="H69" s="276"/>
      <c r="I69" s="276"/>
      <c r="J69" s="277"/>
      <c r="K69" s="277"/>
      <c r="L69" s="277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636"/>
      <c r="AB69" s="636"/>
      <c r="AC69" s="636"/>
      <c r="AD69" s="636"/>
      <c r="AE69" s="636"/>
    </row>
    <row r="70" spans="1:31" s="32" customFormat="1" ht="14.45" customHeight="1" x14ac:dyDescent="0.25">
      <c r="A70" s="5" t="s">
        <v>570</v>
      </c>
      <c r="B70" s="631" t="s">
        <v>696</v>
      </c>
      <c r="C70" s="275"/>
      <c r="D70" s="276"/>
      <c r="E70" s="276"/>
      <c r="F70" s="276"/>
      <c r="G70" s="276"/>
      <c r="H70" s="276"/>
      <c r="I70" s="276"/>
      <c r="J70" s="277"/>
      <c r="K70" s="277"/>
      <c r="L70" s="277"/>
      <c r="M70" s="278">
        <v>1</v>
      </c>
      <c r="N70" s="278"/>
      <c r="O70" s="278">
        <f t="shared" ref="O70:O78" si="7">M70</f>
        <v>1</v>
      </c>
      <c r="P70" s="278"/>
      <c r="Q70" s="278"/>
      <c r="R70" s="278"/>
      <c r="S70" s="278">
        <v>1</v>
      </c>
      <c r="T70" s="278"/>
      <c r="U70" s="278"/>
      <c r="V70" s="278"/>
      <c r="W70" s="278">
        <f t="shared" ref="W70:W78" si="8">D70+J70+O70</f>
        <v>1</v>
      </c>
      <c r="X70" s="278"/>
      <c r="Y70" s="278"/>
      <c r="Z70" s="278"/>
      <c r="AA70" s="636">
        <f t="shared" ref="AA70:AA78" si="9">S70+X70/2</f>
        <v>1</v>
      </c>
      <c r="AB70" s="636"/>
      <c r="AC70" s="636"/>
      <c r="AD70" s="636"/>
      <c r="AE70" s="636">
        <f t="shared" ref="AE70:AE78" si="10">W70+Z70/2</f>
        <v>1</v>
      </c>
    </row>
    <row r="71" spans="1:31" s="32" customFormat="1" ht="14.45" customHeight="1" x14ac:dyDescent="0.25">
      <c r="A71" s="5" t="s">
        <v>571</v>
      </c>
      <c r="B71" s="631" t="s">
        <v>697</v>
      </c>
      <c r="C71" s="275"/>
      <c r="D71" s="276"/>
      <c r="E71" s="276"/>
      <c r="F71" s="276"/>
      <c r="G71" s="276"/>
      <c r="H71" s="276"/>
      <c r="I71" s="276"/>
      <c r="J71" s="277"/>
      <c r="K71" s="277"/>
      <c r="L71" s="277"/>
      <c r="M71" s="278">
        <v>1</v>
      </c>
      <c r="N71" s="278"/>
      <c r="O71" s="278">
        <f t="shared" si="7"/>
        <v>1</v>
      </c>
      <c r="P71" s="278"/>
      <c r="Q71" s="278"/>
      <c r="R71" s="278"/>
      <c r="S71" s="278">
        <v>1</v>
      </c>
      <c r="T71" s="278"/>
      <c r="U71" s="278"/>
      <c r="V71" s="278"/>
      <c r="W71" s="278">
        <f t="shared" si="8"/>
        <v>1</v>
      </c>
      <c r="X71" s="278"/>
      <c r="Y71" s="278"/>
      <c r="Z71" s="278"/>
      <c r="AA71" s="636">
        <f t="shared" si="9"/>
        <v>1</v>
      </c>
      <c r="AB71" s="636"/>
      <c r="AC71" s="636"/>
      <c r="AD71" s="636"/>
      <c r="AE71" s="636">
        <f t="shared" si="10"/>
        <v>1</v>
      </c>
    </row>
    <row r="72" spans="1:31" s="32" customFormat="1" ht="14.45" customHeight="1" x14ac:dyDescent="0.25">
      <c r="A72" s="5" t="s">
        <v>572</v>
      </c>
      <c r="B72" s="631" t="s">
        <v>698</v>
      </c>
      <c r="C72" s="275"/>
      <c r="D72" s="276"/>
      <c r="E72" s="276"/>
      <c r="F72" s="276"/>
      <c r="G72" s="276"/>
      <c r="H72" s="276"/>
      <c r="I72" s="276"/>
      <c r="J72" s="277"/>
      <c r="K72" s="277"/>
      <c r="L72" s="277"/>
      <c r="M72" s="278">
        <v>2</v>
      </c>
      <c r="N72" s="278"/>
      <c r="O72" s="278">
        <f t="shared" si="7"/>
        <v>2</v>
      </c>
      <c r="P72" s="278"/>
      <c r="Q72" s="278"/>
      <c r="R72" s="278"/>
      <c r="S72" s="278">
        <v>2</v>
      </c>
      <c r="T72" s="278"/>
      <c r="U72" s="278"/>
      <c r="V72" s="278"/>
      <c r="W72" s="278">
        <f t="shared" si="8"/>
        <v>2</v>
      </c>
      <c r="X72" s="278"/>
      <c r="Y72" s="278"/>
      <c r="Z72" s="278"/>
      <c r="AA72" s="636">
        <f t="shared" si="9"/>
        <v>2</v>
      </c>
      <c r="AB72" s="636"/>
      <c r="AC72" s="636"/>
      <c r="AD72" s="636"/>
      <c r="AE72" s="636">
        <f t="shared" si="10"/>
        <v>2</v>
      </c>
    </row>
    <row r="73" spans="1:31" s="32" customFormat="1" ht="14.45" customHeight="1" x14ac:dyDescent="0.25">
      <c r="A73" s="5" t="s">
        <v>573</v>
      </c>
      <c r="B73" s="631" t="s">
        <v>699</v>
      </c>
      <c r="C73" s="275"/>
      <c r="D73" s="276"/>
      <c r="E73" s="276"/>
      <c r="F73" s="276"/>
      <c r="G73" s="276"/>
      <c r="H73" s="276"/>
      <c r="I73" s="276"/>
      <c r="J73" s="277"/>
      <c r="K73" s="277"/>
      <c r="L73" s="277"/>
      <c r="M73" s="278">
        <v>1</v>
      </c>
      <c r="N73" s="278"/>
      <c r="O73" s="278">
        <f t="shared" si="7"/>
        <v>1</v>
      </c>
      <c r="P73" s="278"/>
      <c r="Q73" s="278"/>
      <c r="R73" s="278"/>
      <c r="S73" s="278">
        <v>1</v>
      </c>
      <c r="T73" s="278"/>
      <c r="U73" s="278"/>
      <c r="V73" s="278"/>
      <c r="W73" s="278">
        <f t="shared" si="8"/>
        <v>1</v>
      </c>
      <c r="X73" s="278"/>
      <c r="Y73" s="278"/>
      <c r="Z73" s="278"/>
      <c r="AA73" s="636">
        <f t="shared" si="9"/>
        <v>1</v>
      </c>
      <c r="AB73" s="636"/>
      <c r="AC73" s="636"/>
      <c r="AD73" s="636"/>
      <c r="AE73" s="636">
        <f t="shared" si="10"/>
        <v>1</v>
      </c>
    </row>
    <row r="74" spans="1:31" s="32" customFormat="1" ht="14.45" customHeight="1" x14ac:dyDescent="0.25">
      <c r="A74" s="5" t="s">
        <v>574</v>
      </c>
      <c r="B74" s="631" t="s">
        <v>700</v>
      </c>
      <c r="C74" s="275"/>
      <c r="D74" s="276"/>
      <c r="E74" s="276"/>
      <c r="F74" s="276"/>
      <c r="G74" s="276"/>
      <c r="H74" s="276"/>
      <c r="I74" s="276"/>
      <c r="J74" s="277"/>
      <c r="K74" s="277"/>
      <c r="L74" s="277"/>
      <c r="M74" s="278">
        <v>1</v>
      </c>
      <c r="N74" s="278"/>
      <c r="O74" s="278">
        <f t="shared" si="7"/>
        <v>1</v>
      </c>
      <c r="P74" s="278"/>
      <c r="Q74" s="278"/>
      <c r="R74" s="278"/>
      <c r="S74" s="278">
        <v>1</v>
      </c>
      <c r="T74" s="278"/>
      <c r="U74" s="278"/>
      <c r="V74" s="278"/>
      <c r="W74" s="278">
        <f t="shared" si="8"/>
        <v>1</v>
      </c>
      <c r="X74" s="278"/>
      <c r="Y74" s="278"/>
      <c r="Z74" s="278"/>
      <c r="AA74" s="636">
        <f t="shared" si="9"/>
        <v>1</v>
      </c>
      <c r="AB74" s="636"/>
      <c r="AC74" s="636"/>
      <c r="AD74" s="636"/>
      <c r="AE74" s="636">
        <f t="shared" si="10"/>
        <v>1</v>
      </c>
    </row>
    <row r="75" spans="1:31" s="32" customFormat="1" ht="14.45" customHeight="1" x14ac:dyDescent="0.25">
      <c r="A75" s="5" t="s">
        <v>626</v>
      </c>
      <c r="B75" s="631" t="s">
        <v>1044</v>
      </c>
      <c r="C75" s="275"/>
      <c r="D75" s="276"/>
      <c r="E75" s="276"/>
      <c r="F75" s="276"/>
      <c r="G75" s="276"/>
      <c r="H75" s="276"/>
      <c r="I75" s="276"/>
      <c r="J75" s="277"/>
      <c r="K75" s="277"/>
      <c r="L75" s="277"/>
      <c r="M75" s="278">
        <v>1</v>
      </c>
      <c r="N75" s="278"/>
      <c r="O75" s="278">
        <f t="shared" si="7"/>
        <v>1</v>
      </c>
      <c r="P75" s="278"/>
      <c r="Q75" s="278"/>
      <c r="R75" s="278"/>
      <c r="S75" s="278">
        <v>1</v>
      </c>
      <c r="T75" s="278"/>
      <c r="U75" s="278"/>
      <c r="V75" s="278"/>
      <c r="W75" s="278">
        <f t="shared" si="8"/>
        <v>1</v>
      </c>
      <c r="X75" s="278"/>
      <c r="Y75" s="278"/>
      <c r="Z75" s="278"/>
      <c r="AA75" s="636">
        <f t="shared" si="9"/>
        <v>1</v>
      </c>
      <c r="AB75" s="636"/>
      <c r="AC75" s="636"/>
      <c r="AD75" s="636"/>
      <c r="AE75" s="636">
        <f t="shared" si="10"/>
        <v>1</v>
      </c>
    </row>
    <row r="76" spans="1:31" s="32" customFormat="1" ht="14.45" customHeight="1" x14ac:dyDescent="0.25">
      <c r="A76" s="5" t="s">
        <v>627</v>
      </c>
      <c r="B76" s="631" t="s">
        <v>1045</v>
      </c>
      <c r="C76" s="275"/>
      <c r="D76" s="276"/>
      <c r="E76" s="276"/>
      <c r="F76" s="276"/>
      <c r="G76" s="276"/>
      <c r="H76" s="276"/>
      <c r="I76" s="276"/>
      <c r="J76" s="277"/>
      <c r="K76" s="277"/>
      <c r="L76" s="277"/>
      <c r="M76" s="278">
        <v>1</v>
      </c>
      <c r="N76" s="278"/>
      <c r="O76" s="278">
        <f t="shared" si="7"/>
        <v>1</v>
      </c>
      <c r="P76" s="278"/>
      <c r="Q76" s="278"/>
      <c r="R76" s="278"/>
      <c r="S76" s="278">
        <v>1</v>
      </c>
      <c r="T76" s="278"/>
      <c r="U76" s="278"/>
      <c r="V76" s="278"/>
      <c r="W76" s="278">
        <f t="shared" si="8"/>
        <v>1</v>
      </c>
      <c r="X76" s="278"/>
      <c r="Y76" s="278"/>
      <c r="Z76" s="278"/>
      <c r="AA76" s="636">
        <f t="shared" si="9"/>
        <v>1</v>
      </c>
      <c r="AB76" s="636"/>
      <c r="AC76" s="636"/>
      <c r="AD76" s="636"/>
      <c r="AE76" s="636">
        <f t="shared" si="10"/>
        <v>1</v>
      </c>
    </row>
    <row r="77" spans="1:31" s="32" customFormat="1" ht="14.45" customHeight="1" x14ac:dyDescent="0.25">
      <c r="A77" s="5" t="s">
        <v>628</v>
      </c>
      <c r="B77" s="631" t="s">
        <v>701</v>
      </c>
      <c r="C77" s="275"/>
      <c r="D77" s="276"/>
      <c r="E77" s="276"/>
      <c r="F77" s="276"/>
      <c r="G77" s="276"/>
      <c r="H77" s="276"/>
      <c r="I77" s="276"/>
      <c r="J77" s="277"/>
      <c r="K77" s="277"/>
      <c r="L77" s="277"/>
      <c r="M77" s="278">
        <v>1</v>
      </c>
      <c r="N77" s="278"/>
      <c r="O77" s="278">
        <f t="shared" si="7"/>
        <v>1</v>
      </c>
      <c r="P77" s="278"/>
      <c r="Q77" s="278"/>
      <c r="R77" s="278"/>
      <c r="S77" s="278">
        <v>1</v>
      </c>
      <c r="T77" s="278"/>
      <c r="U77" s="278"/>
      <c r="V77" s="278"/>
      <c r="W77" s="278">
        <f t="shared" si="8"/>
        <v>1</v>
      </c>
      <c r="X77" s="278"/>
      <c r="Y77" s="278"/>
      <c r="Z77" s="278"/>
      <c r="AA77" s="636">
        <f t="shared" si="9"/>
        <v>1</v>
      </c>
      <c r="AB77" s="636"/>
      <c r="AC77" s="636"/>
      <c r="AD77" s="636"/>
      <c r="AE77" s="636">
        <f t="shared" si="10"/>
        <v>1</v>
      </c>
    </row>
    <row r="78" spans="1:31" s="32" customFormat="1" ht="14.45" customHeight="1" x14ac:dyDescent="0.25">
      <c r="A78" s="5" t="s">
        <v>629</v>
      </c>
      <c r="B78" s="631" t="s">
        <v>702</v>
      </c>
      <c r="C78" s="275"/>
      <c r="D78" s="276"/>
      <c r="E78" s="276"/>
      <c r="F78" s="276"/>
      <c r="G78" s="276"/>
      <c r="H78" s="276"/>
      <c r="I78" s="276"/>
      <c r="J78" s="277"/>
      <c r="K78" s="277"/>
      <c r="L78" s="277"/>
      <c r="M78" s="278">
        <v>1</v>
      </c>
      <c r="N78" s="278"/>
      <c r="O78" s="278">
        <f t="shared" si="7"/>
        <v>1</v>
      </c>
      <c r="P78" s="278"/>
      <c r="Q78" s="278"/>
      <c r="R78" s="278"/>
      <c r="S78" s="278">
        <v>1</v>
      </c>
      <c r="T78" s="278"/>
      <c r="U78" s="278"/>
      <c r="V78" s="278"/>
      <c r="W78" s="278">
        <f t="shared" si="8"/>
        <v>1</v>
      </c>
      <c r="X78" s="278"/>
      <c r="Y78" s="278"/>
      <c r="Z78" s="278"/>
      <c r="AA78" s="636">
        <f t="shared" si="9"/>
        <v>1</v>
      </c>
      <c r="AB78" s="636"/>
      <c r="AC78" s="636"/>
      <c r="AD78" s="636"/>
      <c r="AE78" s="636">
        <f t="shared" si="10"/>
        <v>1</v>
      </c>
    </row>
    <row r="79" spans="1:31" s="32" customFormat="1" ht="14.45" customHeight="1" x14ac:dyDescent="0.25">
      <c r="A79" s="5" t="s">
        <v>116</v>
      </c>
      <c r="B79" s="637" t="s">
        <v>703</v>
      </c>
      <c r="C79" s="275"/>
      <c r="D79" s="276"/>
      <c r="E79" s="276"/>
      <c r="F79" s="276"/>
      <c r="G79" s="276"/>
      <c r="H79" s="276"/>
      <c r="I79" s="276"/>
      <c r="J79" s="277"/>
      <c r="K79" s="277"/>
      <c r="L79" s="277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636"/>
      <c r="AB79" s="636"/>
      <c r="AC79" s="636"/>
      <c r="AD79" s="636"/>
      <c r="AE79" s="636"/>
    </row>
    <row r="80" spans="1:31" s="32" customFormat="1" ht="14.45" customHeight="1" x14ac:dyDescent="0.25">
      <c r="A80" s="5" t="s">
        <v>654</v>
      </c>
      <c r="B80" s="631" t="s">
        <v>704</v>
      </c>
      <c r="C80" s="275"/>
      <c r="D80" s="276"/>
      <c r="E80" s="276"/>
      <c r="F80" s="276"/>
      <c r="G80" s="276"/>
      <c r="H80" s="276"/>
      <c r="I80" s="276"/>
      <c r="J80" s="277"/>
      <c r="K80" s="277"/>
      <c r="L80" s="277"/>
      <c r="M80" s="278">
        <v>1</v>
      </c>
      <c r="N80" s="278"/>
      <c r="O80" s="278">
        <f t="shared" ref="O80:O87" si="11">M80</f>
        <v>1</v>
      </c>
      <c r="P80" s="278"/>
      <c r="Q80" s="278"/>
      <c r="R80" s="278"/>
      <c r="S80" s="278">
        <v>1</v>
      </c>
      <c r="T80" s="278"/>
      <c r="U80" s="278"/>
      <c r="V80" s="278"/>
      <c r="W80" s="278">
        <f t="shared" ref="W80:W87" si="12">D80+J80+O80</f>
        <v>1</v>
      </c>
      <c r="X80" s="278"/>
      <c r="Y80" s="278"/>
      <c r="Z80" s="278"/>
      <c r="AA80" s="636">
        <f t="shared" ref="AA80:AA87" si="13">S80+X80/2</f>
        <v>1</v>
      </c>
      <c r="AB80" s="636"/>
      <c r="AC80" s="636"/>
      <c r="AD80" s="636"/>
      <c r="AE80" s="636">
        <f t="shared" ref="AE80:AE87" si="14">W80+Z80/2</f>
        <v>1</v>
      </c>
    </row>
    <row r="81" spans="1:31" s="32" customFormat="1" ht="14.45" customHeight="1" x14ac:dyDescent="0.25">
      <c r="A81" s="5" t="s">
        <v>655</v>
      </c>
      <c r="B81" s="631" t="s">
        <v>705</v>
      </c>
      <c r="C81" s="275"/>
      <c r="D81" s="276"/>
      <c r="E81" s="276"/>
      <c r="F81" s="276"/>
      <c r="G81" s="276"/>
      <c r="H81" s="276"/>
      <c r="I81" s="276"/>
      <c r="J81" s="277"/>
      <c r="K81" s="277"/>
      <c r="L81" s="277"/>
      <c r="M81" s="278">
        <v>1</v>
      </c>
      <c r="N81" s="278"/>
      <c r="O81" s="278">
        <f t="shared" si="11"/>
        <v>1</v>
      </c>
      <c r="P81" s="278"/>
      <c r="Q81" s="278"/>
      <c r="R81" s="278"/>
      <c r="S81" s="278">
        <v>1</v>
      </c>
      <c r="T81" s="278"/>
      <c r="U81" s="278"/>
      <c r="V81" s="278"/>
      <c r="W81" s="278">
        <f t="shared" si="12"/>
        <v>1</v>
      </c>
      <c r="X81" s="278"/>
      <c r="Y81" s="278"/>
      <c r="Z81" s="278"/>
      <c r="AA81" s="636">
        <f t="shared" si="13"/>
        <v>1</v>
      </c>
      <c r="AB81" s="636"/>
      <c r="AC81" s="636"/>
      <c r="AD81" s="636"/>
      <c r="AE81" s="636">
        <f t="shared" si="14"/>
        <v>1</v>
      </c>
    </row>
    <row r="82" spans="1:31" s="32" customFormat="1" ht="14.45" customHeight="1" x14ac:dyDescent="0.25">
      <c r="A82" s="5" t="s">
        <v>119</v>
      </c>
      <c r="B82" s="631" t="s">
        <v>706</v>
      </c>
      <c r="C82" s="275"/>
      <c r="D82" s="276"/>
      <c r="E82" s="276"/>
      <c r="F82" s="276"/>
      <c r="G82" s="276"/>
      <c r="H82" s="276"/>
      <c r="I82" s="276"/>
      <c r="J82" s="277"/>
      <c r="K82" s="277"/>
      <c r="L82" s="277"/>
      <c r="M82" s="278">
        <v>1</v>
      </c>
      <c r="N82" s="278"/>
      <c r="O82" s="278">
        <f t="shared" si="11"/>
        <v>1</v>
      </c>
      <c r="P82" s="278"/>
      <c r="Q82" s="278"/>
      <c r="R82" s="278"/>
      <c r="S82" s="278">
        <v>1</v>
      </c>
      <c r="T82" s="278"/>
      <c r="U82" s="278"/>
      <c r="V82" s="278"/>
      <c r="W82" s="278">
        <f t="shared" si="12"/>
        <v>1</v>
      </c>
      <c r="X82" s="278"/>
      <c r="Y82" s="278"/>
      <c r="Z82" s="278"/>
      <c r="AA82" s="636">
        <f t="shared" si="13"/>
        <v>1</v>
      </c>
      <c r="AB82" s="636"/>
      <c r="AC82" s="636"/>
      <c r="AD82" s="636"/>
      <c r="AE82" s="636">
        <f t="shared" si="14"/>
        <v>1</v>
      </c>
    </row>
    <row r="83" spans="1:31" s="32" customFormat="1" ht="14.45" customHeight="1" x14ac:dyDescent="0.25">
      <c r="A83" s="5" t="s">
        <v>120</v>
      </c>
      <c r="B83" s="637" t="s">
        <v>707</v>
      </c>
      <c r="C83" s="275"/>
      <c r="D83" s="276"/>
      <c r="E83" s="276"/>
      <c r="F83" s="276"/>
      <c r="G83" s="276"/>
      <c r="H83" s="276"/>
      <c r="I83" s="276"/>
      <c r="J83" s="277"/>
      <c r="K83" s="277"/>
      <c r="L83" s="277"/>
      <c r="M83" s="278"/>
      <c r="N83" s="278"/>
      <c r="O83" s="278">
        <f t="shared" si="11"/>
        <v>0</v>
      </c>
      <c r="P83" s="278"/>
      <c r="Q83" s="278"/>
      <c r="R83" s="278"/>
      <c r="S83" s="278"/>
      <c r="T83" s="278"/>
      <c r="U83" s="278"/>
      <c r="V83" s="278"/>
      <c r="W83" s="278">
        <f t="shared" si="12"/>
        <v>0</v>
      </c>
      <c r="X83" s="278"/>
      <c r="Y83" s="278"/>
      <c r="Z83" s="278"/>
      <c r="AA83" s="636">
        <f t="shared" si="13"/>
        <v>0</v>
      </c>
      <c r="AB83" s="636"/>
      <c r="AC83" s="636"/>
      <c r="AD83" s="636"/>
      <c r="AE83" s="636">
        <f t="shared" si="14"/>
        <v>0</v>
      </c>
    </row>
    <row r="84" spans="1:31" s="32" customFormat="1" ht="14.45" customHeight="1" x14ac:dyDescent="0.25">
      <c r="A84" s="5" t="s">
        <v>121</v>
      </c>
      <c r="B84" s="631" t="s">
        <v>708</v>
      </c>
      <c r="C84" s="275"/>
      <c r="D84" s="276"/>
      <c r="E84" s="276"/>
      <c r="F84" s="276"/>
      <c r="G84" s="276"/>
      <c r="H84" s="276"/>
      <c r="I84" s="276"/>
      <c r="J84" s="277"/>
      <c r="K84" s="277"/>
      <c r="L84" s="277"/>
      <c r="M84" s="278">
        <v>1</v>
      </c>
      <c r="N84" s="278"/>
      <c r="O84" s="278">
        <f t="shared" si="11"/>
        <v>1</v>
      </c>
      <c r="P84" s="278"/>
      <c r="Q84" s="278"/>
      <c r="R84" s="278"/>
      <c r="S84" s="278">
        <v>1</v>
      </c>
      <c r="T84" s="278"/>
      <c r="U84" s="278"/>
      <c r="V84" s="278"/>
      <c r="W84" s="278">
        <f t="shared" si="12"/>
        <v>1</v>
      </c>
      <c r="X84" s="278"/>
      <c r="Y84" s="278"/>
      <c r="Z84" s="278"/>
      <c r="AA84" s="636">
        <f t="shared" si="13"/>
        <v>1</v>
      </c>
      <c r="AB84" s="636"/>
      <c r="AC84" s="636"/>
      <c r="AD84" s="636"/>
      <c r="AE84" s="636">
        <f t="shared" si="14"/>
        <v>1</v>
      </c>
    </row>
    <row r="85" spans="1:31" s="32" customFormat="1" ht="14.45" customHeight="1" x14ac:dyDescent="0.25">
      <c r="A85" s="5" t="s">
        <v>124</v>
      </c>
      <c r="B85" s="631" t="s">
        <v>709</v>
      </c>
      <c r="C85" s="275"/>
      <c r="D85" s="276"/>
      <c r="E85" s="276"/>
      <c r="F85" s="276"/>
      <c r="G85" s="276"/>
      <c r="H85" s="276"/>
      <c r="I85" s="276"/>
      <c r="J85" s="277"/>
      <c r="K85" s="277"/>
      <c r="L85" s="277"/>
      <c r="M85" s="278">
        <v>1</v>
      </c>
      <c r="N85" s="278"/>
      <c r="O85" s="278">
        <f t="shared" si="11"/>
        <v>1</v>
      </c>
      <c r="P85" s="278"/>
      <c r="Q85" s="278"/>
      <c r="R85" s="278"/>
      <c r="S85" s="278">
        <v>1</v>
      </c>
      <c r="T85" s="278"/>
      <c r="U85" s="278"/>
      <c r="V85" s="278"/>
      <c r="W85" s="278">
        <f t="shared" si="12"/>
        <v>1</v>
      </c>
      <c r="X85" s="278"/>
      <c r="Y85" s="278"/>
      <c r="Z85" s="278"/>
      <c r="AA85" s="636">
        <f t="shared" si="13"/>
        <v>1</v>
      </c>
      <c r="AB85" s="636"/>
      <c r="AC85" s="636"/>
      <c r="AD85" s="636"/>
      <c r="AE85" s="636">
        <f t="shared" si="14"/>
        <v>1</v>
      </c>
    </row>
    <row r="86" spans="1:31" s="32" customFormat="1" ht="14.45" customHeight="1" x14ac:dyDescent="0.25">
      <c r="A86" s="5" t="s">
        <v>127</v>
      </c>
      <c r="B86" s="631" t="s">
        <v>710</v>
      </c>
      <c r="C86" s="275"/>
      <c r="D86" s="276"/>
      <c r="E86" s="276"/>
      <c r="F86" s="276"/>
      <c r="G86" s="276"/>
      <c r="H86" s="276"/>
      <c r="I86" s="276"/>
      <c r="J86" s="277"/>
      <c r="K86" s="277"/>
      <c r="L86" s="277"/>
      <c r="M86" s="278">
        <v>3</v>
      </c>
      <c r="N86" s="278"/>
      <c r="O86" s="278">
        <f t="shared" si="11"/>
        <v>3</v>
      </c>
      <c r="P86" s="278"/>
      <c r="Q86" s="278"/>
      <c r="R86" s="278"/>
      <c r="S86" s="278">
        <v>3</v>
      </c>
      <c r="T86" s="278"/>
      <c r="U86" s="278"/>
      <c r="V86" s="278"/>
      <c r="W86" s="278">
        <f t="shared" si="12"/>
        <v>3</v>
      </c>
      <c r="X86" s="278"/>
      <c r="Y86" s="278"/>
      <c r="Z86" s="278"/>
      <c r="AA86" s="636">
        <f t="shared" si="13"/>
        <v>3</v>
      </c>
      <c r="AB86" s="636"/>
      <c r="AC86" s="636"/>
      <c r="AD86" s="636"/>
      <c r="AE86" s="636">
        <f t="shared" si="14"/>
        <v>3</v>
      </c>
    </row>
    <row r="87" spans="1:31" s="32" customFormat="1" ht="14.45" customHeight="1" x14ac:dyDescent="0.25">
      <c r="A87" s="5" t="s">
        <v>128</v>
      </c>
      <c r="B87" s="631" t="s">
        <v>911</v>
      </c>
      <c r="C87" s="275"/>
      <c r="D87" s="276"/>
      <c r="E87" s="276"/>
      <c r="F87" s="276"/>
      <c r="G87" s="276"/>
      <c r="H87" s="276"/>
      <c r="I87" s="276"/>
      <c r="J87" s="277"/>
      <c r="K87" s="277"/>
      <c r="L87" s="277"/>
      <c r="M87" s="278">
        <v>1</v>
      </c>
      <c r="N87" s="278"/>
      <c r="O87" s="278">
        <f t="shared" si="11"/>
        <v>1</v>
      </c>
      <c r="P87" s="278"/>
      <c r="Q87" s="278"/>
      <c r="R87" s="278"/>
      <c r="S87" s="278">
        <v>1</v>
      </c>
      <c r="T87" s="278"/>
      <c r="U87" s="278"/>
      <c r="V87" s="278"/>
      <c r="W87" s="278">
        <f t="shared" si="12"/>
        <v>1</v>
      </c>
      <c r="X87" s="278"/>
      <c r="Y87" s="278"/>
      <c r="Z87" s="278"/>
      <c r="AA87" s="636">
        <f t="shared" si="13"/>
        <v>1</v>
      </c>
      <c r="AB87" s="636"/>
      <c r="AC87" s="636"/>
      <c r="AD87" s="636"/>
      <c r="AE87" s="636">
        <f t="shared" si="14"/>
        <v>1</v>
      </c>
    </row>
    <row r="88" spans="1:31" s="32" customFormat="1" ht="14.45" customHeight="1" x14ac:dyDescent="0.25">
      <c r="A88" s="5" t="s">
        <v>129</v>
      </c>
      <c r="B88" s="637" t="s">
        <v>711</v>
      </c>
      <c r="C88" s="275"/>
      <c r="D88" s="276"/>
      <c r="E88" s="276"/>
      <c r="F88" s="276"/>
      <c r="G88" s="276"/>
      <c r="H88" s="276"/>
      <c r="I88" s="276"/>
      <c r="J88" s="277"/>
      <c r="K88" s="277"/>
      <c r="L88" s="277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636"/>
      <c r="AB88" s="636"/>
      <c r="AC88" s="636"/>
      <c r="AD88" s="636"/>
      <c r="AE88" s="636"/>
    </row>
    <row r="89" spans="1:31" s="32" customFormat="1" ht="14.45" customHeight="1" x14ac:dyDescent="0.25">
      <c r="A89" s="5" t="s">
        <v>130</v>
      </c>
      <c r="B89" s="631" t="s">
        <v>712</v>
      </c>
      <c r="C89" s="275"/>
      <c r="D89" s="276"/>
      <c r="E89" s="276"/>
      <c r="F89" s="276"/>
      <c r="G89" s="276"/>
      <c r="H89" s="276"/>
      <c r="I89" s="276"/>
      <c r="J89" s="277"/>
      <c r="K89" s="277"/>
      <c r="L89" s="277"/>
      <c r="M89" s="278">
        <v>1</v>
      </c>
      <c r="N89" s="278"/>
      <c r="O89" s="278">
        <f>M89</f>
        <v>1</v>
      </c>
      <c r="P89" s="278"/>
      <c r="Q89" s="278"/>
      <c r="R89" s="278"/>
      <c r="S89" s="278">
        <v>1</v>
      </c>
      <c r="T89" s="278"/>
      <c r="U89" s="278"/>
      <c r="V89" s="278"/>
      <c r="W89" s="278">
        <f>D89+J89+O89</f>
        <v>1</v>
      </c>
      <c r="X89" s="278"/>
      <c r="Y89" s="278"/>
      <c r="Z89" s="278"/>
      <c r="AA89" s="636">
        <f>S89+X89/2</f>
        <v>1</v>
      </c>
      <c r="AB89" s="636"/>
      <c r="AC89" s="636"/>
      <c r="AD89" s="636"/>
      <c r="AE89" s="636">
        <f>W89+Z89/2</f>
        <v>1</v>
      </c>
    </row>
    <row r="90" spans="1:31" s="32" customFormat="1" ht="14.45" customHeight="1" x14ac:dyDescent="0.25">
      <c r="A90" s="5" t="s">
        <v>133</v>
      </c>
      <c r="B90" s="631" t="s">
        <v>713</v>
      </c>
      <c r="C90" s="275"/>
      <c r="D90" s="276"/>
      <c r="E90" s="276"/>
      <c r="F90" s="276"/>
      <c r="G90" s="276"/>
      <c r="H90" s="276"/>
      <c r="I90" s="276"/>
      <c r="J90" s="277"/>
      <c r="K90" s="277"/>
      <c r="L90" s="277"/>
      <c r="M90" s="278">
        <v>2</v>
      </c>
      <c r="N90" s="278"/>
      <c r="O90" s="278">
        <f>M90</f>
        <v>2</v>
      </c>
      <c r="P90" s="278"/>
      <c r="Q90" s="278"/>
      <c r="R90" s="278"/>
      <c r="S90" s="278">
        <v>2</v>
      </c>
      <c r="T90" s="278"/>
      <c r="U90" s="278"/>
      <c r="V90" s="278"/>
      <c r="W90" s="278">
        <f>D90+J90+O90</f>
        <v>2</v>
      </c>
      <c r="X90" s="278"/>
      <c r="Y90" s="278"/>
      <c r="Z90" s="278"/>
      <c r="AA90" s="636">
        <f>S90+X90/2</f>
        <v>2</v>
      </c>
      <c r="AB90" s="636"/>
      <c r="AC90" s="636"/>
      <c r="AD90" s="636"/>
      <c r="AE90" s="636">
        <f>W90+Z90/2</f>
        <v>2</v>
      </c>
    </row>
    <row r="91" spans="1:31" s="32" customFormat="1" ht="14.45" customHeight="1" x14ac:dyDescent="0.25">
      <c r="A91" s="5" t="s">
        <v>136</v>
      </c>
      <c r="B91" s="631" t="s">
        <v>714</v>
      </c>
      <c r="C91" s="275"/>
      <c r="D91" s="276"/>
      <c r="E91" s="276"/>
      <c r="F91" s="276"/>
      <c r="G91" s="276"/>
      <c r="H91" s="276"/>
      <c r="I91" s="276"/>
      <c r="J91" s="277"/>
      <c r="K91" s="277"/>
      <c r="L91" s="277"/>
      <c r="M91" s="278">
        <v>1</v>
      </c>
      <c r="N91" s="278"/>
      <c r="O91" s="278">
        <f>M91</f>
        <v>1</v>
      </c>
      <c r="P91" s="278"/>
      <c r="Q91" s="278"/>
      <c r="R91" s="278"/>
      <c r="S91" s="278">
        <v>1</v>
      </c>
      <c r="T91" s="278"/>
      <c r="U91" s="278"/>
      <c r="V91" s="278"/>
      <c r="W91" s="278">
        <f>D91+J91+O91</f>
        <v>1</v>
      </c>
      <c r="X91" s="278"/>
      <c r="Y91" s="278"/>
      <c r="Z91" s="278"/>
      <c r="AA91" s="636">
        <f>S91+X91/2</f>
        <v>1</v>
      </c>
      <c r="AB91" s="636"/>
      <c r="AC91" s="636"/>
      <c r="AD91" s="636"/>
      <c r="AE91" s="636">
        <f>W91+Z91/2</f>
        <v>1</v>
      </c>
    </row>
    <row r="92" spans="1:31" s="32" customFormat="1" ht="14.45" customHeight="1" x14ac:dyDescent="0.25">
      <c r="A92" s="5" t="s">
        <v>139</v>
      </c>
      <c r="B92" s="1032" t="s">
        <v>1059</v>
      </c>
      <c r="C92" s="1033"/>
      <c r="D92" s="1034"/>
      <c r="E92" s="1034"/>
      <c r="F92" s="1034"/>
      <c r="G92" s="1034"/>
      <c r="H92" s="1034"/>
      <c r="I92" s="1034"/>
      <c r="J92" s="1035"/>
      <c r="K92" s="1035"/>
      <c r="L92" s="1035"/>
      <c r="M92" s="1036">
        <v>0.5</v>
      </c>
      <c r="N92" s="1036"/>
      <c r="O92" s="1036">
        <f>M92</f>
        <v>0.5</v>
      </c>
      <c r="P92" s="1036"/>
      <c r="Q92" s="1036"/>
      <c r="R92" s="1036"/>
      <c r="S92" s="1036">
        <f>M92+P92</f>
        <v>0.5</v>
      </c>
      <c r="T92" s="1036"/>
      <c r="U92" s="1036"/>
      <c r="V92" s="1036"/>
      <c r="W92" s="1036">
        <f>D92+J92+O92</f>
        <v>0.5</v>
      </c>
      <c r="X92" s="1036"/>
      <c r="Y92" s="1036"/>
      <c r="Z92" s="1036"/>
      <c r="AA92" s="1037">
        <f>S92+X92</f>
        <v>0.5</v>
      </c>
      <c r="AB92" s="1037"/>
      <c r="AC92" s="1037"/>
      <c r="AD92" s="1038"/>
      <c r="AE92" s="1039">
        <f>W92+Z92/2</f>
        <v>0.5</v>
      </c>
    </row>
    <row r="93" spans="1:31" s="32" customFormat="1" ht="14.45" customHeight="1" x14ac:dyDescent="0.25">
      <c r="A93" s="5" t="s">
        <v>140</v>
      </c>
      <c r="B93" s="271" t="s">
        <v>715</v>
      </c>
      <c r="C93" s="275"/>
      <c r="D93" s="276"/>
      <c r="E93" s="276"/>
      <c r="F93" s="276"/>
      <c r="G93" s="276"/>
      <c r="H93" s="276"/>
      <c r="I93" s="276"/>
      <c r="J93" s="277"/>
      <c r="K93" s="277"/>
      <c r="L93" s="277"/>
      <c r="M93" s="278">
        <f>SUM(M70:M92)</f>
        <v>23.5</v>
      </c>
      <c r="N93" s="278"/>
      <c r="O93" s="278">
        <f>M93</f>
        <v>23.5</v>
      </c>
      <c r="P93" s="278">
        <f>SUM(P70:P91)</f>
        <v>0</v>
      </c>
      <c r="Q93" s="278"/>
      <c r="R93" s="278">
        <f>SUM(R70:R91)</f>
        <v>0</v>
      </c>
      <c r="S93" s="278">
        <f>SUM(S70:S92)</f>
        <v>23.5</v>
      </c>
      <c r="T93" s="278"/>
      <c r="U93" s="278"/>
      <c r="V93" s="278"/>
      <c r="W93" s="278">
        <f>D93+J93+O93</f>
        <v>23.5</v>
      </c>
      <c r="X93" s="278">
        <f>SUM(X70:X91)</f>
        <v>0</v>
      </c>
      <c r="Y93" s="278"/>
      <c r="Z93" s="278">
        <f>SUM(Z70:Z91)</f>
        <v>0</v>
      </c>
      <c r="AA93" s="735">
        <f>S93+X93/2</f>
        <v>23.5</v>
      </c>
      <c r="AB93" s="735"/>
      <c r="AC93" s="735"/>
      <c r="AD93" s="905">
        <v>0</v>
      </c>
      <c r="AE93" s="735">
        <f>SUM(AE70:AE92)</f>
        <v>23.5</v>
      </c>
    </row>
    <row r="94" spans="1:31" s="32" customFormat="1" ht="14.45" customHeight="1" x14ac:dyDescent="0.25">
      <c r="A94" s="5"/>
      <c r="B94" s="632"/>
      <c r="C94" s="716"/>
      <c r="D94" s="717"/>
      <c r="E94" s="717"/>
      <c r="F94" s="717"/>
      <c r="G94" s="717"/>
      <c r="H94" s="717"/>
      <c r="I94" s="717"/>
      <c r="J94" s="718"/>
      <c r="K94" s="718"/>
      <c r="L94" s="718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20"/>
      <c r="AB94" s="720"/>
      <c r="AC94" s="720"/>
      <c r="AD94" s="719"/>
      <c r="AE94" s="719"/>
    </row>
    <row r="95" spans="1:31" s="32" customFormat="1" ht="14.45" customHeight="1" x14ac:dyDescent="0.25">
      <c r="A95" s="5"/>
      <c r="B95" s="79"/>
      <c r="C95" s="73"/>
      <c r="D95" s="56"/>
      <c r="E95" s="56"/>
      <c r="F95" s="56"/>
      <c r="G95" s="56"/>
      <c r="H95" s="56"/>
      <c r="I95" s="56"/>
      <c r="J95" s="74"/>
      <c r="K95" s="74"/>
      <c r="L95" s="74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273"/>
      <c r="AB95" s="273"/>
      <c r="AC95" s="273"/>
      <c r="AD95" s="57"/>
      <c r="AE95" s="57"/>
    </row>
    <row r="96" spans="1:31" s="32" customFormat="1" ht="14.45" customHeight="1" x14ac:dyDescent="0.25">
      <c r="A96" s="5"/>
      <c r="B96" s="79"/>
      <c r="C96" s="73"/>
      <c r="D96" s="56"/>
      <c r="E96" s="56"/>
      <c r="F96" s="56"/>
      <c r="G96" s="56"/>
      <c r="H96" s="56"/>
      <c r="I96" s="56"/>
      <c r="J96" s="74"/>
      <c r="K96" s="74"/>
      <c r="L96" s="74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273"/>
      <c r="AB96" s="273"/>
      <c r="AC96" s="273"/>
      <c r="AD96" s="57"/>
      <c r="AE96" s="57"/>
    </row>
    <row r="97" spans="1:249" s="32" customFormat="1" ht="14.45" customHeight="1" x14ac:dyDescent="0.25">
      <c r="A97" s="272" t="s">
        <v>143</v>
      </c>
      <c r="B97" s="79" t="s">
        <v>516</v>
      </c>
      <c r="C97" s="73"/>
      <c r="D97" s="56"/>
      <c r="E97" s="56"/>
      <c r="F97" s="56"/>
      <c r="G97" s="56"/>
      <c r="H97" s="56"/>
      <c r="I97" s="56"/>
      <c r="J97" s="74"/>
      <c r="K97" s="74"/>
      <c r="L97" s="74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273"/>
      <c r="AB97" s="273"/>
      <c r="AC97" s="273"/>
      <c r="AD97" s="57"/>
      <c r="AE97" s="57"/>
    </row>
    <row r="98" spans="1:249" s="32" customFormat="1" ht="14.45" customHeight="1" x14ac:dyDescent="0.25">
      <c r="A98" s="272" t="s">
        <v>144</v>
      </c>
      <c r="B98" s="274" t="s">
        <v>517</v>
      </c>
      <c r="C98" s="275"/>
      <c r="D98" s="276"/>
      <c r="E98" s="276"/>
      <c r="F98" s="276"/>
      <c r="G98" s="276"/>
      <c r="H98" s="276"/>
      <c r="I98" s="276"/>
      <c r="J98" s="277"/>
      <c r="K98" s="277"/>
      <c r="L98" s="277"/>
      <c r="M98" s="277">
        <v>13</v>
      </c>
      <c r="N98" s="277"/>
      <c r="O98" s="277">
        <f>M98</f>
        <v>13</v>
      </c>
      <c r="P98" s="278"/>
      <c r="Q98" s="278"/>
      <c r="R98" s="278"/>
      <c r="S98" s="277">
        <f>M98</f>
        <v>13</v>
      </c>
      <c r="T98" s="277"/>
      <c r="U98" s="277"/>
      <c r="V98" s="278"/>
      <c r="W98" s="278">
        <f>O98+J98+D98</f>
        <v>13</v>
      </c>
      <c r="X98" s="278"/>
      <c r="Y98" s="278"/>
      <c r="Z98" s="278"/>
      <c r="AA98" s="277">
        <f>S98+X98/2</f>
        <v>13</v>
      </c>
      <c r="AB98" s="277"/>
      <c r="AC98" s="277"/>
      <c r="AD98" s="278"/>
      <c r="AE98" s="278">
        <f>W98+Z98/2</f>
        <v>13</v>
      </c>
    </row>
    <row r="99" spans="1:249" s="32" customFormat="1" ht="14.45" customHeight="1" x14ac:dyDescent="0.25">
      <c r="A99" s="272" t="s">
        <v>145</v>
      </c>
      <c r="B99" s="274" t="s">
        <v>518</v>
      </c>
      <c r="C99" s="275"/>
      <c r="D99" s="276"/>
      <c r="E99" s="276"/>
      <c r="F99" s="276"/>
      <c r="G99" s="276"/>
      <c r="H99" s="276"/>
      <c r="I99" s="276"/>
      <c r="J99" s="277"/>
      <c r="K99" s="277"/>
      <c r="L99" s="277"/>
      <c r="M99" s="277">
        <v>8</v>
      </c>
      <c r="N99" s="277"/>
      <c r="O99" s="277">
        <f>M99</f>
        <v>8</v>
      </c>
      <c r="P99" s="278"/>
      <c r="Q99" s="278"/>
      <c r="R99" s="278"/>
      <c r="S99" s="277">
        <f>M99</f>
        <v>8</v>
      </c>
      <c r="T99" s="277"/>
      <c r="U99" s="277"/>
      <c r="V99" s="278"/>
      <c r="W99" s="278">
        <f>S99+V99</f>
        <v>8</v>
      </c>
      <c r="X99" s="278"/>
      <c r="Y99" s="278"/>
      <c r="Z99" s="278"/>
      <c r="AA99" s="277">
        <f>S99+X99/2</f>
        <v>8</v>
      </c>
      <c r="AB99" s="277"/>
      <c r="AC99" s="277"/>
      <c r="AD99" s="278"/>
      <c r="AE99" s="278">
        <f>W99+Z99/2</f>
        <v>8</v>
      </c>
    </row>
    <row r="100" spans="1:249" s="32" customFormat="1" ht="14.45" customHeight="1" x14ac:dyDescent="0.25">
      <c r="A100" s="272" t="s">
        <v>146</v>
      </c>
      <c r="B100" s="274" t="s">
        <v>519</v>
      </c>
      <c r="C100" s="275"/>
      <c r="D100" s="276"/>
      <c r="E100" s="276"/>
      <c r="F100" s="276"/>
      <c r="G100" s="276"/>
      <c r="H100" s="276"/>
      <c r="I100" s="276"/>
      <c r="J100" s="277"/>
      <c r="K100" s="277"/>
      <c r="L100" s="277"/>
      <c r="M100" s="277">
        <v>3</v>
      </c>
      <c r="N100" s="277"/>
      <c r="O100" s="277">
        <f>M100</f>
        <v>3</v>
      </c>
      <c r="P100" s="278"/>
      <c r="Q100" s="278"/>
      <c r="R100" s="278"/>
      <c r="S100" s="277">
        <v>3</v>
      </c>
      <c r="T100" s="277"/>
      <c r="U100" s="277"/>
      <c r="V100" s="278"/>
      <c r="W100" s="278">
        <v>3</v>
      </c>
      <c r="X100" s="278"/>
      <c r="Y100" s="278"/>
      <c r="Z100" s="278"/>
      <c r="AA100" s="277">
        <f>S100+X100/2</f>
        <v>3</v>
      </c>
      <c r="AB100" s="277"/>
      <c r="AC100" s="277"/>
      <c r="AD100" s="278"/>
      <c r="AE100" s="278">
        <f>W100+Z100/2</f>
        <v>3</v>
      </c>
    </row>
    <row r="101" spans="1:249" s="32" customFormat="1" ht="14.45" customHeight="1" x14ac:dyDescent="0.25">
      <c r="A101" s="272" t="s">
        <v>147</v>
      </c>
      <c r="B101" s="279" t="s">
        <v>1137</v>
      </c>
      <c r="C101" s="280"/>
      <c r="D101" s="281"/>
      <c r="E101" s="281"/>
      <c r="F101" s="281"/>
      <c r="G101" s="281"/>
      <c r="H101" s="281"/>
      <c r="I101" s="281"/>
      <c r="J101" s="277"/>
      <c r="K101" s="277"/>
      <c r="L101" s="277"/>
      <c r="M101" s="278">
        <f>M98+M99+M100</f>
        <v>24</v>
      </c>
      <c r="N101" s="278"/>
      <c r="O101" s="278">
        <f>M101</f>
        <v>24</v>
      </c>
      <c r="P101" s="278">
        <v>0</v>
      </c>
      <c r="Q101" s="278"/>
      <c r="R101" s="278">
        <f>R98+R99+R100</f>
        <v>0</v>
      </c>
      <c r="S101" s="278">
        <f>S98+S99+S100</f>
        <v>24</v>
      </c>
      <c r="T101" s="278"/>
      <c r="U101" s="278"/>
      <c r="V101" s="278"/>
      <c r="W101" s="278">
        <f>W98+W99+W100</f>
        <v>24</v>
      </c>
      <c r="X101" s="278">
        <f>X98+X99+X100</f>
        <v>0</v>
      </c>
      <c r="Y101" s="278"/>
      <c r="Z101" s="278">
        <f>Z98+Z99+Z100</f>
        <v>0</v>
      </c>
      <c r="AA101" s="735">
        <f>S101+X101/2</f>
        <v>24</v>
      </c>
      <c r="AB101" s="735"/>
      <c r="AC101" s="735"/>
      <c r="AD101" s="905">
        <v>0</v>
      </c>
      <c r="AE101" s="735">
        <f>W101+Z101/2</f>
        <v>24</v>
      </c>
    </row>
    <row r="102" spans="1:249" ht="15.75" customHeight="1" x14ac:dyDescent="0.25">
      <c r="A102" s="272"/>
      <c r="B102" s="721"/>
      <c r="C102" s="722"/>
      <c r="D102" s="723"/>
      <c r="E102" s="723"/>
      <c r="F102" s="723"/>
      <c r="G102" s="723"/>
      <c r="H102" s="723"/>
      <c r="I102" s="723"/>
      <c r="J102" s="724"/>
      <c r="K102" s="724"/>
      <c r="L102" s="724"/>
      <c r="M102" s="725"/>
      <c r="N102" s="725"/>
      <c r="O102" s="725"/>
      <c r="P102" s="725"/>
      <c r="Q102" s="725"/>
      <c r="R102" s="725"/>
      <c r="S102" s="725"/>
      <c r="T102" s="725"/>
      <c r="U102" s="725"/>
      <c r="V102" s="725"/>
      <c r="W102" s="725"/>
      <c r="X102" s="725"/>
      <c r="Y102" s="725"/>
      <c r="Z102" s="725"/>
      <c r="AA102" s="725"/>
      <c r="AB102" s="725"/>
      <c r="AC102" s="725"/>
      <c r="AD102" s="725"/>
      <c r="AE102" s="726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</row>
    <row r="103" spans="1:249" s="32" customFormat="1" ht="14.45" customHeight="1" x14ac:dyDescent="0.25">
      <c r="A103" s="272"/>
      <c r="B103" s="54"/>
      <c r="C103" s="55"/>
      <c r="D103" s="56"/>
      <c r="E103" s="56"/>
      <c r="F103" s="56"/>
      <c r="G103" s="56"/>
      <c r="H103" s="56"/>
      <c r="I103" s="56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61"/>
      <c r="X103" s="61"/>
      <c r="Y103" s="61"/>
      <c r="Z103" s="61"/>
      <c r="AA103" s="61"/>
      <c r="AB103" s="61"/>
      <c r="AC103" s="61"/>
      <c r="AD103" s="61"/>
      <c r="AE103" s="61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</row>
    <row r="104" spans="1:249" s="32" customFormat="1" ht="15.75" customHeight="1" x14ac:dyDescent="0.25">
      <c r="A104" s="272" t="s">
        <v>149</v>
      </c>
      <c r="B104" s="49" t="s">
        <v>680</v>
      </c>
      <c r="C104" s="50">
        <f>C24+C40+C64</f>
        <v>0</v>
      </c>
      <c r="D104" s="50">
        <f>D24+D40+D64</f>
        <v>0</v>
      </c>
      <c r="E104" s="50"/>
      <c r="F104" s="50"/>
      <c r="G104" s="50">
        <f>G24+G40+G64</f>
        <v>0</v>
      </c>
      <c r="H104" s="50"/>
      <c r="I104" s="50"/>
      <c r="J104" s="50">
        <f>J24+J40+J64</f>
        <v>0</v>
      </c>
      <c r="K104" s="50">
        <f>K24+K40+K64</f>
        <v>0</v>
      </c>
      <c r="L104" s="50">
        <f>L24+L40+L64</f>
        <v>0</v>
      </c>
      <c r="M104" s="50">
        <f t="shared" ref="M104:AE104" si="15">M24+M40+M101+M93</f>
        <v>187</v>
      </c>
      <c r="N104" s="1199">
        <f>N24+N40+N93+N101</f>
        <v>2</v>
      </c>
      <c r="O104" s="50">
        <f t="shared" si="15"/>
        <v>189</v>
      </c>
      <c r="P104" s="50">
        <f t="shared" si="15"/>
        <v>1</v>
      </c>
      <c r="Q104" s="50"/>
      <c r="R104" s="50">
        <f t="shared" si="15"/>
        <v>0</v>
      </c>
      <c r="S104" s="50">
        <f t="shared" si="15"/>
        <v>187</v>
      </c>
      <c r="T104" s="50">
        <f>T24+T40+T93+T101</f>
        <v>2</v>
      </c>
      <c r="U104" s="50"/>
      <c r="V104" s="906">
        <f>V101+V93+V40+V24</f>
        <v>0</v>
      </c>
      <c r="W104" s="50">
        <f t="shared" si="15"/>
        <v>189</v>
      </c>
      <c r="X104" s="50">
        <f t="shared" si="15"/>
        <v>1</v>
      </c>
      <c r="Y104" s="50">
        <f>Y24+Y40+Y93+Y101</f>
        <v>-1</v>
      </c>
      <c r="Z104" s="50">
        <f t="shared" si="15"/>
        <v>0</v>
      </c>
      <c r="AA104" s="736">
        <f t="shared" si="15"/>
        <v>187.5</v>
      </c>
      <c r="AB104" s="736">
        <f>AB24+AB40+AB93+AB101</f>
        <v>1.5</v>
      </c>
      <c r="AC104" s="736"/>
      <c r="AD104" s="736">
        <f t="shared" ref="AD104" si="16">AD101+AD93+AD40+AD24</f>
        <v>0</v>
      </c>
      <c r="AE104" s="736">
        <f t="shared" si="15"/>
        <v>189</v>
      </c>
    </row>
    <row r="105" spans="1:249" s="32" customFormat="1" ht="14.45" customHeight="1" x14ac:dyDescent="0.25">
      <c r="A105" s="272"/>
      <c r="B105" s="59"/>
      <c r="C105" s="60"/>
      <c r="D105" s="61"/>
      <c r="E105" s="61"/>
      <c r="F105" s="61"/>
      <c r="G105" s="61"/>
      <c r="H105" s="61"/>
      <c r="I105" s="61"/>
      <c r="J105" s="62"/>
      <c r="K105" s="62"/>
      <c r="L105" s="62"/>
      <c r="M105" s="62"/>
      <c r="N105" s="62"/>
      <c r="O105" s="61"/>
      <c r="P105" s="61"/>
      <c r="Q105" s="61"/>
      <c r="R105" s="61"/>
      <c r="S105" s="61"/>
      <c r="T105" s="57"/>
      <c r="U105" s="57"/>
      <c r="V105" s="57"/>
      <c r="W105" s="71"/>
      <c r="X105" s="72"/>
      <c r="Y105" s="72"/>
      <c r="Z105" s="72"/>
      <c r="AA105" s="473"/>
      <c r="AB105" s="473"/>
      <c r="AC105" s="473"/>
      <c r="AD105" s="473"/>
      <c r="AE105" s="473"/>
    </row>
    <row r="106" spans="1:249" ht="14.45" customHeight="1" x14ac:dyDescent="0.25">
      <c r="A106" s="272" t="s">
        <v>152</v>
      </c>
      <c r="B106" s="49" t="s">
        <v>599</v>
      </c>
      <c r="C106" s="78">
        <f>C10+C12+C104</f>
        <v>9</v>
      </c>
      <c r="D106" s="907">
        <f>D10+D12+D104</f>
        <v>9</v>
      </c>
      <c r="E106" s="857">
        <f>E10++E12+E104</f>
        <v>0</v>
      </c>
      <c r="F106" s="857">
        <f>F104+F12+F10</f>
        <v>0</v>
      </c>
      <c r="G106" s="78">
        <f>G10+G12+G104</f>
        <v>38</v>
      </c>
      <c r="H106" s="78">
        <f t="shared" ref="H106:I106" si="17">H10+H12+H104</f>
        <v>2</v>
      </c>
      <c r="I106" s="78">
        <f t="shared" si="17"/>
        <v>-2</v>
      </c>
      <c r="J106" s="78">
        <f>J10+J12+J104</f>
        <v>38</v>
      </c>
      <c r="K106" s="78">
        <f>K10+K12+K104</f>
        <v>0</v>
      </c>
      <c r="L106" s="78">
        <f>L10+L12+L104</f>
        <v>0</v>
      </c>
      <c r="M106" s="474">
        <f>M104</f>
        <v>187</v>
      </c>
      <c r="N106" s="78">
        <f>N104+N10+N12</f>
        <v>2</v>
      </c>
      <c r="O106" s="474">
        <f>O10+O12+O104</f>
        <v>189</v>
      </c>
      <c r="P106" s="474">
        <f>P10+P12+P104</f>
        <v>1</v>
      </c>
      <c r="Q106" s="474"/>
      <c r="R106" s="474">
        <f>R10+R12+R104</f>
        <v>0</v>
      </c>
      <c r="S106" s="53">
        <f>C106+G106+M106</f>
        <v>234</v>
      </c>
      <c r="T106" s="857">
        <f>T104+T10+T12</f>
        <v>2</v>
      </c>
      <c r="U106" s="857">
        <f>U12+U10</f>
        <v>2</v>
      </c>
      <c r="V106" s="857">
        <f>V10+V12+V104</f>
        <v>-2</v>
      </c>
      <c r="W106" s="270">
        <f>W104+W12+W10</f>
        <v>236</v>
      </c>
      <c r="X106" s="1073">
        <f>X10+X12+X104</f>
        <v>1</v>
      </c>
      <c r="Y106" s="1073">
        <f>Y104+Y10+Y12</f>
        <v>-1</v>
      </c>
      <c r="Z106" s="505">
        <f>Z10+Z12+Z104</f>
        <v>0</v>
      </c>
      <c r="AA106" s="965">
        <f>AA10+AA12+AA104</f>
        <v>234.5</v>
      </c>
      <c r="AB106" s="965">
        <f>AB104+AB10+AB12</f>
        <v>1.5</v>
      </c>
      <c r="AC106" s="965">
        <f t="shared" ref="AC106" si="18">AC10+AC12+AC104</f>
        <v>2</v>
      </c>
      <c r="AD106" s="965">
        <f>AD10+AD12+AD104</f>
        <v>-2</v>
      </c>
      <c r="AE106" s="537">
        <f>AE104+AE12+AE10</f>
        <v>236</v>
      </c>
      <c r="AF106" s="585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</row>
    <row r="107" spans="1:249" ht="15.75" customHeight="1" x14ac:dyDescent="0.25">
      <c r="B107" s="79"/>
      <c r="C107" s="73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06"/>
      <c r="T107" s="506"/>
      <c r="U107" s="506"/>
      <c r="V107" s="627"/>
      <c r="W107" s="506"/>
      <c r="X107" s="627"/>
      <c r="Y107" s="627"/>
      <c r="Z107" s="627"/>
      <c r="AA107" s="627"/>
      <c r="AB107" s="627"/>
      <c r="AC107" s="627"/>
      <c r="AD107" s="627"/>
      <c r="AE107" s="627"/>
    </row>
    <row r="108" spans="1:249" ht="30" customHeight="1" x14ac:dyDescent="0.25">
      <c r="B108" s="1475" t="s">
        <v>1138</v>
      </c>
      <c r="C108" s="1475"/>
      <c r="D108" s="1475"/>
      <c r="E108" s="1475"/>
      <c r="F108" s="1475"/>
      <c r="G108" s="1475"/>
      <c r="H108" s="1475"/>
      <c r="I108" s="1475"/>
      <c r="J108" s="1475"/>
      <c r="K108" s="1475"/>
      <c r="L108" s="1475"/>
      <c r="M108" s="1475"/>
      <c r="N108" s="1475"/>
      <c r="O108" s="1475"/>
      <c r="P108" s="1475"/>
      <c r="Q108" s="1475"/>
      <c r="R108" s="1475"/>
      <c r="S108" s="1475"/>
      <c r="T108" s="1475"/>
      <c r="U108" s="1475"/>
      <c r="V108" s="1475"/>
      <c r="W108" s="1475"/>
      <c r="X108" s="1475"/>
      <c r="Y108" s="1475"/>
      <c r="Z108" s="1475"/>
      <c r="AA108" s="1475"/>
      <c r="AB108" s="1475"/>
      <c r="AC108" s="1475"/>
      <c r="AD108" s="1475"/>
      <c r="AE108" s="1475"/>
      <c r="AF108" s="507"/>
    </row>
    <row r="109" spans="1:249" ht="29.25" customHeight="1" x14ac:dyDescent="0.25">
      <c r="A109" s="16"/>
      <c r="B109" s="1473" t="s">
        <v>1240</v>
      </c>
      <c r="C109" s="1473"/>
      <c r="D109" s="1473"/>
      <c r="E109" s="1473"/>
      <c r="F109" s="1473"/>
      <c r="G109" s="1473"/>
      <c r="H109" s="1473"/>
      <c r="I109" s="1473"/>
      <c r="J109" s="1473"/>
      <c r="K109" s="1473"/>
      <c r="L109" s="1473"/>
      <c r="M109" s="1473"/>
      <c r="N109" s="1473"/>
      <c r="O109" s="1473"/>
      <c r="P109" s="1473"/>
      <c r="Q109" s="1473"/>
      <c r="R109" s="1473"/>
      <c r="S109" s="1473"/>
      <c r="T109" s="1473"/>
      <c r="U109" s="1473"/>
      <c r="V109" s="1473"/>
      <c r="W109" s="1473"/>
      <c r="X109" s="1473"/>
      <c r="Y109" s="1473"/>
      <c r="Z109" s="1473"/>
      <c r="AA109" s="1473"/>
      <c r="AB109" s="1473"/>
      <c r="AC109" s="1473"/>
      <c r="AD109" s="1473"/>
      <c r="AE109" s="1473"/>
      <c r="AF109" s="507"/>
    </row>
    <row r="110" spans="1:249" ht="13.9" customHeight="1" x14ac:dyDescent="0.25">
      <c r="B110" s="24" t="s">
        <v>282</v>
      </c>
    </row>
  </sheetData>
  <sheetProtection selectLockedCells="1" selectUnlockedCells="1"/>
  <mergeCells count="29">
    <mergeCell ref="B109:AE109"/>
    <mergeCell ref="M7:O7"/>
    <mergeCell ref="P7:R7"/>
    <mergeCell ref="S7:W7"/>
    <mergeCell ref="X7:Z7"/>
    <mergeCell ref="B108:AE108"/>
    <mergeCell ref="A1:AE1"/>
    <mergeCell ref="A2:AE2"/>
    <mergeCell ref="A3:AE3"/>
    <mergeCell ref="M5:O5"/>
    <mergeCell ref="P5:R5"/>
    <mergeCell ref="S5:W5"/>
    <mergeCell ref="X5:Z5"/>
    <mergeCell ref="AA5:AE5"/>
    <mergeCell ref="E5:F5"/>
    <mergeCell ref="G5:J5"/>
    <mergeCell ref="A5:A8"/>
    <mergeCell ref="C5:D5"/>
    <mergeCell ref="K5:L5"/>
    <mergeCell ref="E7:F7"/>
    <mergeCell ref="G7:J7"/>
    <mergeCell ref="C7:D7"/>
    <mergeCell ref="S6:Z6"/>
    <mergeCell ref="AA6:AE7"/>
    <mergeCell ref="C6:F6"/>
    <mergeCell ref="G6:L6"/>
    <mergeCell ref="B6:B8"/>
    <mergeCell ref="K7:L7"/>
    <mergeCell ref="M6:R6"/>
  </mergeCells>
  <pageMargins left="0.39370078740157483" right="0.19685039370078741" top="0.19685039370078741" bottom="0.19685039370078741" header="0.51181102362204722" footer="0.51181102362204722"/>
  <pageSetup paperSize="9" scale="53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464" t="s">
        <v>1248</v>
      </c>
      <c r="B1" s="1464"/>
      <c r="C1" s="1464"/>
      <c r="D1" s="1464"/>
      <c r="E1" s="1464"/>
      <c r="F1" s="1464"/>
      <c r="G1" s="1464"/>
      <c r="H1" s="1464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</row>
    <row r="2" spans="1:35" x14ac:dyDescent="0.2">
      <c r="C2" t="s">
        <v>328</v>
      </c>
    </row>
    <row r="3" spans="1:35" ht="14.25" x14ac:dyDescent="0.2">
      <c r="A3" s="1476" t="s">
        <v>317</v>
      </c>
      <c r="B3" s="1476"/>
      <c r="C3" s="1476"/>
      <c r="D3" s="1476"/>
      <c r="E3" s="1476"/>
      <c r="F3" s="1476"/>
      <c r="G3" s="1476"/>
      <c r="H3" s="1476"/>
    </row>
    <row r="4" spans="1:35" ht="14.25" x14ac:dyDescent="0.2">
      <c r="A4" s="1476" t="s">
        <v>318</v>
      </c>
      <c r="B4" s="1476"/>
      <c r="C4" s="1476"/>
      <c r="D4" s="1476"/>
      <c r="E4" s="1476"/>
      <c r="F4" s="1476"/>
      <c r="G4" s="1476"/>
      <c r="H4" s="1476"/>
    </row>
    <row r="5" spans="1:35" ht="14.25" x14ac:dyDescent="0.2">
      <c r="A5" s="1477" t="s">
        <v>55</v>
      </c>
      <c r="B5" s="1477"/>
      <c r="C5" s="1477"/>
      <c r="D5" s="1477"/>
      <c r="E5" s="1477"/>
      <c r="F5" s="1477"/>
      <c r="G5" s="1477"/>
      <c r="H5" s="1477"/>
    </row>
    <row r="6" spans="1:35" ht="15" x14ac:dyDescent="0.25">
      <c r="A6" s="388"/>
      <c r="B6" s="640"/>
      <c r="C6" s="640"/>
      <c r="D6" s="640"/>
      <c r="E6" s="640"/>
    </row>
    <row r="7" spans="1:35" ht="14.25" customHeight="1" x14ac:dyDescent="0.2">
      <c r="A7" s="1478"/>
      <c r="B7" s="641" t="s">
        <v>57</v>
      </c>
      <c r="C7" s="641" t="s">
        <v>58</v>
      </c>
      <c r="D7" s="641" t="s">
        <v>59</v>
      </c>
      <c r="E7" s="641" t="s">
        <v>60</v>
      </c>
      <c r="F7" s="642" t="s">
        <v>471</v>
      </c>
      <c r="G7" s="642" t="s">
        <v>472</v>
      </c>
      <c r="H7" s="642" t="s">
        <v>473</v>
      </c>
    </row>
    <row r="8" spans="1:35" ht="14.25" customHeight="1" x14ac:dyDescent="0.2">
      <c r="A8" s="1478"/>
      <c r="B8" s="1479" t="s">
        <v>779</v>
      </c>
      <c r="C8" s="1480" t="s">
        <v>320</v>
      </c>
      <c r="D8" s="1481" t="s">
        <v>321</v>
      </c>
      <c r="E8" s="1482"/>
      <c r="F8" s="1483"/>
    </row>
    <row r="9" spans="1:35" ht="15.75" x14ac:dyDescent="0.25">
      <c r="A9" s="1478"/>
      <c r="B9" s="1479"/>
      <c r="C9" s="1480"/>
      <c r="D9" s="1481"/>
      <c r="E9" s="391">
        <v>2015</v>
      </c>
      <c r="F9" s="643">
        <v>2017</v>
      </c>
      <c r="G9" s="665">
        <v>2017</v>
      </c>
      <c r="H9" s="665">
        <v>2018</v>
      </c>
    </row>
    <row r="10" spans="1:35" ht="15" x14ac:dyDescent="0.25">
      <c r="A10" s="644"/>
      <c r="B10" s="645" t="s">
        <v>327</v>
      </c>
      <c r="C10" s="646"/>
      <c r="D10" s="666"/>
      <c r="E10" s="646"/>
    </row>
    <row r="11" spans="1:35" ht="15" x14ac:dyDescent="0.25">
      <c r="A11" s="647">
        <v>1</v>
      </c>
      <c r="B11" s="648" t="s">
        <v>780</v>
      </c>
      <c r="C11" s="649" t="s">
        <v>781</v>
      </c>
      <c r="D11" s="667" t="s">
        <v>333</v>
      </c>
      <c r="E11" s="650">
        <v>41</v>
      </c>
      <c r="F11" s="650">
        <v>50</v>
      </c>
      <c r="G11" s="650">
        <v>50</v>
      </c>
      <c r="H11" s="650">
        <v>50</v>
      </c>
    </row>
    <row r="12" spans="1:35" ht="15" x14ac:dyDescent="0.25">
      <c r="A12" s="647">
        <v>2</v>
      </c>
      <c r="B12" s="648" t="s">
        <v>782</v>
      </c>
      <c r="C12" s="649" t="s">
        <v>783</v>
      </c>
      <c r="D12" s="667" t="s">
        <v>333</v>
      </c>
      <c r="E12" s="650">
        <v>125</v>
      </c>
      <c r="F12" s="650">
        <v>147</v>
      </c>
      <c r="G12" s="650">
        <v>147</v>
      </c>
      <c r="H12" s="650">
        <v>147</v>
      </c>
    </row>
    <row r="13" spans="1:35" ht="25.5" customHeight="1" x14ac:dyDescent="0.25">
      <c r="A13" s="647">
        <v>3</v>
      </c>
      <c r="B13" s="651" t="s">
        <v>784</v>
      </c>
      <c r="C13" s="652" t="s">
        <v>727</v>
      </c>
      <c r="D13" s="668" t="s">
        <v>333</v>
      </c>
      <c r="E13" s="653"/>
      <c r="F13" s="653">
        <v>240</v>
      </c>
      <c r="G13" s="653">
        <v>240</v>
      </c>
      <c r="H13" s="653">
        <v>240</v>
      </c>
    </row>
    <row r="14" spans="1:35" ht="15" x14ac:dyDescent="0.25">
      <c r="A14" s="647">
        <v>4</v>
      </c>
      <c r="B14" s="648" t="s">
        <v>376</v>
      </c>
      <c r="C14" s="649" t="s">
        <v>785</v>
      </c>
      <c r="D14" s="667" t="s">
        <v>333</v>
      </c>
      <c r="E14" s="650">
        <v>330</v>
      </c>
      <c r="F14" s="650">
        <v>335</v>
      </c>
      <c r="G14" s="650">
        <v>335</v>
      </c>
      <c r="H14" s="650">
        <v>335</v>
      </c>
    </row>
    <row r="15" spans="1:35" ht="15" x14ac:dyDescent="0.25">
      <c r="A15" s="647">
        <v>5</v>
      </c>
      <c r="B15" s="648" t="s">
        <v>378</v>
      </c>
      <c r="C15" s="649" t="s">
        <v>786</v>
      </c>
      <c r="D15" s="667" t="s">
        <v>333</v>
      </c>
      <c r="E15" s="650">
        <v>930</v>
      </c>
      <c r="F15" s="650">
        <v>960</v>
      </c>
      <c r="G15" s="650">
        <v>960</v>
      </c>
      <c r="H15" s="650">
        <v>960</v>
      </c>
    </row>
    <row r="16" spans="1:35" ht="15" x14ac:dyDescent="0.25">
      <c r="A16" s="647">
        <v>6</v>
      </c>
      <c r="B16" s="648" t="s">
        <v>787</v>
      </c>
      <c r="C16" s="649" t="s">
        <v>788</v>
      </c>
      <c r="D16" s="667" t="s">
        <v>333</v>
      </c>
      <c r="E16" s="650"/>
      <c r="F16" s="650">
        <v>700</v>
      </c>
      <c r="G16" s="650">
        <v>700</v>
      </c>
      <c r="H16" s="650">
        <v>700</v>
      </c>
    </row>
    <row r="17" spans="1:8" ht="15" x14ac:dyDescent="0.25">
      <c r="A17" s="647">
        <v>7</v>
      </c>
      <c r="B17" s="649" t="s">
        <v>396</v>
      </c>
      <c r="C17" s="649" t="s">
        <v>789</v>
      </c>
      <c r="D17" s="669" t="s">
        <v>333</v>
      </c>
      <c r="E17" s="650">
        <v>225</v>
      </c>
      <c r="F17" s="650">
        <v>271</v>
      </c>
      <c r="G17" s="650">
        <v>271</v>
      </c>
      <c r="H17" s="650">
        <v>271</v>
      </c>
    </row>
    <row r="18" spans="1:8" ht="24.75" customHeight="1" x14ac:dyDescent="0.25">
      <c r="A18" s="647">
        <v>8</v>
      </c>
      <c r="B18" s="654" t="s">
        <v>790</v>
      </c>
      <c r="C18" s="655" t="s">
        <v>791</v>
      </c>
      <c r="D18" s="670" t="s">
        <v>333</v>
      </c>
      <c r="E18" s="656">
        <v>233</v>
      </c>
      <c r="F18" s="656">
        <v>236</v>
      </c>
      <c r="G18" s="656">
        <v>236</v>
      </c>
      <c r="H18" s="656">
        <v>236</v>
      </c>
    </row>
    <row r="19" spans="1:8" ht="20.25" customHeight="1" x14ac:dyDescent="0.25">
      <c r="A19" s="647">
        <v>9</v>
      </c>
      <c r="B19" s="654" t="s">
        <v>402</v>
      </c>
      <c r="C19" s="655" t="s">
        <v>792</v>
      </c>
      <c r="D19" s="670" t="s">
        <v>333</v>
      </c>
      <c r="E19" s="656">
        <v>250</v>
      </c>
      <c r="F19" s="656">
        <v>200</v>
      </c>
      <c r="G19" s="656">
        <v>200</v>
      </c>
      <c r="H19" s="656">
        <v>200</v>
      </c>
    </row>
    <row r="20" spans="1:8" ht="27.75" customHeight="1" x14ac:dyDescent="0.25">
      <c r="A20" s="647">
        <v>10</v>
      </c>
      <c r="B20" s="654" t="s">
        <v>413</v>
      </c>
      <c r="C20" s="655" t="s">
        <v>793</v>
      </c>
      <c r="D20" s="670" t="s">
        <v>333</v>
      </c>
      <c r="E20" s="656">
        <v>1800</v>
      </c>
      <c r="F20" s="656">
        <v>1800</v>
      </c>
      <c r="G20" s="656">
        <v>1800</v>
      </c>
      <c r="H20" s="656">
        <v>1800</v>
      </c>
    </row>
    <row r="21" spans="1:8" ht="28.5" customHeight="1" x14ac:dyDescent="0.25">
      <c r="A21" s="647">
        <v>11</v>
      </c>
      <c r="B21" s="654" t="s">
        <v>415</v>
      </c>
      <c r="C21" s="655" t="s">
        <v>794</v>
      </c>
      <c r="D21" s="670" t="s">
        <v>333</v>
      </c>
      <c r="E21" s="656">
        <v>2000</v>
      </c>
      <c r="F21" s="656">
        <v>2000</v>
      </c>
      <c r="G21" s="656">
        <v>2000</v>
      </c>
      <c r="H21" s="656">
        <v>2000</v>
      </c>
    </row>
    <row r="22" spans="1:8" ht="48" customHeight="1" x14ac:dyDescent="0.2">
      <c r="A22" s="671">
        <v>12</v>
      </c>
      <c r="B22" s="657" t="s">
        <v>795</v>
      </c>
      <c r="C22" s="672" t="s">
        <v>796</v>
      </c>
      <c r="D22" s="673" t="s">
        <v>333</v>
      </c>
      <c r="E22" s="674"/>
      <c r="F22" s="674">
        <v>97</v>
      </c>
      <c r="G22" s="674">
        <v>97</v>
      </c>
      <c r="H22" s="674">
        <v>97</v>
      </c>
    </row>
    <row r="23" spans="1:8" ht="30" customHeight="1" x14ac:dyDescent="0.25">
      <c r="A23" s="647">
        <v>13</v>
      </c>
      <c r="B23" s="654" t="s">
        <v>797</v>
      </c>
      <c r="C23" s="655" t="s">
        <v>798</v>
      </c>
      <c r="D23" s="670">
        <v>43465</v>
      </c>
      <c r="E23" s="656"/>
      <c r="F23" s="656">
        <v>991</v>
      </c>
      <c r="G23" s="656">
        <v>991</v>
      </c>
      <c r="H23" s="656">
        <v>991</v>
      </c>
    </row>
    <row r="24" spans="1:8" ht="33" customHeight="1" x14ac:dyDescent="0.25">
      <c r="A24" s="647">
        <v>14</v>
      </c>
      <c r="B24" s="654" t="s">
        <v>799</v>
      </c>
      <c r="C24" s="655" t="s">
        <v>800</v>
      </c>
      <c r="D24" s="670" t="s">
        <v>333</v>
      </c>
      <c r="E24" s="656"/>
      <c r="F24" s="656">
        <v>515</v>
      </c>
      <c r="G24" s="656">
        <v>515</v>
      </c>
      <c r="H24" s="656">
        <v>515</v>
      </c>
    </row>
    <row r="25" spans="1:8" ht="15" x14ac:dyDescent="0.25">
      <c r="A25" s="647">
        <v>17</v>
      </c>
      <c r="B25" s="659" t="s">
        <v>801</v>
      </c>
      <c r="C25" s="659" t="s">
        <v>802</v>
      </c>
      <c r="D25" s="675">
        <v>43009</v>
      </c>
      <c r="E25" s="660"/>
      <c r="F25" s="661">
        <v>3500</v>
      </c>
      <c r="G25" s="661">
        <v>3500</v>
      </c>
      <c r="H25" s="661">
        <v>3500</v>
      </c>
    </row>
    <row r="26" spans="1:8" ht="15" x14ac:dyDescent="0.25">
      <c r="A26" s="647">
        <v>22</v>
      </c>
      <c r="B26" s="659" t="s">
        <v>803</v>
      </c>
      <c r="C26" s="659" t="s">
        <v>804</v>
      </c>
      <c r="D26" s="675" t="s">
        <v>333</v>
      </c>
      <c r="E26" s="662"/>
      <c r="F26" s="661">
        <v>248</v>
      </c>
      <c r="G26" s="661">
        <v>248</v>
      </c>
      <c r="H26" s="661">
        <v>248</v>
      </c>
    </row>
    <row r="27" spans="1:8" ht="15.75" x14ac:dyDescent="0.25">
      <c r="A27" s="647">
        <v>23</v>
      </c>
      <c r="B27" s="659" t="s">
        <v>805</v>
      </c>
      <c r="C27" s="659" t="s">
        <v>806</v>
      </c>
      <c r="D27" s="664" t="s">
        <v>333</v>
      </c>
      <c r="E27" s="663"/>
      <c r="F27" s="661">
        <v>168</v>
      </c>
      <c r="G27" s="661">
        <v>168</v>
      </c>
      <c r="H27" s="661">
        <v>168</v>
      </c>
    </row>
    <row r="28" spans="1:8" ht="15.75" x14ac:dyDescent="0.25">
      <c r="A28" s="676">
        <v>24</v>
      </c>
      <c r="B28" s="659" t="s">
        <v>807</v>
      </c>
      <c r="C28" s="659" t="s">
        <v>808</v>
      </c>
      <c r="D28" s="664" t="s">
        <v>333</v>
      </c>
      <c r="E28" s="663"/>
      <c r="F28" s="661">
        <v>76</v>
      </c>
      <c r="G28" s="661">
        <v>76</v>
      </c>
      <c r="H28" s="661">
        <v>76</v>
      </c>
    </row>
    <row r="29" spans="1:8" ht="15.75" x14ac:dyDescent="0.25">
      <c r="A29" s="647">
        <v>25</v>
      </c>
      <c r="B29" s="663"/>
      <c r="C29" s="659" t="s">
        <v>809</v>
      </c>
      <c r="D29" s="664" t="s">
        <v>333</v>
      </c>
      <c r="E29" s="663"/>
      <c r="F29" s="658">
        <v>127</v>
      </c>
      <c r="G29" s="658">
        <v>127</v>
      </c>
      <c r="H29" s="658">
        <v>127</v>
      </c>
    </row>
    <row r="30" spans="1:8" ht="15" x14ac:dyDescent="0.25">
      <c r="A30" s="647">
        <v>26</v>
      </c>
      <c r="B30" s="659" t="s">
        <v>810</v>
      </c>
      <c r="C30" s="659" t="s">
        <v>811</v>
      </c>
      <c r="D30" s="675">
        <v>42855</v>
      </c>
      <c r="E30" s="662"/>
      <c r="F30" s="661">
        <v>1531</v>
      </c>
      <c r="G30" s="661">
        <v>1531</v>
      </c>
      <c r="H30" s="661">
        <v>1531</v>
      </c>
    </row>
    <row r="31" spans="1:8" ht="15" x14ac:dyDescent="0.25">
      <c r="A31" s="647">
        <v>27</v>
      </c>
      <c r="B31" s="659" t="s">
        <v>767</v>
      </c>
      <c r="C31" s="659" t="s">
        <v>812</v>
      </c>
      <c r="D31" s="675">
        <v>42855</v>
      </c>
      <c r="E31" s="662"/>
      <c r="F31" s="661">
        <v>3446</v>
      </c>
      <c r="G31" s="661">
        <v>3446</v>
      </c>
      <c r="H31" s="661">
        <v>3446</v>
      </c>
    </row>
    <row r="32" spans="1:8" ht="15" x14ac:dyDescent="0.25">
      <c r="A32" s="647">
        <v>28</v>
      </c>
      <c r="B32" s="659" t="s">
        <v>765</v>
      </c>
      <c r="C32" s="659" t="s">
        <v>813</v>
      </c>
      <c r="D32" s="675">
        <v>42825</v>
      </c>
      <c r="E32" s="662"/>
      <c r="F32" s="661">
        <v>1727</v>
      </c>
      <c r="G32" s="661">
        <v>1727</v>
      </c>
      <c r="H32" s="661">
        <v>1727</v>
      </c>
    </row>
    <row r="33" spans="1:8" ht="15" x14ac:dyDescent="0.25">
      <c r="A33" s="647">
        <v>29</v>
      </c>
      <c r="B33" s="659" t="s">
        <v>814</v>
      </c>
      <c r="C33" s="659" t="s">
        <v>815</v>
      </c>
      <c r="D33" s="675">
        <v>42916</v>
      </c>
      <c r="E33" s="660"/>
      <c r="F33" s="661">
        <v>1270</v>
      </c>
      <c r="G33" s="661">
        <v>1270</v>
      </c>
      <c r="H33" s="661">
        <v>1270</v>
      </c>
    </row>
    <row r="34" spans="1:8" ht="15" x14ac:dyDescent="0.25">
      <c r="A34" s="647">
        <v>30</v>
      </c>
      <c r="B34" s="659"/>
      <c r="C34" s="659" t="s">
        <v>816</v>
      </c>
      <c r="D34" s="675" t="s">
        <v>333</v>
      </c>
      <c r="E34" s="660"/>
      <c r="F34" s="661">
        <v>355</v>
      </c>
      <c r="G34" s="661">
        <v>355</v>
      </c>
      <c r="H34" s="661">
        <v>355</v>
      </c>
    </row>
    <row r="35" spans="1:8" ht="15" x14ac:dyDescent="0.25">
      <c r="A35" s="647">
        <v>31</v>
      </c>
      <c r="B35" s="659"/>
      <c r="C35" s="659" t="s">
        <v>817</v>
      </c>
      <c r="D35" s="675" t="s">
        <v>333</v>
      </c>
      <c r="E35" s="660"/>
      <c r="F35" s="661">
        <v>321</v>
      </c>
      <c r="G35" s="661">
        <v>321</v>
      </c>
      <c r="H35" s="661">
        <v>321</v>
      </c>
    </row>
    <row r="36" spans="1:8" ht="15" x14ac:dyDescent="0.25">
      <c r="A36" s="647">
        <v>32</v>
      </c>
      <c r="B36" s="659"/>
      <c r="C36" s="659" t="s">
        <v>818</v>
      </c>
      <c r="D36" s="675" t="s">
        <v>333</v>
      </c>
      <c r="E36" s="660"/>
      <c r="F36" s="661">
        <v>458</v>
      </c>
      <c r="G36" s="661">
        <v>458</v>
      </c>
      <c r="H36" s="661">
        <v>458</v>
      </c>
    </row>
    <row r="37" spans="1:8" ht="15" x14ac:dyDescent="0.25">
      <c r="A37" s="647">
        <v>33</v>
      </c>
      <c r="B37" s="659" t="s">
        <v>893</v>
      </c>
      <c r="C37" s="659" t="s">
        <v>894</v>
      </c>
      <c r="D37" s="675" t="s">
        <v>333</v>
      </c>
      <c r="E37" s="660"/>
      <c r="F37" s="661">
        <v>131</v>
      </c>
      <c r="G37" s="661">
        <v>131</v>
      </c>
      <c r="H37" s="661">
        <v>131</v>
      </c>
    </row>
    <row r="38" spans="1:8" ht="30" x14ac:dyDescent="0.25">
      <c r="A38" s="647">
        <v>34</v>
      </c>
      <c r="B38" s="659" t="s">
        <v>895</v>
      </c>
      <c r="C38" s="727" t="s">
        <v>896</v>
      </c>
      <c r="D38" s="675" t="s">
        <v>333</v>
      </c>
      <c r="E38" s="660"/>
      <c r="F38" s="661">
        <v>686</v>
      </c>
      <c r="G38" s="661">
        <v>686</v>
      </c>
      <c r="H38" s="661">
        <v>686</v>
      </c>
    </row>
    <row r="39" spans="1:8" ht="15" x14ac:dyDescent="0.25">
      <c r="A39" s="647"/>
      <c r="B39" s="659"/>
      <c r="C39" s="727" t="s">
        <v>897</v>
      </c>
      <c r="D39" s="675" t="s">
        <v>333</v>
      </c>
      <c r="E39" s="660"/>
      <c r="F39" s="661">
        <v>550</v>
      </c>
      <c r="G39" s="661">
        <v>550</v>
      </c>
      <c r="H39" s="661">
        <v>550</v>
      </c>
    </row>
    <row r="40" spans="1:8" ht="15" x14ac:dyDescent="0.25">
      <c r="A40" s="647"/>
      <c r="B40" s="659"/>
      <c r="C40" s="727" t="s">
        <v>892</v>
      </c>
      <c r="D40" s="675" t="s">
        <v>333</v>
      </c>
      <c r="E40" s="660"/>
      <c r="F40" s="661">
        <v>4000</v>
      </c>
      <c r="G40" s="661">
        <v>4000</v>
      </c>
      <c r="H40" s="661">
        <v>4000</v>
      </c>
    </row>
    <row r="41" spans="1:8" ht="15.75" x14ac:dyDescent="0.25">
      <c r="E41" s="677">
        <v>5934</v>
      </c>
      <c r="F41" s="677">
        <f>SUM(F11:F40)</f>
        <v>27136</v>
      </c>
      <c r="G41" s="677">
        <f>SUM(G11:G40)</f>
        <v>27136</v>
      </c>
      <c r="H41" s="677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7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484" t="s">
        <v>1256</v>
      </c>
      <c r="B1" s="1484"/>
      <c r="C1" s="1484"/>
      <c r="D1" s="1484"/>
      <c r="E1" s="1484"/>
      <c r="F1" s="1484"/>
      <c r="G1" s="1484"/>
      <c r="H1" s="1484"/>
    </row>
    <row r="2" spans="1:8" x14ac:dyDescent="0.2">
      <c r="A2" s="792"/>
      <c r="B2" s="792"/>
      <c r="C2" s="792"/>
      <c r="D2" s="793"/>
      <c r="E2" s="792"/>
      <c r="F2" s="792"/>
      <c r="G2" s="792"/>
      <c r="H2" s="792"/>
    </row>
    <row r="3" spans="1:8" x14ac:dyDescent="0.2">
      <c r="A3" s="1488" t="s">
        <v>77</v>
      </c>
      <c r="B3" s="1488"/>
      <c r="C3" s="1488"/>
      <c r="D3" s="1488"/>
      <c r="E3" s="1488"/>
      <c r="F3" s="1488"/>
      <c r="G3" s="1488"/>
      <c r="H3" s="1488"/>
    </row>
    <row r="4" spans="1:8" ht="14.25" x14ac:dyDescent="0.2">
      <c r="A4" s="1476" t="s">
        <v>317</v>
      </c>
      <c r="B4" s="1476"/>
      <c r="C4" s="1476"/>
      <c r="D4" s="1476"/>
      <c r="E4" s="1476"/>
      <c r="F4" s="1476"/>
      <c r="G4" s="1476"/>
      <c r="H4" s="1476"/>
    </row>
    <row r="5" spans="1:8" ht="14.25" x14ac:dyDescent="0.2">
      <c r="A5" s="1476" t="s">
        <v>1060</v>
      </c>
      <c r="B5" s="1476"/>
      <c r="C5" s="1476"/>
      <c r="D5" s="1476"/>
      <c r="E5" s="1476"/>
      <c r="F5" s="1476"/>
      <c r="G5" s="1476"/>
      <c r="H5" s="1476"/>
    </row>
    <row r="6" spans="1:8" ht="14.25" x14ac:dyDescent="0.2">
      <c r="A6" s="1477" t="s">
        <v>55</v>
      </c>
      <c r="B6" s="1477"/>
      <c r="C6" s="1477"/>
      <c r="D6" s="1477"/>
      <c r="E6" s="1477"/>
      <c r="F6" s="1477"/>
      <c r="G6" s="1477"/>
      <c r="H6" s="1477"/>
    </row>
    <row r="7" spans="1:8" ht="15" x14ac:dyDescent="0.25">
      <c r="A7" s="988"/>
      <c r="B7" s="989"/>
      <c r="C7" s="989"/>
      <c r="D7" s="989"/>
      <c r="E7" s="989"/>
      <c r="F7" s="792"/>
      <c r="G7" s="792"/>
      <c r="H7" s="792"/>
    </row>
    <row r="8" spans="1:8" ht="14.25" customHeight="1" x14ac:dyDescent="0.2">
      <c r="A8" s="1485"/>
      <c r="B8" s="990" t="s">
        <v>57</v>
      </c>
      <c r="C8" s="990" t="s">
        <v>58</v>
      </c>
      <c r="D8" s="990" t="s">
        <v>59</v>
      </c>
      <c r="E8" s="990" t="s">
        <v>60</v>
      </c>
      <c r="F8" s="991" t="s">
        <v>471</v>
      </c>
      <c r="G8" s="991" t="s">
        <v>472</v>
      </c>
      <c r="H8" s="991" t="s">
        <v>473</v>
      </c>
    </row>
    <row r="9" spans="1:8" ht="14.25" customHeight="1" x14ac:dyDescent="0.2">
      <c r="A9" s="1485"/>
      <c r="B9" s="1486" t="s">
        <v>319</v>
      </c>
      <c r="C9" s="1487" t="s">
        <v>320</v>
      </c>
      <c r="D9" s="1487" t="s">
        <v>321</v>
      </c>
      <c r="E9" s="992"/>
      <c r="F9" s="993"/>
      <c r="G9" s="994"/>
      <c r="H9" s="994"/>
    </row>
    <row r="10" spans="1:8" ht="14.25" customHeight="1" x14ac:dyDescent="0.2">
      <c r="A10" s="1485"/>
      <c r="B10" s="1486"/>
      <c r="C10" s="1487"/>
      <c r="D10" s="1487"/>
      <c r="E10" s="995" t="s">
        <v>937</v>
      </c>
      <c r="F10" s="996" t="s">
        <v>1250</v>
      </c>
      <c r="G10" s="997" t="s">
        <v>1061</v>
      </c>
      <c r="H10" s="997" t="s">
        <v>1247</v>
      </c>
    </row>
    <row r="11" spans="1:8" ht="15" x14ac:dyDescent="0.25">
      <c r="A11" s="399"/>
      <c r="B11" s="435" t="s">
        <v>327</v>
      </c>
      <c r="C11" s="436"/>
      <c r="D11" s="436"/>
      <c r="E11" s="792"/>
      <c r="F11" s="792"/>
      <c r="G11" s="792"/>
      <c r="H11" s="792"/>
    </row>
    <row r="12" spans="1:8" ht="15" x14ac:dyDescent="0.25">
      <c r="A12" s="998">
        <v>1</v>
      </c>
      <c r="B12" s="999" t="s">
        <v>331</v>
      </c>
      <c r="C12" s="1000" t="s">
        <v>330</v>
      </c>
      <c r="D12" s="1001" t="s">
        <v>333</v>
      </c>
      <c r="E12" s="1002">
        <v>300</v>
      </c>
      <c r="F12" s="1002">
        <v>300</v>
      </c>
      <c r="G12" s="1002">
        <v>300</v>
      </c>
      <c r="H12" s="1002">
        <v>300</v>
      </c>
    </row>
    <row r="13" spans="1:8" ht="15" x14ac:dyDescent="0.25">
      <c r="A13" s="998">
        <v>2</v>
      </c>
      <c r="B13" s="1003" t="s">
        <v>334</v>
      </c>
      <c r="C13" s="1004" t="s">
        <v>335</v>
      </c>
      <c r="D13" s="1001" t="s">
        <v>333</v>
      </c>
      <c r="E13" s="1005">
        <v>100</v>
      </c>
      <c r="F13" s="1005">
        <v>100</v>
      </c>
      <c r="G13" s="1005">
        <v>100</v>
      </c>
      <c r="H13" s="1005">
        <v>100</v>
      </c>
    </row>
    <row r="14" spans="1:8" ht="15" x14ac:dyDescent="0.25">
      <c r="A14" s="998">
        <v>3</v>
      </c>
      <c r="B14" s="1003" t="s">
        <v>338</v>
      </c>
      <c r="C14" s="1004" t="s">
        <v>717</v>
      </c>
      <c r="D14" s="1001" t="s">
        <v>333</v>
      </c>
      <c r="E14" s="1005">
        <v>24241</v>
      </c>
      <c r="F14" s="1005">
        <v>24241</v>
      </c>
      <c r="G14" s="1005">
        <v>24241</v>
      </c>
      <c r="H14" s="1005">
        <v>24241</v>
      </c>
    </row>
    <row r="15" spans="1:8" ht="15" x14ac:dyDescent="0.25">
      <c r="A15" s="998">
        <v>4</v>
      </c>
      <c r="B15" s="1003" t="s">
        <v>338</v>
      </c>
      <c r="C15" s="1004" t="s">
        <v>718</v>
      </c>
      <c r="D15" s="1001" t="s">
        <v>333</v>
      </c>
      <c r="E15" s="1005">
        <v>27321</v>
      </c>
      <c r="F15" s="1005">
        <v>27321</v>
      </c>
      <c r="G15" s="1005">
        <v>27321</v>
      </c>
      <c r="H15" s="1005">
        <v>27321</v>
      </c>
    </row>
    <row r="16" spans="1:8" ht="15" x14ac:dyDescent="0.25">
      <c r="A16" s="998">
        <v>5</v>
      </c>
      <c r="B16" s="1003" t="s">
        <v>346</v>
      </c>
      <c r="C16" s="1004" t="s">
        <v>347</v>
      </c>
      <c r="D16" s="1001" t="s">
        <v>333</v>
      </c>
      <c r="E16" s="1005">
        <v>10</v>
      </c>
      <c r="F16" s="1005">
        <v>10</v>
      </c>
      <c r="G16" s="1005">
        <v>10</v>
      </c>
      <c r="H16" s="1005">
        <v>10</v>
      </c>
    </row>
    <row r="17" spans="1:19" ht="15" x14ac:dyDescent="0.25">
      <c r="A17" s="998">
        <v>6</v>
      </c>
      <c r="B17" s="1003" t="s">
        <v>719</v>
      </c>
      <c r="C17" s="1004" t="s">
        <v>720</v>
      </c>
      <c r="D17" s="1006" t="s">
        <v>333</v>
      </c>
      <c r="E17" s="1005">
        <v>62</v>
      </c>
      <c r="F17" s="1005">
        <v>62</v>
      </c>
      <c r="G17" s="1005">
        <v>62</v>
      </c>
      <c r="H17" s="1005">
        <v>62</v>
      </c>
    </row>
    <row r="18" spans="1:19" ht="15" x14ac:dyDescent="0.25">
      <c r="A18" s="998">
        <v>7</v>
      </c>
      <c r="B18" s="1003" t="s">
        <v>721</v>
      </c>
      <c r="C18" s="1004" t="s">
        <v>722</v>
      </c>
      <c r="D18" s="1006" t="s">
        <v>333</v>
      </c>
      <c r="E18" s="1005">
        <v>900</v>
      </c>
      <c r="F18" s="1005">
        <v>900</v>
      </c>
      <c r="G18" s="1005">
        <v>900</v>
      </c>
      <c r="H18" s="1005">
        <v>900</v>
      </c>
    </row>
    <row r="19" spans="1:19" ht="15" x14ac:dyDescent="0.25">
      <c r="A19" s="998">
        <v>8</v>
      </c>
      <c r="B19" s="1003" t="s">
        <v>723</v>
      </c>
      <c r="C19" s="1004" t="s">
        <v>724</v>
      </c>
      <c r="D19" s="1006" t="s">
        <v>333</v>
      </c>
      <c r="E19" s="1005">
        <v>1190</v>
      </c>
      <c r="F19" s="1005">
        <v>1190</v>
      </c>
      <c r="G19" s="1005">
        <v>1190</v>
      </c>
      <c r="H19" s="1005">
        <v>1190</v>
      </c>
    </row>
    <row r="20" spans="1:19" ht="15" x14ac:dyDescent="0.25">
      <c r="A20" s="998">
        <v>9</v>
      </c>
      <c r="B20" s="1003" t="s">
        <v>358</v>
      </c>
      <c r="C20" s="1004" t="s">
        <v>725</v>
      </c>
      <c r="D20" s="1006" t="s">
        <v>333</v>
      </c>
      <c r="E20" s="1005">
        <v>1600</v>
      </c>
      <c r="F20" s="1005">
        <v>1600</v>
      </c>
      <c r="G20" s="1005">
        <v>1600</v>
      </c>
      <c r="H20" s="1005">
        <v>1600</v>
      </c>
    </row>
    <row r="21" spans="1:19" ht="31.5" customHeight="1" x14ac:dyDescent="0.25">
      <c r="A21" s="998">
        <v>10</v>
      </c>
      <c r="B21" s="1007" t="s">
        <v>726</v>
      </c>
      <c r="C21" s="1008" t="s">
        <v>727</v>
      </c>
      <c r="D21" s="1009" t="s">
        <v>333</v>
      </c>
      <c r="E21" s="1010">
        <v>35</v>
      </c>
      <c r="F21" s="1010">
        <v>35</v>
      </c>
      <c r="G21" s="1010">
        <v>35</v>
      </c>
      <c r="H21" s="1010">
        <v>35</v>
      </c>
    </row>
    <row r="22" spans="1:19" ht="15" x14ac:dyDescent="0.25">
      <c r="A22" s="998">
        <f>A21+1</f>
        <v>11</v>
      </c>
      <c r="B22" s="1004"/>
      <c r="C22" s="1004" t="s">
        <v>728</v>
      </c>
      <c r="D22" s="1001"/>
      <c r="E22" s="1005">
        <v>1844</v>
      </c>
      <c r="F22" s="1005">
        <v>1844</v>
      </c>
      <c r="G22" s="1005">
        <v>1844</v>
      </c>
      <c r="H22" s="1005">
        <v>1844</v>
      </c>
    </row>
    <row r="23" spans="1:19" ht="15" x14ac:dyDescent="0.25">
      <c r="A23" s="998">
        <v>12</v>
      </c>
      <c r="B23" s="1003" t="s">
        <v>957</v>
      </c>
      <c r="C23" s="1004" t="s">
        <v>954</v>
      </c>
      <c r="D23" s="1001" t="s">
        <v>333</v>
      </c>
      <c r="E23" s="1005">
        <v>900</v>
      </c>
      <c r="F23" s="1005">
        <v>900</v>
      </c>
      <c r="G23" s="1005">
        <v>900</v>
      </c>
      <c r="H23" s="1005">
        <v>900</v>
      </c>
    </row>
    <row r="24" spans="1:19" ht="31.5" customHeight="1" x14ac:dyDescent="0.25">
      <c r="A24" s="998">
        <f t="shared" ref="A24:A68" si="0">A23+1</f>
        <v>13</v>
      </c>
      <c r="B24" s="659" t="s">
        <v>382</v>
      </c>
      <c r="C24" s="1011" t="s">
        <v>383</v>
      </c>
      <c r="D24" s="1012" t="s">
        <v>333</v>
      </c>
      <c r="E24" s="1013">
        <v>40</v>
      </c>
      <c r="F24" s="1013">
        <v>40</v>
      </c>
      <c r="G24" s="1013">
        <v>40</v>
      </c>
      <c r="H24" s="1013">
        <v>40</v>
      </c>
    </row>
    <row r="25" spans="1:19" ht="30" customHeight="1" x14ac:dyDescent="0.25">
      <c r="A25" s="998">
        <f t="shared" si="0"/>
        <v>14</v>
      </c>
      <c r="B25" s="659" t="s">
        <v>386</v>
      </c>
      <c r="C25" s="1011" t="s">
        <v>729</v>
      </c>
      <c r="D25" s="1012" t="s">
        <v>333</v>
      </c>
      <c r="E25" s="1014">
        <v>210</v>
      </c>
      <c r="F25" s="1014">
        <v>210</v>
      </c>
      <c r="G25" s="1014">
        <v>210</v>
      </c>
      <c r="H25" s="1014">
        <v>210</v>
      </c>
    </row>
    <row r="26" spans="1:19" ht="27" customHeight="1" x14ac:dyDescent="0.25">
      <c r="A26" s="998">
        <f t="shared" si="0"/>
        <v>15</v>
      </c>
      <c r="B26" s="1007" t="s">
        <v>388</v>
      </c>
      <c r="C26" s="1008" t="s">
        <v>730</v>
      </c>
      <c r="D26" s="1009" t="s">
        <v>333</v>
      </c>
      <c r="E26" s="1010">
        <v>199</v>
      </c>
      <c r="F26" s="1010">
        <v>199</v>
      </c>
      <c r="G26" s="1010">
        <v>199</v>
      </c>
      <c r="H26" s="1010">
        <v>199</v>
      </c>
    </row>
    <row r="27" spans="1:19" ht="26.25" customHeight="1" x14ac:dyDescent="0.25">
      <c r="A27" s="998">
        <f t="shared" si="0"/>
        <v>16</v>
      </c>
      <c r="B27" s="1007" t="s">
        <v>390</v>
      </c>
      <c r="C27" s="1008" t="s">
        <v>391</v>
      </c>
      <c r="D27" s="1009" t="s">
        <v>333</v>
      </c>
      <c r="E27" s="1010">
        <v>1863</v>
      </c>
      <c r="F27" s="1010">
        <v>1863</v>
      </c>
      <c r="G27" s="1010">
        <v>1863</v>
      </c>
      <c r="H27" s="1010">
        <v>1863</v>
      </c>
    </row>
    <row r="28" spans="1:19" s="1016" customFormat="1" ht="30" customHeight="1" x14ac:dyDescent="0.25">
      <c r="A28" s="998">
        <f t="shared" si="0"/>
        <v>17</v>
      </c>
      <c r="B28" s="659" t="s">
        <v>1062</v>
      </c>
      <c r="C28" s="1015" t="s">
        <v>1063</v>
      </c>
      <c r="D28" s="1012" t="s">
        <v>333</v>
      </c>
      <c r="E28" s="662">
        <v>5985</v>
      </c>
      <c r="F28" s="662">
        <v>5985</v>
      </c>
      <c r="G28" s="662">
        <v>5985</v>
      </c>
      <c r="H28" s="662">
        <v>5985</v>
      </c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</row>
    <row r="29" spans="1:19" ht="15" x14ac:dyDescent="0.25">
      <c r="A29" s="998">
        <f t="shared" si="0"/>
        <v>18</v>
      </c>
      <c r="B29" s="1004" t="s">
        <v>398</v>
      </c>
      <c r="C29" s="1004" t="s">
        <v>731</v>
      </c>
      <c r="D29" s="1001" t="s">
        <v>333</v>
      </c>
      <c r="E29" s="1005">
        <v>36</v>
      </c>
      <c r="F29" s="1005">
        <v>36</v>
      </c>
      <c r="G29" s="1005">
        <v>36</v>
      </c>
      <c r="H29" s="1005">
        <v>36</v>
      </c>
    </row>
    <row r="30" spans="1:19" ht="27" customHeight="1" x14ac:dyDescent="0.25">
      <c r="A30" s="998">
        <f t="shared" si="0"/>
        <v>19</v>
      </c>
      <c r="B30" s="659"/>
      <c r="C30" s="1015" t="s">
        <v>732</v>
      </c>
      <c r="D30" s="1012" t="s">
        <v>333</v>
      </c>
      <c r="E30" s="1014">
        <v>15</v>
      </c>
      <c r="F30" s="1014">
        <v>15</v>
      </c>
      <c r="G30" s="1014">
        <v>15</v>
      </c>
      <c r="H30" s="1014">
        <v>15</v>
      </c>
    </row>
    <row r="31" spans="1:19" ht="35.25" customHeight="1" x14ac:dyDescent="0.25">
      <c r="A31" s="998">
        <f t="shared" si="0"/>
        <v>20</v>
      </c>
      <c r="B31" s="659" t="s">
        <v>404</v>
      </c>
      <c r="C31" s="1015" t="s">
        <v>405</v>
      </c>
      <c r="D31" s="1012">
        <v>43497</v>
      </c>
      <c r="E31" s="662">
        <v>3553</v>
      </c>
      <c r="F31" s="662">
        <v>3553</v>
      </c>
      <c r="G31" s="662">
        <v>3553</v>
      </c>
      <c r="H31" s="662">
        <v>3553</v>
      </c>
    </row>
    <row r="32" spans="1:19" ht="30.75" customHeight="1" x14ac:dyDescent="0.25">
      <c r="A32" s="998">
        <f t="shared" si="0"/>
        <v>21</v>
      </c>
      <c r="B32" s="659" t="s">
        <v>733</v>
      </c>
      <c r="C32" s="1015" t="s">
        <v>1064</v>
      </c>
      <c r="D32" s="1012" t="s">
        <v>333</v>
      </c>
      <c r="E32" s="662">
        <v>1920</v>
      </c>
      <c r="F32" s="662">
        <v>1920</v>
      </c>
      <c r="G32" s="662">
        <v>1920</v>
      </c>
      <c r="H32" s="662">
        <v>1920</v>
      </c>
    </row>
    <row r="33" spans="1:19" s="1016" customFormat="1" ht="27.75" customHeight="1" x14ac:dyDescent="0.25">
      <c r="A33" s="998">
        <f t="shared" si="0"/>
        <v>22</v>
      </c>
      <c r="B33" s="659" t="s">
        <v>733</v>
      </c>
      <c r="C33" s="1015" t="s">
        <v>1065</v>
      </c>
      <c r="D33" s="1012" t="s">
        <v>333</v>
      </c>
      <c r="E33" s="662">
        <v>1800</v>
      </c>
      <c r="F33" s="662">
        <v>1800</v>
      </c>
      <c r="G33" s="662">
        <v>1800</v>
      </c>
      <c r="H33" s="662">
        <v>1800</v>
      </c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</row>
    <row r="34" spans="1:19" ht="27.75" customHeight="1" x14ac:dyDescent="0.25">
      <c r="A34" s="998">
        <f t="shared" si="0"/>
        <v>23</v>
      </c>
      <c r="B34" s="659" t="s">
        <v>734</v>
      </c>
      <c r="C34" s="1015" t="s">
        <v>735</v>
      </c>
      <c r="D34" s="1012" t="s">
        <v>333</v>
      </c>
      <c r="E34" s="662">
        <v>30</v>
      </c>
      <c r="F34" s="662">
        <v>30</v>
      </c>
      <c r="G34" s="662">
        <v>30</v>
      </c>
      <c r="H34" s="662">
        <v>30</v>
      </c>
    </row>
    <row r="35" spans="1:19" ht="21.75" customHeight="1" x14ac:dyDescent="0.25">
      <c r="A35" s="998">
        <f t="shared" si="0"/>
        <v>24</v>
      </c>
      <c r="B35" s="659" t="s">
        <v>736</v>
      </c>
      <c r="C35" s="1015" t="s">
        <v>737</v>
      </c>
      <c r="D35" s="1012">
        <v>44196</v>
      </c>
      <c r="E35" s="662">
        <v>153</v>
      </c>
      <c r="F35" s="662">
        <v>153</v>
      </c>
      <c r="G35" s="662">
        <v>153</v>
      </c>
      <c r="H35" s="662">
        <v>153</v>
      </c>
    </row>
    <row r="36" spans="1:19" ht="24.75" customHeight="1" x14ac:dyDescent="0.25">
      <c r="A36" s="998">
        <f t="shared" si="0"/>
        <v>25</v>
      </c>
      <c r="B36" s="659" t="s">
        <v>738</v>
      </c>
      <c r="C36" s="1015" t="s">
        <v>739</v>
      </c>
      <c r="D36" s="1012" t="s">
        <v>333</v>
      </c>
      <c r="E36" s="662">
        <v>457</v>
      </c>
      <c r="F36" s="662">
        <v>457</v>
      </c>
      <c r="G36" s="662">
        <v>457</v>
      </c>
      <c r="H36" s="662">
        <v>457</v>
      </c>
    </row>
    <row r="37" spans="1:19" ht="28.5" customHeight="1" x14ac:dyDescent="0.25">
      <c r="A37" s="998">
        <f t="shared" si="0"/>
        <v>26</v>
      </c>
      <c r="B37" s="659" t="s">
        <v>740</v>
      </c>
      <c r="C37" s="1015" t="s">
        <v>936</v>
      </c>
      <c r="D37" s="1012" t="s">
        <v>333</v>
      </c>
      <c r="E37" s="662">
        <v>198</v>
      </c>
      <c r="F37" s="662">
        <v>198</v>
      </c>
      <c r="G37" s="662">
        <v>198</v>
      </c>
      <c r="H37" s="662">
        <v>198</v>
      </c>
    </row>
    <row r="38" spans="1:19" ht="36" customHeight="1" x14ac:dyDescent="0.25">
      <c r="A38" s="998">
        <f t="shared" si="0"/>
        <v>27</v>
      </c>
      <c r="B38" s="659" t="s">
        <v>741</v>
      </c>
      <c r="C38" s="1015" t="s">
        <v>742</v>
      </c>
      <c r="D38" s="1012" t="s">
        <v>333</v>
      </c>
      <c r="E38" s="662">
        <v>217</v>
      </c>
      <c r="F38" s="662">
        <v>217</v>
      </c>
      <c r="G38" s="662">
        <v>217</v>
      </c>
      <c r="H38" s="662">
        <v>217</v>
      </c>
    </row>
    <row r="39" spans="1:19" ht="26.25" customHeight="1" x14ac:dyDescent="0.25">
      <c r="A39" s="998">
        <f t="shared" si="0"/>
        <v>28</v>
      </c>
      <c r="B39" s="659" t="s">
        <v>122</v>
      </c>
      <c r="C39" s="1015" t="s">
        <v>743</v>
      </c>
      <c r="D39" s="1012" t="s">
        <v>333</v>
      </c>
      <c r="E39" s="662">
        <v>1200</v>
      </c>
      <c r="F39" s="662">
        <v>1200</v>
      </c>
      <c r="G39" s="662">
        <v>1200</v>
      </c>
      <c r="H39" s="662">
        <v>1200</v>
      </c>
    </row>
    <row r="40" spans="1:19" ht="30.75" customHeight="1" x14ac:dyDescent="0.25">
      <c r="A40" s="998">
        <f t="shared" si="0"/>
        <v>29</v>
      </c>
      <c r="B40" s="659" t="s">
        <v>744</v>
      </c>
      <c r="C40" s="1015" t="s">
        <v>745</v>
      </c>
      <c r="D40" s="1012">
        <v>43709</v>
      </c>
      <c r="E40" s="662">
        <v>2439</v>
      </c>
      <c r="F40" s="662">
        <v>2439</v>
      </c>
      <c r="G40" s="662">
        <v>2439</v>
      </c>
      <c r="H40" s="662">
        <v>2439</v>
      </c>
    </row>
    <row r="41" spans="1:19" ht="36" customHeight="1" x14ac:dyDescent="0.25">
      <c r="A41" s="998">
        <f t="shared" si="0"/>
        <v>30</v>
      </c>
      <c r="B41" s="1017" t="s">
        <v>746</v>
      </c>
      <c r="C41" s="1015" t="s">
        <v>747</v>
      </c>
      <c r="D41" s="1012" t="s">
        <v>333</v>
      </c>
      <c r="E41" s="661">
        <v>508</v>
      </c>
      <c r="F41" s="661">
        <v>508</v>
      </c>
      <c r="G41" s="661">
        <v>508</v>
      </c>
      <c r="H41" s="661">
        <v>508</v>
      </c>
    </row>
    <row r="42" spans="1:19" ht="30" customHeight="1" x14ac:dyDescent="0.25">
      <c r="A42" s="998">
        <f t="shared" si="0"/>
        <v>31</v>
      </c>
      <c r="B42" s="1017"/>
      <c r="C42" s="1015" t="s">
        <v>748</v>
      </c>
      <c r="D42" s="1012" t="s">
        <v>333</v>
      </c>
      <c r="E42" s="661">
        <v>230</v>
      </c>
      <c r="F42" s="661">
        <v>230</v>
      </c>
      <c r="G42" s="661">
        <v>230</v>
      </c>
      <c r="H42" s="661">
        <v>230</v>
      </c>
    </row>
    <row r="43" spans="1:19" ht="15" x14ac:dyDescent="0.25">
      <c r="A43" s="998">
        <v>32</v>
      </c>
      <c r="B43" s="659" t="s">
        <v>1066</v>
      </c>
      <c r="C43" s="659" t="s">
        <v>749</v>
      </c>
      <c r="D43" s="1012">
        <v>43251</v>
      </c>
      <c r="E43" s="661">
        <v>302</v>
      </c>
      <c r="F43" s="661">
        <v>302</v>
      </c>
      <c r="G43" s="661">
        <v>302</v>
      </c>
      <c r="H43" s="661">
        <v>302</v>
      </c>
    </row>
    <row r="44" spans="1:19" ht="15" x14ac:dyDescent="0.25">
      <c r="A44" s="998">
        <v>33</v>
      </c>
      <c r="B44" s="659" t="s">
        <v>750</v>
      </c>
      <c r="C44" s="659" t="s">
        <v>751</v>
      </c>
      <c r="D44" s="1012" t="s">
        <v>1067</v>
      </c>
      <c r="E44" s="661">
        <v>10672</v>
      </c>
      <c r="F44" s="661">
        <v>10672</v>
      </c>
      <c r="G44" s="661">
        <v>10672</v>
      </c>
      <c r="H44" s="661"/>
    </row>
    <row r="45" spans="1:19" ht="15" x14ac:dyDescent="0.25">
      <c r="A45" s="998">
        <f t="shared" si="0"/>
        <v>34</v>
      </c>
      <c r="B45" s="659" t="s">
        <v>752</v>
      </c>
      <c r="C45" s="659" t="s">
        <v>753</v>
      </c>
      <c r="D45" s="1012" t="s">
        <v>333</v>
      </c>
      <c r="E45" s="661">
        <v>5760</v>
      </c>
      <c r="F45" s="661">
        <v>5760</v>
      </c>
      <c r="G45" s="661">
        <v>5760</v>
      </c>
      <c r="H45" s="661">
        <v>5760</v>
      </c>
    </row>
    <row r="46" spans="1:19" ht="15" x14ac:dyDescent="0.25">
      <c r="A46" s="998">
        <f t="shared" si="0"/>
        <v>35</v>
      </c>
      <c r="B46" s="659" t="s">
        <v>754</v>
      </c>
      <c r="C46" s="659" t="s">
        <v>755</v>
      </c>
      <c r="D46" s="1012" t="s">
        <v>333</v>
      </c>
      <c r="E46" s="661">
        <v>3658</v>
      </c>
      <c r="F46" s="661">
        <v>3658</v>
      </c>
      <c r="G46" s="661">
        <v>3658</v>
      </c>
      <c r="H46" s="661">
        <v>3658</v>
      </c>
    </row>
    <row r="47" spans="1:19" ht="15" x14ac:dyDescent="0.25">
      <c r="A47" s="998">
        <f t="shared" si="0"/>
        <v>36</v>
      </c>
      <c r="B47" s="659" t="s">
        <v>110</v>
      </c>
      <c r="C47" s="659" t="s">
        <v>757</v>
      </c>
      <c r="D47" s="1012" t="s">
        <v>333</v>
      </c>
      <c r="E47" s="661">
        <v>242</v>
      </c>
      <c r="F47" s="661">
        <v>242</v>
      </c>
      <c r="G47" s="661">
        <v>242</v>
      </c>
      <c r="H47" s="661">
        <v>242</v>
      </c>
    </row>
    <row r="48" spans="1:19" ht="15" x14ac:dyDescent="0.25">
      <c r="A48" s="998">
        <f t="shared" si="0"/>
        <v>37</v>
      </c>
      <c r="B48" s="659" t="s">
        <v>758</v>
      </c>
      <c r="C48" s="659" t="s">
        <v>759</v>
      </c>
      <c r="D48" s="1012" t="s">
        <v>333</v>
      </c>
      <c r="E48" s="661">
        <v>993</v>
      </c>
      <c r="F48" s="661">
        <v>993</v>
      </c>
      <c r="G48" s="661">
        <v>993</v>
      </c>
      <c r="H48" s="661">
        <v>993</v>
      </c>
    </row>
    <row r="49" spans="1:11" ht="30" x14ac:dyDescent="0.25">
      <c r="A49" s="998">
        <f t="shared" si="0"/>
        <v>38</v>
      </c>
      <c r="B49" s="1017" t="s">
        <v>760</v>
      </c>
      <c r="C49" s="1015" t="s">
        <v>761</v>
      </c>
      <c r="D49" s="1012" t="s">
        <v>333</v>
      </c>
      <c r="E49" s="661">
        <v>38</v>
      </c>
      <c r="F49" s="661">
        <v>38</v>
      </c>
      <c r="G49" s="661">
        <v>38</v>
      </c>
      <c r="H49" s="661">
        <v>38</v>
      </c>
    </row>
    <row r="50" spans="1:11" ht="15" customHeight="1" x14ac:dyDescent="0.25">
      <c r="A50" s="998">
        <f t="shared" si="0"/>
        <v>39</v>
      </c>
      <c r="B50" s="659"/>
      <c r="C50" s="659" t="s">
        <v>762</v>
      </c>
      <c r="D50" s="1012" t="s">
        <v>333</v>
      </c>
      <c r="E50" s="661">
        <v>45</v>
      </c>
      <c r="F50" s="661">
        <v>45</v>
      </c>
      <c r="G50" s="661">
        <v>45</v>
      </c>
      <c r="H50" s="661">
        <v>45</v>
      </c>
    </row>
    <row r="51" spans="1:11" ht="15" x14ac:dyDescent="0.25">
      <c r="A51" s="998">
        <f t="shared" si="0"/>
        <v>40</v>
      </c>
      <c r="B51" s="659" t="s">
        <v>1068</v>
      </c>
      <c r="C51" s="659" t="s">
        <v>763</v>
      </c>
      <c r="D51" s="1012">
        <v>43190</v>
      </c>
      <c r="E51" s="661">
        <v>610</v>
      </c>
      <c r="F51" s="661">
        <v>610</v>
      </c>
      <c r="G51" s="661">
        <v>610</v>
      </c>
      <c r="H51" s="661">
        <v>610</v>
      </c>
    </row>
    <row r="52" spans="1:11" ht="15" x14ac:dyDescent="0.25">
      <c r="A52" s="998">
        <f t="shared" si="0"/>
        <v>41</v>
      </c>
      <c r="B52" s="659" t="s">
        <v>1069</v>
      </c>
      <c r="C52" s="659" t="s">
        <v>764</v>
      </c>
      <c r="D52" s="1012">
        <v>43190</v>
      </c>
      <c r="E52" s="661">
        <v>610</v>
      </c>
      <c r="F52" s="661">
        <v>610</v>
      </c>
      <c r="G52" s="661">
        <v>610</v>
      </c>
      <c r="H52" s="661">
        <v>610</v>
      </c>
    </row>
    <row r="53" spans="1:11" ht="15" x14ac:dyDescent="0.25">
      <c r="A53" s="998">
        <f t="shared" si="0"/>
        <v>42</v>
      </c>
      <c r="B53" s="659" t="s">
        <v>765</v>
      </c>
      <c r="C53" s="659" t="s">
        <v>766</v>
      </c>
      <c r="D53" s="1012">
        <v>42825</v>
      </c>
      <c r="E53" s="661">
        <v>210</v>
      </c>
      <c r="F53" s="661">
        <v>210</v>
      </c>
      <c r="G53" s="661">
        <v>210</v>
      </c>
      <c r="H53" s="661">
        <v>210</v>
      </c>
    </row>
    <row r="54" spans="1:11" ht="15" x14ac:dyDescent="0.25">
      <c r="A54" s="998">
        <f t="shared" si="0"/>
        <v>43</v>
      </c>
      <c r="B54" s="659" t="s">
        <v>767</v>
      </c>
      <c r="C54" s="659" t="s">
        <v>768</v>
      </c>
      <c r="D54" s="1012">
        <v>42855</v>
      </c>
      <c r="E54" s="661">
        <v>972</v>
      </c>
      <c r="F54" s="661">
        <v>972</v>
      </c>
      <c r="G54" s="661">
        <v>972</v>
      </c>
      <c r="H54" s="661">
        <v>972</v>
      </c>
    </row>
    <row r="55" spans="1:11" ht="15" x14ac:dyDescent="0.25">
      <c r="A55" s="998">
        <f t="shared" si="0"/>
        <v>44</v>
      </c>
      <c r="B55" s="659" t="s">
        <v>756</v>
      </c>
      <c r="C55" s="659" t="s">
        <v>769</v>
      </c>
      <c r="D55" s="1012" t="s">
        <v>333</v>
      </c>
      <c r="E55" s="661">
        <v>486</v>
      </c>
      <c r="F55" s="661">
        <v>486</v>
      </c>
      <c r="G55" s="661">
        <v>486</v>
      </c>
      <c r="H55" s="661">
        <v>486</v>
      </c>
    </row>
    <row r="56" spans="1:11" ht="15.75" x14ac:dyDescent="0.25">
      <c r="A56" s="998">
        <v>45</v>
      </c>
      <c r="B56" s="1018"/>
      <c r="C56" s="659" t="s">
        <v>770</v>
      </c>
      <c r="D56" s="1019" t="s">
        <v>333</v>
      </c>
      <c r="E56" s="661">
        <v>175</v>
      </c>
      <c r="F56" s="661">
        <v>175</v>
      </c>
      <c r="G56" s="661">
        <v>175</v>
      </c>
      <c r="H56" s="661">
        <v>175</v>
      </c>
    </row>
    <row r="57" spans="1:11" ht="15.75" x14ac:dyDescent="0.25">
      <c r="A57" s="998">
        <f t="shared" si="0"/>
        <v>46</v>
      </c>
      <c r="B57" s="1018"/>
      <c r="C57" s="659" t="s">
        <v>771</v>
      </c>
      <c r="D57" s="1019" t="s">
        <v>333</v>
      </c>
      <c r="E57" s="661">
        <v>55</v>
      </c>
      <c r="F57" s="661">
        <v>55</v>
      </c>
      <c r="G57" s="661">
        <v>55</v>
      </c>
      <c r="H57" s="661">
        <v>55</v>
      </c>
    </row>
    <row r="58" spans="1:11" ht="15" x14ac:dyDescent="0.25">
      <c r="A58" s="998">
        <f t="shared" si="0"/>
        <v>47</v>
      </c>
      <c r="B58" s="1018"/>
      <c r="C58" s="659" t="s">
        <v>772</v>
      </c>
      <c r="D58" s="1020">
        <v>45291</v>
      </c>
      <c r="E58" s="661">
        <v>19500</v>
      </c>
      <c r="F58" s="661">
        <v>19500</v>
      </c>
      <c r="G58" s="661">
        <v>19500</v>
      </c>
      <c r="H58" s="661">
        <v>19500</v>
      </c>
    </row>
    <row r="59" spans="1:11" ht="15.75" x14ac:dyDescent="0.25">
      <c r="A59" s="998">
        <f t="shared" si="0"/>
        <v>48</v>
      </c>
      <c r="B59" s="1018"/>
      <c r="C59" s="659" t="s">
        <v>773</v>
      </c>
      <c r="D59" s="1019" t="s">
        <v>333</v>
      </c>
      <c r="E59" s="661">
        <v>37</v>
      </c>
      <c r="F59" s="661">
        <v>37</v>
      </c>
      <c r="G59" s="661">
        <v>37</v>
      </c>
      <c r="H59" s="661">
        <v>37</v>
      </c>
    </row>
    <row r="60" spans="1:11" ht="15.75" x14ac:dyDescent="0.25">
      <c r="A60" s="998">
        <f t="shared" si="0"/>
        <v>49</v>
      </c>
      <c r="B60" s="1018"/>
      <c r="C60" s="659" t="s">
        <v>774</v>
      </c>
      <c r="D60" s="1019" t="s">
        <v>333</v>
      </c>
      <c r="E60" s="661">
        <v>53</v>
      </c>
      <c r="F60" s="661">
        <v>53</v>
      </c>
      <c r="G60" s="661">
        <v>53</v>
      </c>
      <c r="H60" s="661">
        <v>53</v>
      </c>
      <c r="K60" s="661"/>
    </row>
    <row r="61" spans="1:11" ht="15.75" x14ac:dyDescent="0.25">
      <c r="A61" s="998">
        <f t="shared" si="0"/>
        <v>50</v>
      </c>
      <c r="B61" s="1018"/>
      <c r="C61" s="659" t="s">
        <v>775</v>
      </c>
      <c r="D61" s="1019" t="s">
        <v>333</v>
      </c>
      <c r="E61" s="661">
        <v>104</v>
      </c>
      <c r="F61" s="661">
        <v>104</v>
      </c>
      <c r="G61" s="661">
        <v>104</v>
      </c>
      <c r="H61" s="661">
        <v>104</v>
      </c>
    </row>
    <row r="62" spans="1:11" ht="15.75" x14ac:dyDescent="0.25">
      <c r="A62" s="998">
        <f t="shared" si="0"/>
        <v>51</v>
      </c>
      <c r="B62" s="1018"/>
      <c r="C62" s="659" t="s">
        <v>776</v>
      </c>
      <c r="D62" s="1019" t="s">
        <v>333</v>
      </c>
      <c r="E62" s="661">
        <v>192</v>
      </c>
      <c r="F62" s="661">
        <v>192</v>
      </c>
      <c r="G62" s="661">
        <v>192</v>
      </c>
      <c r="H62" s="661">
        <v>192</v>
      </c>
    </row>
    <row r="63" spans="1:11" ht="15.75" x14ac:dyDescent="0.25">
      <c r="A63" s="998">
        <f t="shared" si="0"/>
        <v>52</v>
      </c>
      <c r="B63" s="1018"/>
      <c r="C63" s="659" t="s">
        <v>777</v>
      </c>
      <c r="D63" s="1019" t="s">
        <v>333</v>
      </c>
      <c r="E63" s="661">
        <v>134</v>
      </c>
      <c r="F63" s="661">
        <v>134</v>
      </c>
      <c r="G63" s="661">
        <v>134</v>
      </c>
      <c r="H63" s="661">
        <v>134</v>
      </c>
    </row>
    <row r="64" spans="1:11" ht="15.75" x14ac:dyDescent="0.25">
      <c r="A64" s="998">
        <f t="shared" si="0"/>
        <v>53</v>
      </c>
      <c r="B64" s="1018"/>
      <c r="C64" s="659" t="s">
        <v>778</v>
      </c>
      <c r="D64" s="1019" t="s">
        <v>333</v>
      </c>
      <c r="E64" s="661">
        <v>159</v>
      </c>
      <c r="F64" s="661">
        <v>159</v>
      </c>
      <c r="G64" s="661">
        <v>159</v>
      </c>
      <c r="H64" s="661">
        <v>159</v>
      </c>
    </row>
    <row r="65" spans="1:11" ht="15" x14ac:dyDescent="0.25">
      <c r="A65" s="998">
        <f t="shared" si="0"/>
        <v>54</v>
      </c>
      <c r="B65" s="1021">
        <v>68360</v>
      </c>
      <c r="C65" s="659" t="s">
        <v>938</v>
      </c>
      <c r="D65" s="1022" t="s">
        <v>333</v>
      </c>
      <c r="E65" s="661">
        <v>1844</v>
      </c>
      <c r="F65" s="661">
        <v>1844</v>
      </c>
      <c r="G65" s="661">
        <v>1844</v>
      </c>
      <c r="H65" s="661">
        <v>1844</v>
      </c>
    </row>
    <row r="66" spans="1:11" ht="15" x14ac:dyDescent="0.25">
      <c r="A66" s="998">
        <f t="shared" si="0"/>
        <v>55</v>
      </c>
      <c r="B66" s="1023" t="s">
        <v>888</v>
      </c>
      <c r="C66" s="659" t="s">
        <v>889</v>
      </c>
      <c r="D66" s="1020">
        <v>43465</v>
      </c>
      <c r="E66" s="661">
        <v>21000</v>
      </c>
      <c r="F66" s="661">
        <v>21000</v>
      </c>
      <c r="G66" s="661">
        <v>21000</v>
      </c>
      <c r="H66" s="661">
        <v>21000</v>
      </c>
    </row>
    <row r="67" spans="1:11" ht="15" x14ac:dyDescent="0.25">
      <c r="A67" s="998">
        <f t="shared" si="0"/>
        <v>56</v>
      </c>
      <c r="B67" s="1023" t="s">
        <v>890</v>
      </c>
      <c r="C67" s="659" t="s">
        <v>891</v>
      </c>
      <c r="D67" s="1022" t="s">
        <v>333</v>
      </c>
      <c r="E67" s="661">
        <v>31000</v>
      </c>
      <c r="F67" s="661">
        <v>31000</v>
      </c>
      <c r="G67" s="661">
        <v>31000</v>
      </c>
      <c r="H67" s="661">
        <v>31000</v>
      </c>
      <c r="I67" s="792"/>
    </row>
    <row r="68" spans="1:11" ht="15" x14ac:dyDescent="0.25">
      <c r="A68" s="998">
        <f t="shared" si="0"/>
        <v>57</v>
      </c>
      <c r="B68" s="1024"/>
      <c r="C68" s="659" t="s">
        <v>892</v>
      </c>
      <c r="D68" s="1022" t="s">
        <v>333</v>
      </c>
      <c r="E68" s="661">
        <v>732</v>
      </c>
      <c r="F68" s="661">
        <v>732</v>
      </c>
      <c r="G68" s="661">
        <v>732</v>
      </c>
      <c r="H68" s="661">
        <v>732</v>
      </c>
      <c r="I68" s="792"/>
    </row>
    <row r="69" spans="1:11" ht="15" x14ac:dyDescent="0.25">
      <c r="A69" s="998">
        <v>61</v>
      </c>
      <c r="B69" s="1023" t="s">
        <v>955</v>
      </c>
      <c r="C69" s="659" t="s">
        <v>956</v>
      </c>
      <c r="D69" s="1022" t="s">
        <v>333</v>
      </c>
      <c r="E69" s="661">
        <v>3277</v>
      </c>
      <c r="F69" s="661">
        <v>3277</v>
      </c>
      <c r="G69" s="661">
        <v>3277</v>
      </c>
      <c r="H69" s="661">
        <v>3277</v>
      </c>
      <c r="I69" s="792"/>
    </row>
    <row r="70" spans="1:11" ht="30" x14ac:dyDescent="0.25">
      <c r="A70" s="998">
        <v>62</v>
      </c>
      <c r="B70" s="1023" t="s">
        <v>1070</v>
      </c>
      <c r="C70" s="727" t="s">
        <v>1071</v>
      </c>
      <c r="D70" s="1022" t="s">
        <v>333</v>
      </c>
      <c r="E70" s="661">
        <v>600</v>
      </c>
      <c r="F70" s="661">
        <v>600</v>
      </c>
      <c r="G70" s="661">
        <v>600</v>
      </c>
      <c r="H70" s="661">
        <v>600</v>
      </c>
      <c r="I70" s="792"/>
      <c r="J70" s="792"/>
      <c r="K70" s="792"/>
    </row>
    <row r="71" spans="1:11" ht="15" x14ac:dyDescent="0.25">
      <c r="A71" s="998">
        <v>63</v>
      </c>
      <c r="B71" s="1023" t="s">
        <v>1072</v>
      </c>
      <c r="C71" s="659" t="s">
        <v>1073</v>
      </c>
      <c r="D71" s="1022" t="s">
        <v>333</v>
      </c>
      <c r="E71" s="661">
        <v>283</v>
      </c>
      <c r="F71" s="661">
        <v>283</v>
      </c>
      <c r="G71" s="661">
        <v>283</v>
      </c>
      <c r="H71" s="661">
        <v>283</v>
      </c>
      <c r="I71" s="1025"/>
      <c r="J71" s="1025"/>
      <c r="K71" s="1025"/>
    </row>
    <row r="72" spans="1:11" ht="15" x14ac:dyDescent="0.25">
      <c r="A72" s="998">
        <v>64</v>
      </c>
      <c r="B72" s="1023" t="s">
        <v>1074</v>
      </c>
      <c r="C72" s="659" t="s">
        <v>1075</v>
      </c>
      <c r="D72" s="1020">
        <v>46727</v>
      </c>
      <c r="E72" s="661"/>
      <c r="F72" s="661"/>
      <c r="G72" s="661">
        <v>155396</v>
      </c>
      <c r="H72" s="661">
        <v>155396</v>
      </c>
      <c r="I72" s="1025"/>
      <c r="J72" s="1025"/>
      <c r="K72" s="1025"/>
    </row>
    <row r="73" spans="1:11" ht="15" x14ac:dyDescent="0.25">
      <c r="A73" s="998">
        <v>65</v>
      </c>
      <c r="B73" s="1023" t="s">
        <v>1076</v>
      </c>
      <c r="C73" s="659" t="s">
        <v>1077</v>
      </c>
      <c r="D73" s="1020" t="s">
        <v>333</v>
      </c>
      <c r="E73" s="661">
        <v>3000</v>
      </c>
      <c r="F73" s="661">
        <v>3000</v>
      </c>
      <c r="G73" s="661">
        <v>3000</v>
      </c>
      <c r="H73" s="661">
        <v>3000</v>
      </c>
      <c r="I73" s="1025"/>
      <c r="J73" s="1025"/>
      <c r="K73" s="1025"/>
    </row>
    <row r="74" spans="1:11" ht="15" x14ac:dyDescent="0.25">
      <c r="A74" s="998">
        <v>66</v>
      </c>
      <c r="B74" s="1023" t="s">
        <v>1078</v>
      </c>
      <c r="C74" s="659" t="s">
        <v>1079</v>
      </c>
      <c r="D74" s="1020">
        <v>44105</v>
      </c>
      <c r="E74" s="661">
        <v>350</v>
      </c>
      <c r="F74" s="661">
        <v>350</v>
      </c>
      <c r="G74" s="661">
        <v>263</v>
      </c>
      <c r="H74" s="661">
        <v>0</v>
      </c>
      <c r="I74" s="1025"/>
      <c r="J74" s="1025"/>
      <c r="K74" s="1025"/>
    </row>
    <row r="75" spans="1:11" ht="15.75" x14ac:dyDescent="0.25">
      <c r="A75" s="998"/>
      <c r="B75" s="1018"/>
      <c r="C75" s="1018"/>
      <c r="D75" s="1026"/>
      <c r="E75" s="1027">
        <f>SUM(E11:E74)</f>
        <v>186649</v>
      </c>
      <c r="F75" s="1028">
        <f>SUM(F12:F74)</f>
        <v>186649</v>
      </c>
      <c r="G75" s="1028">
        <f>SUM(G12:G74)</f>
        <v>341958</v>
      </c>
      <c r="H75" s="1028">
        <f>SUM(H12:H74)</f>
        <v>331023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89" customWidth="1"/>
    <col min="2" max="2" width="27.7109375" style="401" customWidth="1"/>
    <col min="3" max="3" width="47.85546875" style="401" customWidth="1"/>
    <col min="4" max="4" width="9.140625" style="390"/>
    <col min="5" max="5" width="8.7109375" style="401" bestFit="1" customWidth="1"/>
    <col min="6" max="6" width="8.42578125" style="401" bestFit="1" customWidth="1"/>
    <col min="7" max="7" width="8.7109375" style="401" customWidth="1"/>
    <col min="8" max="8" width="8.85546875" style="401" customWidth="1"/>
    <col min="9" max="9" width="9.140625" style="401"/>
    <col min="10" max="16384" width="9.140625" style="392"/>
  </cols>
  <sheetData>
    <row r="1" spans="1:11" ht="14.1" customHeight="1" x14ac:dyDescent="0.25">
      <c r="C1" s="1493" t="s">
        <v>160</v>
      </c>
      <c r="D1" s="1493"/>
      <c r="E1" s="1493"/>
      <c r="F1" s="1493"/>
      <c r="G1" s="1493"/>
      <c r="H1" s="1493"/>
    </row>
    <row r="2" spans="1:11" ht="20.100000000000001" customHeight="1" x14ac:dyDescent="0.25">
      <c r="A2" s="1476" t="s">
        <v>317</v>
      </c>
      <c r="B2" s="1494"/>
      <c r="C2" s="1494"/>
      <c r="D2" s="1494"/>
      <c r="E2" s="1494"/>
      <c r="F2" s="1494"/>
      <c r="G2" s="1494"/>
      <c r="H2" s="1494"/>
    </row>
    <row r="3" spans="1:11" ht="14.1" customHeight="1" x14ac:dyDescent="0.25">
      <c r="A3" s="1476" t="s">
        <v>318</v>
      </c>
      <c r="B3" s="1494"/>
      <c r="C3" s="1494"/>
      <c r="D3" s="1494"/>
      <c r="E3" s="1494"/>
      <c r="F3" s="1494"/>
      <c r="G3" s="1494"/>
      <c r="H3" s="1494"/>
    </row>
    <row r="4" spans="1:11" ht="14.1" customHeight="1" x14ac:dyDescent="0.25">
      <c r="A4" s="1477" t="s">
        <v>55</v>
      </c>
      <c r="B4" s="1495"/>
      <c r="C4" s="1495"/>
      <c r="D4" s="1495"/>
      <c r="E4" s="1495"/>
      <c r="F4" s="1495"/>
      <c r="G4" s="1495"/>
      <c r="H4" s="1495"/>
    </row>
    <row r="5" spans="1:11" ht="14.1" customHeight="1" x14ac:dyDescent="0.25">
      <c r="A5" s="388"/>
      <c r="B5" s="389"/>
      <c r="C5" s="389"/>
      <c r="D5" s="389"/>
      <c r="E5" s="389"/>
      <c r="F5" s="389"/>
      <c r="G5" s="389"/>
      <c r="H5" s="389"/>
    </row>
    <row r="6" spans="1:11" ht="14.1" customHeight="1" x14ac:dyDescent="0.25">
      <c r="A6" s="1485"/>
      <c r="B6" s="391" t="s">
        <v>57</v>
      </c>
      <c r="C6" s="391" t="s">
        <v>58</v>
      </c>
      <c r="D6" s="391" t="s">
        <v>59</v>
      </c>
      <c r="E6" s="391" t="s">
        <v>60</v>
      </c>
      <c r="F6" s="391" t="s">
        <v>471</v>
      </c>
      <c r="G6" s="391" t="s">
        <v>472</v>
      </c>
      <c r="H6" s="391" t="s">
        <v>473</v>
      </c>
      <c r="I6" s="391" t="s">
        <v>594</v>
      </c>
    </row>
    <row r="7" spans="1:11" s="431" customFormat="1" ht="13.5" customHeight="1" x14ac:dyDescent="0.25">
      <c r="A7" s="1485"/>
      <c r="B7" s="1492" t="s">
        <v>319</v>
      </c>
      <c r="C7" s="1496" t="s">
        <v>320</v>
      </c>
      <c r="D7" s="1496" t="s">
        <v>321</v>
      </c>
      <c r="E7" s="1490" t="s">
        <v>322</v>
      </c>
      <c r="F7" s="1491"/>
      <c r="G7" s="1491"/>
      <c r="H7" s="1491"/>
      <c r="I7" s="1492"/>
      <c r="J7" s="430"/>
      <c r="K7" s="430"/>
    </row>
    <row r="8" spans="1:11" s="431" customFormat="1" ht="13.5" customHeight="1" x14ac:dyDescent="0.25">
      <c r="A8" s="1485"/>
      <c r="B8" s="1492"/>
      <c r="C8" s="1496"/>
      <c r="D8" s="1496"/>
      <c r="E8" s="432" t="s">
        <v>323</v>
      </c>
      <c r="F8" s="432" t="s">
        <v>324</v>
      </c>
      <c r="G8" s="432" t="s">
        <v>325</v>
      </c>
      <c r="H8" s="433" t="s">
        <v>326</v>
      </c>
      <c r="I8" s="432" t="s">
        <v>157</v>
      </c>
      <c r="J8" s="434"/>
      <c r="K8" s="434"/>
    </row>
    <row r="9" spans="1:11" s="431" customFormat="1" ht="13.5" customHeight="1" x14ac:dyDescent="0.25">
      <c r="A9" s="399" t="s">
        <v>480</v>
      </c>
      <c r="B9" s="435" t="s">
        <v>327</v>
      </c>
      <c r="C9" s="436"/>
      <c r="D9" s="437"/>
      <c r="E9" s="436"/>
      <c r="F9" s="436"/>
      <c r="G9" s="436"/>
      <c r="H9" s="436"/>
      <c r="I9" s="387"/>
    </row>
    <row r="10" spans="1:11" ht="13.5" customHeight="1" x14ac:dyDescent="0.25">
      <c r="A10" s="399" t="s">
        <v>488</v>
      </c>
      <c r="B10" s="438" t="s">
        <v>328</v>
      </c>
    </row>
    <row r="11" spans="1:11" ht="13.5" customHeight="1" x14ac:dyDescent="0.25">
      <c r="A11" s="399" t="s">
        <v>489</v>
      </c>
      <c r="B11" s="421" t="s">
        <v>329</v>
      </c>
      <c r="C11" s="422" t="s">
        <v>330</v>
      </c>
      <c r="D11" s="423"/>
      <c r="E11" s="422"/>
      <c r="F11" s="422"/>
      <c r="G11" s="422"/>
      <c r="H11" s="422"/>
    </row>
    <row r="12" spans="1:11" ht="13.5" customHeight="1" x14ac:dyDescent="0.25">
      <c r="A12" s="399" t="s">
        <v>490</v>
      </c>
      <c r="B12" s="421" t="s">
        <v>331</v>
      </c>
      <c r="C12" s="422" t="s">
        <v>332</v>
      </c>
      <c r="D12" s="390" t="s">
        <v>333</v>
      </c>
      <c r="E12" s="424">
        <v>300</v>
      </c>
      <c r="F12" s="424">
        <v>300</v>
      </c>
      <c r="G12" s="424">
        <v>300</v>
      </c>
      <c r="H12" s="424">
        <v>300</v>
      </c>
    </row>
    <row r="13" spans="1:11" ht="13.5" customHeight="1" x14ac:dyDescent="0.25">
      <c r="A13" s="399" t="s">
        <v>491</v>
      </c>
      <c r="B13" s="400" t="s">
        <v>334</v>
      </c>
      <c r="C13" s="401" t="s">
        <v>335</v>
      </c>
      <c r="D13" s="390" t="s">
        <v>333</v>
      </c>
      <c r="E13" s="398">
        <v>100</v>
      </c>
      <c r="F13" s="398">
        <v>100</v>
      </c>
      <c r="G13" s="398">
        <v>100</v>
      </c>
      <c r="H13" s="398">
        <v>100</v>
      </c>
      <c r="I13" s="401">
        <v>100</v>
      </c>
    </row>
    <row r="14" spans="1:11" ht="13.5" customHeight="1" x14ac:dyDescent="0.25">
      <c r="A14" s="399" t="s">
        <v>492</v>
      </c>
      <c r="B14" s="400" t="s">
        <v>336</v>
      </c>
      <c r="C14" s="401" t="s">
        <v>337</v>
      </c>
      <c r="D14" s="390" t="s">
        <v>333</v>
      </c>
      <c r="E14" s="398">
        <v>24554</v>
      </c>
      <c r="F14" s="398">
        <v>19393</v>
      </c>
      <c r="G14" s="398"/>
      <c r="H14" s="398">
        <v>24241</v>
      </c>
      <c r="I14" s="401">
        <v>24250</v>
      </c>
    </row>
    <row r="15" spans="1:11" ht="13.5" customHeight="1" x14ac:dyDescent="0.25">
      <c r="A15" s="399" t="s">
        <v>493</v>
      </c>
      <c r="B15" s="400" t="s">
        <v>338</v>
      </c>
      <c r="C15" s="401" t="s">
        <v>339</v>
      </c>
      <c r="D15" s="390" t="s">
        <v>333</v>
      </c>
      <c r="E15" s="398"/>
      <c r="F15" s="398"/>
      <c r="G15" s="398"/>
      <c r="H15" s="398"/>
    </row>
    <row r="16" spans="1:11" ht="13.5" customHeight="1" x14ac:dyDescent="0.25">
      <c r="A16" s="399" t="s">
        <v>494</v>
      </c>
      <c r="B16" s="400" t="s">
        <v>340</v>
      </c>
      <c r="C16" s="401" t="s">
        <v>341</v>
      </c>
      <c r="D16" s="390" t="s">
        <v>333</v>
      </c>
      <c r="E16" s="398">
        <v>17280</v>
      </c>
      <c r="F16" s="398">
        <v>17280</v>
      </c>
      <c r="G16" s="398">
        <v>17280</v>
      </c>
      <c r="H16" s="398">
        <v>17280</v>
      </c>
      <c r="I16" s="401">
        <v>17280</v>
      </c>
    </row>
    <row r="17" spans="1:13" ht="13.5" customHeight="1" x14ac:dyDescent="0.25">
      <c r="A17" s="399" t="s">
        <v>495</v>
      </c>
      <c r="B17" s="400" t="s">
        <v>342</v>
      </c>
      <c r="C17" s="401" t="s">
        <v>343</v>
      </c>
      <c r="D17" s="390" t="s">
        <v>333</v>
      </c>
      <c r="E17" s="398">
        <v>32739</v>
      </c>
      <c r="F17" s="398">
        <v>25858</v>
      </c>
      <c r="G17" s="398"/>
      <c r="H17" s="398">
        <v>27321</v>
      </c>
      <c r="I17" s="401">
        <v>27350</v>
      </c>
    </row>
    <row r="18" spans="1:13" ht="13.5" customHeight="1" x14ac:dyDescent="0.25">
      <c r="A18" s="399" t="s">
        <v>531</v>
      </c>
      <c r="B18" s="400"/>
      <c r="C18" s="401" t="s">
        <v>344</v>
      </c>
      <c r="D18" s="390" t="s">
        <v>333</v>
      </c>
      <c r="E18" s="398"/>
      <c r="F18" s="398"/>
      <c r="G18" s="398"/>
      <c r="H18" s="398"/>
    </row>
    <row r="19" spans="1:13" ht="13.5" customHeight="1" x14ac:dyDescent="0.25">
      <c r="A19" s="399" t="s">
        <v>532</v>
      </c>
      <c r="B19" s="400"/>
      <c r="C19" s="401" t="s">
        <v>345</v>
      </c>
      <c r="D19" s="390" t="s">
        <v>333</v>
      </c>
      <c r="E19" s="398">
        <v>23050</v>
      </c>
      <c r="F19" s="398">
        <v>23050</v>
      </c>
      <c r="G19" s="398">
        <v>23050</v>
      </c>
      <c r="H19" s="398">
        <v>23050</v>
      </c>
      <c r="I19" s="401">
        <v>23050</v>
      </c>
    </row>
    <row r="20" spans="1:13" ht="18" customHeight="1" x14ac:dyDescent="0.25">
      <c r="A20" s="399" t="s">
        <v>533</v>
      </c>
      <c r="B20" s="400" t="s">
        <v>346</v>
      </c>
      <c r="C20" s="401" t="s">
        <v>347</v>
      </c>
      <c r="D20" s="390" t="s">
        <v>333</v>
      </c>
      <c r="E20" s="398">
        <v>9</v>
      </c>
      <c r="F20" s="398">
        <v>9</v>
      </c>
      <c r="G20" s="398">
        <v>9</v>
      </c>
      <c r="H20" s="398">
        <v>9</v>
      </c>
      <c r="I20" s="401">
        <v>9</v>
      </c>
    </row>
    <row r="21" spans="1:13" ht="13.5" customHeight="1" x14ac:dyDescent="0.25">
      <c r="A21" s="399" t="s">
        <v>534</v>
      </c>
      <c r="B21" s="400" t="s">
        <v>348</v>
      </c>
      <c r="C21" s="401" t="s">
        <v>349</v>
      </c>
      <c r="D21" s="390" t="s">
        <v>333</v>
      </c>
      <c r="E21" s="398">
        <v>50</v>
      </c>
      <c r="F21" s="398">
        <v>50</v>
      </c>
      <c r="G21" s="398">
        <v>50</v>
      </c>
      <c r="H21" s="398">
        <v>100</v>
      </c>
      <c r="I21" s="401">
        <v>100</v>
      </c>
    </row>
    <row r="22" spans="1:13" ht="21" customHeight="1" x14ac:dyDescent="0.25">
      <c r="A22" s="399" t="s">
        <v>535</v>
      </c>
      <c r="B22" s="400" t="s">
        <v>350</v>
      </c>
      <c r="C22" s="401" t="s">
        <v>351</v>
      </c>
      <c r="D22" s="402" t="s">
        <v>333</v>
      </c>
      <c r="E22" s="398">
        <v>875</v>
      </c>
      <c r="F22" s="398">
        <v>875</v>
      </c>
      <c r="G22" s="398">
        <v>875</v>
      </c>
      <c r="H22" s="398">
        <v>875</v>
      </c>
      <c r="I22" s="401">
        <v>875</v>
      </c>
    </row>
    <row r="23" spans="1:13" s="394" customFormat="1" ht="30" x14ac:dyDescent="0.25">
      <c r="A23" s="399" t="s">
        <v>536</v>
      </c>
      <c r="B23" s="403" t="s">
        <v>352</v>
      </c>
      <c r="C23" s="425" t="s">
        <v>353</v>
      </c>
      <c r="D23" s="405" t="s">
        <v>333</v>
      </c>
      <c r="E23" s="426">
        <v>129</v>
      </c>
      <c r="F23" s="426">
        <v>129</v>
      </c>
      <c r="G23" s="426">
        <v>129</v>
      </c>
      <c r="H23" s="426">
        <v>193</v>
      </c>
      <c r="I23" s="411">
        <v>193</v>
      </c>
      <c r="J23" s="418"/>
      <c r="K23" s="427"/>
      <c r="M23" s="428"/>
    </row>
    <row r="24" spans="1:13" ht="17.25" customHeight="1" x14ac:dyDescent="0.25">
      <c r="A24" s="399" t="s">
        <v>537</v>
      </c>
      <c r="B24" s="400" t="s">
        <v>108</v>
      </c>
      <c r="C24" s="401" t="s">
        <v>354</v>
      </c>
      <c r="D24" s="402" t="s">
        <v>333</v>
      </c>
      <c r="E24" s="398">
        <v>125</v>
      </c>
      <c r="F24" s="398">
        <v>125</v>
      </c>
      <c r="G24" s="398">
        <v>125</v>
      </c>
      <c r="H24" s="398">
        <v>147</v>
      </c>
      <c r="I24" s="401">
        <v>147</v>
      </c>
    </row>
    <row r="25" spans="1:13" ht="15.75" customHeight="1" x14ac:dyDescent="0.25">
      <c r="A25" s="399" t="s">
        <v>538</v>
      </c>
      <c r="B25" s="400"/>
      <c r="C25" s="401" t="s">
        <v>355</v>
      </c>
      <c r="D25" s="402" t="s">
        <v>333</v>
      </c>
      <c r="E25" s="398">
        <v>54</v>
      </c>
      <c r="F25" s="398">
        <v>54</v>
      </c>
      <c r="G25" s="398">
        <v>54</v>
      </c>
      <c r="H25" s="398">
        <v>54</v>
      </c>
      <c r="I25" s="401">
        <v>54</v>
      </c>
    </row>
    <row r="26" spans="1:13" ht="13.5" customHeight="1" x14ac:dyDescent="0.25">
      <c r="A26" s="399" t="s">
        <v>540</v>
      </c>
      <c r="B26" s="400" t="s">
        <v>356</v>
      </c>
      <c r="C26" s="401" t="s">
        <v>357</v>
      </c>
      <c r="D26" s="402" t="s">
        <v>333</v>
      </c>
      <c r="E26" s="398">
        <v>100</v>
      </c>
      <c r="F26" s="398">
        <v>100</v>
      </c>
      <c r="G26" s="398">
        <v>100</v>
      </c>
      <c r="H26" s="398">
        <v>100</v>
      </c>
      <c r="I26" s="401">
        <v>100</v>
      </c>
    </row>
    <row r="27" spans="1:13" ht="13.5" customHeight="1" x14ac:dyDescent="0.25">
      <c r="A27" s="399" t="s">
        <v>541</v>
      </c>
      <c r="B27" s="400" t="s">
        <v>358</v>
      </c>
      <c r="C27" s="401" t="s">
        <v>359</v>
      </c>
      <c r="D27" s="402" t="s">
        <v>333</v>
      </c>
      <c r="E27" s="398">
        <v>1575</v>
      </c>
      <c r="F27" s="398">
        <v>1575</v>
      </c>
      <c r="G27" s="398">
        <v>1575</v>
      </c>
      <c r="H27" s="398">
        <v>1575</v>
      </c>
      <c r="I27" s="401">
        <v>1575</v>
      </c>
    </row>
    <row r="28" spans="1:13" ht="13.5" customHeight="1" x14ac:dyDescent="0.25">
      <c r="A28" s="399" t="s">
        <v>542</v>
      </c>
      <c r="B28" s="400" t="s">
        <v>360</v>
      </c>
      <c r="C28" s="401" t="s">
        <v>361</v>
      </c>
      <c r="D28" s="402" t="s">
        <v>333</v>
      </c>
      <c r="E28" s="398">
        <v>60</v>
      </c>
      <c r="F28" s="398">
        <v>60</v>
      </c>
      <c r="G28" s="398">
        <v>60</v>
      </c>
      <c r="H28" s="398">
        <v>60</v>
      </c>
      <c r="I28" s="401">
        <v>60</v>
      </c>
    </row>
    <row r="29" spans="1:13" ht="13.5" customHeight="1" x14ac:dyDescent="0.25">
      <c r="A29" s="399" t="s">
        <v>543</v>
      </c>
      <c r="B29" s="400" t="s">
        <v>362</v>
      </c>
      <c r="C29" s="401" t="s">
        <v>363</v>
      </c>
      <c r="D29" s="390" t="s">
        <v>333</v>
      </c>
      <c r="E29" s="398">
        <v>2900</v>
      </c>
      <c r="F29" s="398">
        <v>2900</v>
      </c>
      <c r="G29" s="398">
        <v>2900</v>
      </c>
      <c r="H29" s="398">
        <v>2000</v>
      </c>
      <c r="I29" s="401">
        <v>2000</v>
      </c>
    </row>
    <row r="30" spans="1:13" ht="18" customHeight="1" x14ac:dyDescent="0.25">
      <c r="A30" s="399" t="s">
        <v>544</v>
      </c>
      <c r="B30" s="403" t="s">
        <v>364</v>
      </c>
      <c r="C30" s="404" t="s">
        <v>365</v>
      </c>
      <c r="D30" s="405" t="s">
        <v>333</v>
      </c>
      <c r="E30" s="406">
        <v>383</v>
      </c>
      <c r="F30" s="406">
        <v>383</v>
      </c>
      <c r="G30" s="406">
        <v>383</v>
      </c>
      <c r="H30" s="406">
        <v>250</v>
      </c>
      <c r="I30" s="401">
        <v>250</v>
      </c>
    </row>
    <row r="31" spans="1:13" ht="18" customHeight="1" x14ac:dyDescent="0.25">
      <c r="A31" s="399" t="s">
        <v>545</v>
      </c>
      <c r="B31" s="403"/>
      <c r="C31" s="404" t="s">
        <v>109</v>
      </c>
      <c r="D31" s="405"/>
      <c r="E31" s="406"/>
      <c r="F31" s="406"/>
      <c r="G31" s="406"/>
      <c r="H31" s="406">
        <v>2980</v>
      </c>
      <c r="I31" s="401">
        <v>2980</v>
      </c>
    </row>
    <row r="32" spans="1:13" ht="18" customHeight="1" x14ac:dyDescent="0.25">
      <c r="A32" s="399" t="s">
        <v>546</v>
      </c>
      <c r="B32" s="403" t="s">
        <v>110</v>
      </c>
      <c r="C32" s="404" t="s">
        <v>111</v>
      </c>
      <c r="D32" s="405" t="s">
        <v>333</v>
      </c>
      <c r="E32" s="406"/>
      <c r="F32" s="406"/>
      <c r="G32" s="406">
        <v>248</v>
      </c>
      <c r="H32" s="406">
        <v>248</v>
      </c>
      <c r="I32" s="401">
        <v>248</v>
      </c>
    </row>
    <row r="33" spans="1:13" ht="15.75" x14ac:dyDescent="0.25">
      <c r="A33" s="399" t="s">
        <v>547</v>
      </c>
      <c r="B33" s="401" t="s">
        <v>366</v>
      </c>
      <c r="C33" s="401" t="s">
        <v>367</v>
      </c>
      <c r="D33" s="390" t="s">
        <v>368</v>
      </c>
      <c r="E33" s="401">
        <v>1936</v>
      </c>
      <c r="F33" s="401">
        <v>1718</v>
      </c>
      <c r="G33" s="401">
        <v>1718</v>
      </c>
      <c r="H33" s="401">
        <v>1650</v>
      </c>
      <c r="I33" s="401">
        <v>1650</v>
      </c>
    </row>
    <row r="34" spans="1:13" ht="17.25" customHeight="1" x14ac:dyDescent="0.25">
      <c r="A34" s="399" t="s">
        <v>566</v>
      </c>
      <c r="B34" s="400" t="s">
        <v>369</v>
      </c>
      <c r="C34" s="401" t="s">
        <v>370</v>
      </c>
      <c r="D34" s="390" t="s">
        <v>333</v>
      </c>
      <c r="E34" s="398">
        <v>2500</v>
      </c>
      <c r="F34" s="398">
        <v>2500</v>
      </c>
      <c r="G34" s="398">
        <v>2500</v>
      </c>
      <c r="H34" s="398">
        <v>2500</v>
      </c>
      <c r="I34" s="401">
        <v>2500</v>
      </c>
    </row>
    <row r="35" spans="1:13" ht="20.25" customHeight="1" x14ac:dyDescent="0.25">
      <c r="A35" s="399" t="s">
        <v>567</v>
      </c>
      <c r="B35" s="400" t="s">
        <v>371</v>
      </c>
      <c r="C35" s="401" t="s">
        <v>372</v>
      </c>
      <c r="D35" s="402">
        <v>42124</v>
      </c>
      <c r="E35" s="398">
        <v>1250</v>
      </c>
      <c r="F35" s="398">
        <v>1250</v>
      </c>
      <c r="G35" s="414">
        <v>1250</v>
      </c>
      <c r="H35" s="414">
        <v>312</v>
      </c>
    </row>
    <row r="36" spans="1:13" ht="13.5" customHeight="1" x14ac:dyDescent="0.25">
      <c r="A36" s="399" t="s">
        <v>568</v>
      </c>
      <c r="B36" s="400"/>
      <c r="C36" s="401" t="s">
        <v>373</v>
      </c>
      <c r="D36" s="390" t="s">
        <v>333</v>
      </c>
      <c r="E36" s="398">
        <v>200</v>
      </c>
      <c r="F36" s="398">
        <v>200</v>
      </c>
      <c r="G36" s="398">
        <v>258</v>
      </c>
      <c r="H36" s="398">
        <v>258</v>
      </c>
      <c r="I36" s="401">
        <v>258</v>
      </c>
    </row>
    <row r="37" spans="1:13" ht="13.5" customHeight="1" x14ac:dyDescent="0.25">
      <c r="A37" s="399" t="s">
        <v>569</v>
      </c>
      <c r="B37" s="400" t="s">
        <v>374</v>
      </c>
      <c r="C37" s="401" t="s">
        <v>375</v>
      </c>
      <c r="D37" s="390" t="s">
        <v>333</v>
      </c>
      <c r="E37" s="398">
        <v>994</v>
      </c>
      <c r="F37" s="398">
        <v>994</v>
      </c>
      <c r="G37" s="398">
        <v>994</v>
      </c>
      <c r="H37" s="398">
        <v>994</v>
      </c>
      <c r="I37" s="401">
        <v>971</v>
      </c>
    </row>
    <row r="38" spans="1:13" ht="13.5" customHeight="1" x14ac:dyDescent="0.25">
      <c r="A38" s="399" t="s">
        <v>570</v>
      </c>
      <c r="B38" s="400" t="s">
        <v>112</v>
      </c>
      <c r="C38" s="401" t="s">
        <v>113</v>
      </c>
      <c r="D38" s="390" t="s">
        <v>333</v>
      </c>
      <c r="E38" s="398">
        <v>750</v>
      </c>
      <c r="F38" s="398">
        <v>750</v>
      </c>
      <c r="G38" s="398">
        <v>762</v>
      </c>
      <c r="H38" s="398">
        <v>762</v>
      </c>
      <c r="I38" s="401">
        <v>762</v>
      </c>
    </row>
    <row r="39" spans="1:13" ht="15.75" x14ac:dyDescent="0.25">
      <c r="A39" s="399" t="s">
        <v>571</v>
      </c>
      <c r="B39" s="400" t="s">
        <v>376</v>
      </c>
      <c r="C39" s="401" t="s">
        <v>377</v>
      </c>
      <c r="D39" s="402" t="s">
        <v>333</v>
      </c>
      <c r="E39" s="390">
        <v>330</v>
      </c>
      <c r="F39" s="401">
        <v>330</v>
      </c>
      <c r="G39" s="401">
        <v>330</v>
      </c>
      <c r="H39" s="401">
        <v>330</v>
      </c>
      <c r="I39" s="401">
        <v>330</v>
      </c>
      <c r="K39" s="415"/>
      <c r="M39" s="393"/>
    </row>
    <row r="40" spans="1:13" ht="15.75" x14ac:dyDescent="0.25">
      <c r="A40" s="399" t="s">
        <v>572</v>
      </c>
      <c r="B40" s="400" t="s">
        <v>378</v>
      </c>
      <c r="C40" s="401" t="s">
        <v>379</v>
      </c>
      <c r="D40" s="402" t="s">
        <v>333</v>
      </c>
      <c r="E40" s="390">
        <v>930</v>
      </c>
      <c r="F40" s="401">
        <v>930</v>
      </c>
      <c r="G40" s="401">
        <v>930</v>
      </c>
      <c r="H40" s="401">
        <v>930</v>
      </c>
      <c r="I40" s="401">
        <v>930</v>
      </c>
      <c r="K40" s="415"/>
      <c r="M40" s="393"/>
    </row>
    <row r="41" spans="1:13" ht="15.75" x14ac:dyDescent="0.25">
      <c r="A41" s="399" t="s">
        <v>573</v>
      </c>
      <c r="B41" s="400" t="s">
        <v>114</v>
      </c>
      <c r="C41" s="401" t="s">
        <v>115</v>
      </c>
      <c r="D41" s="402" t="s">
        <v>333</v>
      </c>
      <c r="E41" s="390"/>
      <c r="G41" s="401">
        <v>823</v>
      </c>
      <c r="H41" s="401">
        <v>823</v>
      </c>
      <c r="I41" s="401">
        <v>823</v>
      </c>
      <c r="K41" s="415"/>
      <c r="M41" s="393"/>
    </row>
    <row r="42" spans="1:13" ht="14.1" customHeight="1" x14ac:dyDescent="0.25">
      <c r="A42" s="399" t="s">
        <v>574</v>
      </c>
      <c r="B42" s="401" t="s">
        <v>380</v>
      </c>
      <c r="C42" s="401" t="s">
        <v>381</v>
      </c>
      <c r="D42" s="390" t="s">
        <v>333</v>
      </c>
      <c r="E42" s="401">
        <v>16</v>
      </c>
      <c r="F42" s="401">
        <v>16</v>
      </c>
      <c r="G42" s="401">
        <v>16</v>
      </c>
      <c r="H42" s="401">
        <v>16</v>
      </c>
      <c r="I42" s="401">
        <v>16</v>
      </c>
    </row>
    <row r="43" spans="1:13" s="394" customFormat="1" ht="30" x14ac:dyDescent="0.25">
      <c r="A43" s="399" t="s">
        <v>626</v>
      </c>
      <c r="B43" s="407" t="s">
        <v>382</v>
      </c>
      <c r="C43" s="416" t="s">
        <v>383</v>
      </c>
      <c r="D43" s="409" t="s">
        <v>333</v>
      </c>
      <c r="E43" s="417">
        <v>40</v>
      </c>
      <c r="F43" s="417">
        <v>40</v>
      </c>
      <c r="G43" s="417">
        <v>40</v>
      </c>
      <c r="H43" s="417">
        <v>40</v>
      </c>
      <c r="I43" s="411">
        <v>40</v>
      </c>
      <c r="J43" s="418"/>
      <c r="K43" s="419"/>
      <c r="M43" s="395"/>
    </row>
    <row r="44" spans="1:13" s="394" customFormat="1" ht="18" customHeight="1" x14ac:dyDescent="0.25">
      <c r="A44" s="399" t="s">
        <v>627</v>
      </c>
      <c r="B44" s="407" t="s">
        <v>384</v>
      </c>
      <c r="C44" s="416" t="s">
        <v>385</v>
      </c>
      <c r="D44" s="409" t="s">
        <v>333</v>
      </c>
      <c r="E44" s="417">
        <v>994</v>
      </c>
      <c r="F44" s="417">
        <v>994</v>
      </c>
      <c r="G44" s="417">
        <v>994</v>
      </c>
      <c r="H44" s="411">
        <v>994</v>
      </c>
      <c r="I44" s="411">
        <v>994</v>
      </c>
      <c r="J44" s="418"/>
      <c r="K44" s="419"/>
      <c r="M44" s="395"/>
    </row>
    <row r="45" spans="1:13" s="394" customFormat="1" ht="15.75" x14ac:dyDescent="0.25">
      <c r="A45" s="399" t="s">
        <v>628</v>
      </c>
      <c r="B45" s="407" t="s">
        <v>386</v>
      </c>
      <c r="C45" s="416" t="s">
        <v>387</v>
      </c>
      <c r="D45" s="409" t="s">
        <v>333</v>
      </c>
      <c r="E45" s="417">
        <v>176</v>
      </c>
      <c r="F45" s="417">
        <v>176</v>
      </c>
      <c r="G45" s="417">
        <v>176</v>
      </c>
      <c r="H45" s="411">
        <v>176</v>
      </c>
      <c r="I45" s="411">
        <v>176</v>
      </c>
      <c r="J45" s="418"/>
      <c r="K45" s="419"/>
      <c r="M45" s="395"/>
    </row>
    <row r="46" spans="1:13" ht="13.5" customHeight="1" x14ac:dyDescent="0.25">
      <c r="A46" s="399" t="s">
        <v>629</v>
      </c>
      <c r="B46" s="403" t="s">
        <v>388</v>
      </c>
      <c r="C46" s="404" t="s">
        <v>389</v>
      </c>
      <c r="D46" s="405" t="s">
        <v>333</v>
      </c>
      <c r="E46" s="406">
        <v>199</v>
      </c>
      <c r="F46" s="406">
        <v>199</v>
      </c>
      <c r="G46" s="399">
        <v>199</v>
      </c>
      <c r="H46" s="406">
        <v>199</v>
      </c>
      <c r="I46" s="401">
        <v>199</v>
      </c>
    </row>
    <row r="47" spans="1:13" ht="13.5" customHeight="1" x14ac:dyDescent="0.25">
      <c r="A47" s="399" t="s">
        <v>116</v>
      </c>
      <c r="B47" s="403" t="s">
        <v>390</v>
      </c>
      <c r="C47" s="404" t="s">
        <v>391</v>
      </c>
      <c r="D47" s="405" t="s">
        <v>333</v>
      </c>
      <c r="E47" s="406">
        <v>1863</v>
      </c>
      <c r="F47" s="406">
        <v>1863</v>
      </c>
      <c r="G47" s="406">
        <v>1863</v>
      </c>
      <c r="H47" s="406">
        <v>1863</v>
      </c>
      <c r="I47" s="401">
        <v>1900</v>
      </c>
    </row>
    <row r="48" spans="1:13" ht="13.5" customHeight="1" x14ac:dyDescent="0.25">
      <c r="A48" s="399" t="s">
        <v>654</v>
      </c>
      <c r="B48" s="403" t="s">
        <v>117</v>
      </c>
      <c r="C48" s="404" t="s">
        <v>118</v>
      </c>
      <c r="D48" s="405" t="s">
        <v>333</v>
      </c>
      <c r="E48" s="406"/>
      <c r="F48" s="406"/>
      <c r="G48" s="406">
        <v>29600</v>
      </c>
      <c r="H48" s="406">
        <v>29600</v>
      </c>
      <c r="I48" s="401">
        <v>29600</v>
      </c>
    </row>
    <row r="49" spans="1:13" s="394" customFormat="1" ht="15.75" x14ac:dyDescent="0.25">
      <c r="A49" s="399" t="s">
        <v>655</v>
      </c>
      <c r="B49" s="407" t="s">
        <v>392</v>
      </c>
      <c r="C49" s="408" t="s">
        <v>393</v>
      </c>
      <c r="D49" s="409" t="s">
        <v>333</v>
      </c>
      <c r="E49" s="410">
        <v>3600</v>
      </c>
      <c r="F49" s="410">
        <v>3600</v>
      </c>
      <c r="G49" s="410">
        <v>3600</v>
      </c>
      <c r="H49" s="410">
        <v>6553</v>
      </c>
      <c r="I49" s="411">
        <v>6553</v>
      </c>
      <c r="J49" s="418"/>
      <c r="K49" s="419"/>
      <c r="M49" s="395"/>
    </row>
    <row r="50" spans="1:13" s="394" customFormat="1" ht="15.75" x14ac:dyDescent="0.25">
      <c r="A50" s="399" t="s">
        <v>119</v>
      </c>
      <c r="B50" s="407" t="s">
        <v>394</v>
      </c>
      <c r="C50" s="408" t="s">
        <v>395</v>
      </c>
      <c r="D50" s="409" t="s">
        <v>333</v>
      </c>
      <c r="E50" s="410">
        <v>123</v>
      </c>
      <c r="F50" s="410">
        <v>123</v>
      </c>
      <c r="G50" s="410">
        <v>123</v>
      </c>
      <c r="H50" s="410">
        <v>123</v>
      </c>
      <c r="I50" s="411">
        <v>123</v>
      </c>
      <c r="J50" s="418"/>
      <c r="K50" s="419"/>
      <c r="M50" s="395"/>
    </row>
    <row r="51" spans="1:13" ht="14.1" customHeight="1" x14ac:dyDescent="0.25">
      <c r="A51" s="399" t="s">
        <v>120</v>
      </c>
      <c r="B51" s="401" t="s">
        <v>396</v>
      </c>
      <c r="C51" s="401" t="s">
        <v>397</v>
      </c>
      <c r="D51" s="390" t="s">
        <v>333</v>
      </c>
      <c r="E51" s="401">
        <v>225</v>
      </c>
      <c r="F51" s="401">
        <v>225</v>
      </c>
      <c r="G51" s="401">
        <v>225</v>
      </c>
      <c r="H51" s="401">
        <v>241</v>
      </c>
      <c r="I51" s="401">
        <v>241</v>
      </c>
    </row>
    <row r="52" spans="1:13" ht="14.1" customHeight="1" x14ac:dyDescent="0.25">
      <c r="A52" s="399" t="s">
        <v>121</v>
      </c>
      <c r="B52" s="401" t="s">
        <v>122</v>
      </c>
      <c r="C52" s="401" t="s">
        <v>123</v>
      </c>
      <c r="D52" s="390" t="s">
        <v>431</v>
      </c>
      <c r="G52" s="401">
        <v>600</v>
      </c>
      <c r="H52" s="401">
        <v>1200</v>
      </c>
      <c r="I52" s="401">
        <v>1200</v>
      </c>
    </row>
    <row r="53" spans="1:13" ht="14.1" customHeight="1" x14ac:dyDescent="0.25">
      <c r="A53" s="399" t="s">
        <v>124</v>
      </c>
      <c r="B53" s="401" t="s">
        <v>125</v>
      </c>
      <c r="C53" s="401" t="s">
        <v>126</v>
      </c>
      <c r="D53" s="390" t="s">
        <v>333</v>
      </c>
      <c r="H53" s="401">
        <v>243</v>
      </c>
      <c r="I53" s="401">
        <v>243</v>
      </c>
    </row>
    <row r="54" spans="1:13" ht="14.1" customHeight="1" x14ac:dyDescent="0.25">
      <c r="A54" s="399" t="s">
        <v>127</v>
      </c>
      <c r="B54" s="401" t="s">
        <v>398</v>
      </c>
      <c r="C54" s="401" t="s">
        <v>399</v>
      </c>
      <c r="D54" s="390" t="s">
        <v>333</v>
      </c>
      <c r="E54" s="401">
        <v>26</v>
      </c>
      <c r="F54" s="401">
        <v>26</v>
      </c>
      <c r="G54" s="401">
        <v>26</v>
      </c>
      <c r="H54" s="401">
        <v>26</v>
      </c>
      <c r="I54" s="401">
        <v>26</v>
      </c>
    </row>
    <row r="55" spans="1:13" s="394" customFormat="1" ht="15.75" x14ac:dyDescent="0.25">
      <c r="A55" s="399" t="s">
        <v>128</v>
      </c>
      <c r="B55" s="407" t="s">
        <v>400</v>
      </c>
      <c r="C55" s="408" t="s">
        <v>401</v>
      </c>
      <c r="D55" s="409" t="s">
        <v>333</v>
      </c>
      <c r="E55" s="410">
        <v>5</v>
      </c>
      <c r="F55" s="410">
        <v>5</v>
      </c>
      <c r="G55" s="410">
        <v>5</v>
      </c>
      <c r="H55" s="411">
        <v>5</v>
      </c>
      <c r="I55" s="411">
        <v>5</v>
      </c>
      <c r="J55" s="418"/>
      <c r="K55" s="419"/>
      <c r="M55" s="395"/>
    </row>
    <row r="56" spans="1:13" s="396" customFormat="1" ht="13.5" customHeight="1" x14ac:dyDescent="0.25">
      <c r="A56" s="399" t="s">
        <v>129</v>
      </c>
      <c r="B56" s="407" t="s">
        <v>402</v>
      </c>
      <c r="C56" s="408" t="s">
        <v>403</v>
      </c>
      <c r="D56" s="409" t="s">
        <v>333</v>
      </c>
      <c r="E56" s="410">
        <v>250</v>
      </c>
      <c r="F56" s="410">
        <v>250</v>
      </c>
      <c r="G56" s="410">
        <v>250</v>
      </c>
      <c r="H56" s="410">
        <v>250</v>
      </c>
      <c r="I56" s="411">
        <v>250</v>
      </c>
      <c r="J56" s="412"/>
      <c r="K56" s="413"/>
      <c r="M56" s="397"/>
    </row>
    <row r="57" spans="1:13" s="396" customFormat="1" ht="13.5" customHeight="1" x14ac:dyDescent="0.25">
      <c r="A57" s="399" t="s">
        <v>130</v>
      </c>
      <c r="B57" s="407" t="s">
        <v>131</v>
      </c>
      <c r="C57" s="408" t="s">
        <v>132</v>
      </c>
      <c r="D57" s="409" t="s">
        <v>431</v>
      </c>
      <c r="E57" s="410"/>
      <c r="F57" s="410"/>
      <c r="G57" s="410">
        <v>2439</v>
      </c>
      <c r="H57" s="410">
        <v>3658</v>
      </c>
      <c r="I57" s="411">
        <v>3658</v>
      </c>
      <c r="J57" s="412"/>
      <c r="K57" s="413"/>
      <c r="M57" s="397"/>
    </row>
    <row r="58" spans="1:13" s="396" customFormat="1" ht="13.5" customHeight="1" x14ac:dyDescent="0.25">
      <c r="A58" s="399" t="s">
        <v>133</v>
      </c>
      <c r="B58" s="407" t="s">
        <v>134</v>
      </c>
      <c r="C58" s="408" t="s">
        <v>135</v>
      </c>
      <c r="D58" s="409" t="s">
        <v>431</v>
      </c>
      <c r="E58" s="410"/>
      <c r="F58" s="410"/>
      <c r="G58" s="410">
        <v>2438</v>
      </c>
      <c r="H58" s="410">
        <v>2438</v>
      </c>
      <c r="I58" s="411">
        <v>2438</v>
      </c>
      <c r="J58" s="412"/>
      <c r="K58" s="413"/>
      <c r="M58" s="397"/>
    </row>
    <row r="59" spans="1:13" s="396" customFormat="1" ht="13.5" customHeight="1" x14ac:dyDescent="0.25">
      <c r="A59" s="399" t="s">
        <v>136</v>
      </c>
      <c r="B59" s="407" t="s">
        <v>137</v>
      </c>
      <c r="C59" s="408" t="s">
        <v>138</v>
      </c>
      <c r="D59" s="409" t="s">
        <v>333</v>
      </c>
      <c r="E59" s="410"/>
      <c r="F59" s="410"/>
      <c r="G59" s="410">
        <v>610</v>
      </c>
      <c r="H59" s="410">
        <v>610</v>
      </c>
      <c r="I59" s="411">
        <v>610</v>
      </c>
      <c r="J59" s="412"/>
      <c r="K59" s="413"/>
      <c r="M59" s="397"/>
    </row>
    <row r="60" spans="1:13" s="396" customFormat="1" ht="13.5" customHeight="1" x14ac:dyDescent="0.25">
      <c r="A60" s="399" t="s">
        <v>139</v>
      </c>
      <c r="B60" s="407" t="s">
        <v>404</v>
      </c>
      <c r="C60" s="408" t="s">
        <v>405</v>
      </c>
      <c r="D60" s="409">
        <v>43496</v>
      </c>
      <c r="E60" s="410">
        <v>2865</v>
      </c>
      <c r="F60" s="410">
        <v>2865</v>
      </c>
      <c r="G60" s="410">
        <v>2865</v>
      </c>
      <c r="H60" s="410">
        <v>2865</v>
      </c>
      <c r="I60" s="411">
        <v>2865</v>
      </c>
      <c r="J60" s="412"/>
      <c r="K60" s="413"/>
      <c r="M60" s="397"/>
    </row>
    <row r="61" spans="1:13" s="396" customFormat="1" ht="13.5" customHeight="1" x14ac:dyDescent="0.25">
      <c r="A61" s="399" t="s">
        <v>140</v>
      </c>
      <c r="B61" s="407" t="s">
        <v>141</v>
      </c>
      <c r="C61" s="408" t="s">
        <v>142</v>
      </c>
      <c r="D61" s="409"/>
      <c r="E61" s="410">
        <v>175</v>
      </c>
      <c r="F61" s="410">
        <v>175</v>
      </c>
      <c r="G61" s="410">
        <v>175</v>
      </c>
      <c r="H61" s="410">
        <v>175</v>
      </c>
      <c r="I61" s="411">
        <v>175</v>
      </c>
      <c r="J61" s="412"/>
      <c r="K61" s="413"/>
      <c r="M61" s="397"/>
    </row>
    <row r="62" spans="1:13" s="396" customFormat="1" ht="13.5" customHeight="1" x14ac:dyDescent="0.25">
      <c r="A62" s="399" t="s">
        <v>143</v>
      </c>
      <c r="B62" s="407" t="s">
        <v>406</v>
      </c>
      <c r="C62" s="408" t="s">
        <v>407</v>
      </c>
      <c r="D62" s="409" t="s">
        <v>333</v>
      </c>
      <c r="E62" s="410">
        <v>217</v>
      </c>
      <c r="F62" s="410">
        <v>217</v>
      </c>
      <c r="G62" s="410">
        <v>217</v>
      </c>
      <c r="H62" s="410">
        <v>217</v>
      </c>
      <c r="I62" s="411">
        <v>217</v>
      </c>
      <c r="J62" s="412"/>
      <c r="K62" s="413"/>
      <c r="M62" s="397"/>
    </row>
    <row r="63" spans="1:13" s="396" customFormat="1" ht="13.5" customHeight="1" x14ac:dyDescent="0.25">
      <c r="A63" s="399" t="s">
        <v>144</v>
      </c>
      <c r="B63" s="400" t="s">
        <v>408</v>
      </c>
      <c r="C63" s="420" t="s">
        <v>409</v>
      </c>
      <c r="D63" s="409" t="s">
        <v>333</v>
      </c>
      <c r="E63" s="429">
        <v>15</v>
      </c>
      <c r="F63" s="429">
        <v>15</v>
      </c>
      <c r="G63" s="410">
        <v>15</v>
      </c>
      <c r="H63" s="410">
        <v>15</v>
      </c>
      <c r="I63" s="411">
        <v>15</v>
      </c>
      <c r="J63" s="412"/>
      <c r="K63" s="413"/>
      <c r="M63" s="397"/>
    </row>
    <row r="64" spans="1:13" s="396" customFormat="1" ht="13.5" customHeight="1" x14ac:dyDescent="0.25">
      <c r="A64" s="399" t="s">
        <v>145</v>
      </c>
      <c r="B64" s="400" t="s">
        <v>408</v>
      </c>
      <c r="C64" s="420" t="s">
        <v>410</v>
      </c>
      <c r="D64" s="409" t="s">
        <v>333</v>
      </c>
      <c r="E64" s="429">
        <v>150</v>
      </c>
      <c r="F64" s="429">
        <v>150</v>
      </c>
      <c r="G64" s="410">
        <v>150</v>
      </c>
      <c r="H64" s="410">
        <v>226</v>
      </c>
      <c r="I64" s="411">
        <v>226</v>
      </c>
      <c r="J64" s="412"/>
      <c r="K64" s="413"/>
      <c r="M64" s="397"/>
    </row>
    <row r="65" spans="1:13" s="396" customFormat="1" ht="13.5" customHeight="1" x14ac:dyDescent="0.25">
      <c r="A65" s="399" t="s">
        <v>146</v>
      </c>
      <c r="B65" s="400" t="s">
        <v>411</v>
      </c>
      <c r="C65" s="420" t="s">
        <v>412</v>
      </c>
      <c r="D65" s="409" t="s">
        <v>333</v>
      </c>
      <c r="E65" s="429">
        <v>75</v>
      </c>
      <c r="F65" s="429">
        <v>75</v>
      </c>
      <c r="G65" s="410">
        <v>75</v>
      </c>
      <c r="H65" s="410">
        <v>45</v>
      </c>
      <c r="I65" s="411">
        <v>45</v>
      </c>
      <c r="J65" s="412"/>
      <c r="K65" s="413"/>
      <c r="M65" s="397"/>
    </row>
    <row r="66" spans="1:13" s="396" customFormat="1" ht="13.5" customHeight="1" x14ac:dyDescent="0.25">
      <c r="A66" s="399" t="s">
        <v>147</v>
      </c>
      <c r="B66" s="407"/>
      <c r="C66" s="408" t="s">
        <v>148</v>
      </c>
      <c r="D66" s="409" t="s">
        <v>431</v>
      </c>
      <c r="E66" s="410"/>
      <c r="F66" s="410"/>
      <c r="G66" s="410">
        <v>347</v>
      </c>
      <c r="H66" s="410">
        <v>347</v>
      </c>
      <c r="I66" s="411">
        <v>347</v>
      </c>
      <c r="J66" s="412"/>
      <c r="K66" s="413"/>
      <c r="M66" s="397"/>
    </row>
    <row r="67" spans="1:13" s="396" customFormat="1" ht="13.5" customHeight="1" x14ac:dyDescent="0.25">
      <c r="A67" s="399" t="s">
        <v>149</v>
      </c>
      <c r="B67" s="407" t="s">
        <v>150</v>
      </c>
      <c r="C67" s="408" t="s">
        <v>151</v>
      </c>
      <c r="D67" s="409" t="s">
        <v>431</v>
      </c>
      <c r="E67" s="410"/>
      <c r="F67" s="410"/>
      <c r="G67" s="410">
        <v>54</v>
      </c>
      <c r="H67" s="410">
        <v>216</v>
      </c>
      <c r="I67" s="411">
        <v>216</v>
      </c>
      <c r="J67" s="412"/>
      <c r="K67" s="413"/>
      <c r="M67" s="397"/>
    </row>
    <row r="68" spans="1:13" s="396" customFormat="1" ht="13.5" customHeight="1" x14ac:dyDescent="0.25">
      <c r="A68" s="399" t="s">
        <v>152</v>
      </c>
      <c r="B68" s="407"/>
      <c r="C68" s="408" t="s">
        <v>153</v>
      </c>
      <c r="D68" s="409" t="s">
        <v>431</v>
      </c>
      <c r="E68" s="410"/>
      <c r="F68" s="410"/>
      <c r="G68" s="410">
        <v>380</v>
      </c>
      <c r="H68" s="410">
        <v>380</v>
      </c>
      <c r="I68" s="411">
        <v>380</v>
      </c>
      <c r="J68" s="412"/>
      <c r="K68" s="413"/>
      <c r="M68" s="397"/>
    </row>
    <row r="69" spans="1:13" s="396" customFormat="1" ht="13.5" customHeight="1" x14ac:dyDescent="0.25">
      <c r="A69" s="399" t="s">
        <v>154</v>
      </c>
      <c r="B69" s="407" t="s">
        <v>413</v>
      </c>
      <c r="C69" s="408" t="s">
        <v>414</v>
      </c>
      <c r="D69" s="409" t="s">
        <v>333</v>
      </c>
      <c r="E69" s="410">
        <v>1800</v>
      </c>
      <c r="F69" s="410">
        <v>1800</v>
      </c>
      <c r="G69" s="410">
        <v>1800</v>
      </c>
      <c r="H69" s="410">
        <v>1500</v>
      </c>
      <c r="I69" s="411">
        <v>1500</v>
      </c>
      <c r="J69" s="412"/>
      <c r="K69" s="413"/>
      <c r="M69" s="397"/>
    </row>
    <row r="70" spans="1:13" s="396" customFormat="1" ht="13.5" customHeight="1" x14ac:dyDescent="0.25">
      <c r="A70" s="399" t="s">
        <v>155</v>
      </c>
      <c r="B70" s="407" t="s">
        <v>415</v>
      </c>
      <c r="C70" s="408" t="s">
        <v>416</v>
      </c>
      <c r="D70" s="409" t="s">
        <v>333</v>
      </c>
      <c r="E70" s="410">
        <v>1875</v>
      </c>
      <c r="F70" s="410">
        <v>2000</v>
      </c>
      <c r="G70" s="410">
        <v>2000</v>
      </c>
      <c r="H70" s="410">
        <v>1700</v>
      </c>
      <c r="I70" s="411">
        <v>1700</v>
      </c>
      <c r="J70" s="412"/>
      <c r="K70" s="413"/>
      <c r="M70" s="397"/>
    </row>
    <row r="71" spans="1:13" ht="13.5" customHeight="1" x14ac:dyDescent="0.25">
      <c r="A71" s="399" t="s">
        <v>156</v>
      </c>
      <c r="B71" s="1489" t="s">
        <v>417</v>
      </c>
      <c r="C71" s="1489"/>
      <c r="E71" s="439">
        <f>SUM(E12:E70)</f>
        <v>127862</v>
      </c>
      <c r="F71" s="439">
        <f>SUM(F12:F70)</f>
        <v>115727</v>
      </c>
      <c r="G71" s="439">
        <f>SUM(G12:G70)</f>
        <v>108085</v>
      </c>
      <c r="H71" s="439">
        <f>SUM(H12:H70)</f>
        <v>165363</v>
      </c>
      <c r="I71" s="439">
        <f>SUM(I12:I70)</f>
        <v>164803</v>
      </c>
    </row>
    <row r="72" spans="1:13" ht="9.75" customHeight="1" x14ac:dyDescent="0.25">
      <c r="A72" s="399"/>
      <c r="B72" s="387"/>
      <c r="C72" s="400"/>
      <c r="E72" s="398"/>
      <c r="F72" s="398"/>
      <c r="G72" s="398"/>
      <c r="H72" s="398"/>
    </row>
    <row r="73" spans="1:13" ht="6.75" customHeight="1" x14ac:dyDescent="0.25">
      <c r="E73" s="398"/>
      <c r="F73" s="398"/>
      <c r="G73" s="398"/>
      <c r="H73" s="398"/>
    </row>
    <row r="74" spans="1:13" ht="13.5" customHeight="1" x14ac:dyDescent="0.25">
      <c r="E74" s="398"/>
      <c r="F74" s="398"/>
      <c r="G74" s="398"/>
      <c r="H74" s="398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0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73" customWidth="1"/>
    <col min="2" max="2" width="71.7109375" style="373" customWidth="1"/>
    <col min="3" max="3" width="13.5703125" style="373" customWidth="1"/>
    <col min="4" max="4" width="9.140625" style="361"/>
    <col min="5" max="16384" width="9.140625" style="362"/>
  </cols>
  <sheetData>
    <row r="2" spans="1:4" ht="32.25" customHeight="1" x14ac:dyDescent="0.25">
      <c r="A2" s="362"/>
      <c r="B2" s="1497" t="s">
        <v>1300</v>
      </c>
      <c r="C2" s="1497"/>
    </row>
    <row r="3" spans="1:4" ht="20.100000000000001" customHeight="1" x14ac:dyDescent="0.25">
      <c r="A3" s="362"/>
      <c r="B3" s="454"/>
      <c r="C3" s="454"/>
    </row>
    <row r="4" spans="1:4" ht="20.100000000000001" customHeight="1" x14ac:dyDescent="0.25">
      <c r="A4" s="362"/>
      <c r="B4" s="1499" t="s">
        <v>77</v>
      </c>
      <c r="C4" s="1499"/>
    </row>
    <row r="5" spans="1:4" ht="20.100000000000001" customHeight="1" x14ac:dyDescent="0.25">
      <c r="A5" s="362"/>
      <c r="B5" s="1499" t="s">
        <v>1160</v>
      </c>
      <c r="C5" s="1499"/>
    </row>
    <row r="6" spans="1:4" ht="20.100000000000001" customHeight="1" x14ac:dyDescent="0.25">
      <c r="A6" s="362"/>
      <c r="B6" s="1499" t="s">
        <v>1267</v>
      </c>
      <c r="C6" s="1499"/>
    </row>
    <row r="7" spans="1:4" s="364" customFormat="1" ht="20.100000000000001" customHeight="1" x14ac:dyDescent="0.25">
      <c r="B7" s="1499"/>
      <c r="C7" s="1499"/>
      <c r="D7" s="363"/>
    </row>
    <row r="8" spans="1:4" s="364" customFormat="1" ht="20.100000000000001" customHeight="1" x14ac:dyDescent="0.25">
      <c r="B8" s="455"/>
      <c r="C8" s="455"/>
      <c r="D8" s="363"/>
    </row>
    <row r="9" spans="1:4" s="366" customFormat="1" ht="20.100000000000001" customHeight="1" x14ac:dyDescent="0.25">
      <c r="B9" s="456"/>
      <c r="C9" s="457" t="s">
        <v>315</v>
      </c>
      <c r="D9" s="365"/>
    </row>
    <row r="10" spans="1:4" ht="20.100000000000001" customHeight="1" x14ac:dyDescent="0.25">
      <c r="A10" s="1498"/>
      <c r="B10" s="458" t="s">
        <v>57</v>
      </c>
      <c r="C10" s="458" t="s">
        <v>58</v>
      </c>
    </row>
    <row r="11" spans="1:4" s="366" customFormat="1" ht="30.75" customHeight="1" x14ac:dyDescent="0.25">
      <c r="A11" s="1498"/>
      <c r="B11" s="459" t="s">
        <v>85</v>
      </c>
      <c r="C11" s="459" t="s">
        <v>418</v>
      </c>
      <c r="D11" s="365"/>
    </row>
    <row r="12" spans="1:4" ht="22.5" customHeight="1" x14ac:dyDescent="0.25">
      <c r="A12" s="460"/>
      <c r="B12" s="364" t="s">
        <v>1268</v>
      </c>
      <c r="C12" s="362"/>
    </row>
    <row r="13" spans="1:4" ht="69" customHeight="1" x14ac:dyDescent="0.25">
      <c r="A13" s="461" t="s">
        <v>480</v>
      </c>
      <c r="B13" s="1201" t="s">
        <v>1299</v>
      </c>
      <c r="C13" s="742">
        <v>178673</v>
      </c>
    </row>
    <row r="14" spans="1:4" ht="20.100000000000001" customHeight="1" x14ac:dyDescent="0.25">
      <c r="A14" s="460"/>
      <c r="B14" s="362"/>
      <c r="C14" s="743"/>
    </row>
    <row r="15" spans="1:4" ht="35.25" customHeight="1" x14ac:dyDescent="0.25">
      <c r="A15" s="461" t="s">
        <v>488</v>
      </c>
      <c r="B15" s="462" t="s">
        <v>1297</v>
      </c>
      <c r="C15" s="742">
        <v>328</v>
      </c>
    </row>
    <row r="16" spans="1:4" ht="29.25" customHeight="1" x14ac:dyDescent="0.25">
      <c r="A16" s="460"/>
      <c r="B16" s="462" t="s">
        <v>1298</v>
      </c>
      <c r="C16" s="743">
        <v>1072</v>
      </c>
    </row>
    <row r="17" spans="1:4" ht="19.5" customHeight="1" x14ac:dyDescent="0.25">
      <c r="A17" s="460"/>
      <c r="B17" s="462"/>
      <c r="C17" s="743"/>
    </row>
    <row r="18" spans="1:4" ht="36" customHeight="1" x14ac:dyDescent="0.25">
      <c r="A18" s="461" t="s">
        <v>489</v>
      </c>
      <c r="B18" s="462" t="s">
        <v>1274</v>
      </c>
      <c r="C18" s="744">
        <v>0</v>
      </c>
    </row>
    <row r="19" spans="1:4" ht="20.100000000000001" customHeight="1" x14ac:dyDescent="0.25">
      <c r="A19" s="460"/>
      <c r="B19" s="463"/>
      <c r="C19" s="743"/>
    </row>
    <row r="20" spans="1:4" s="364" customFormat="1" ht="20.100000000000001" customHeight="1" x14ac:dyDescent="0.25">
      <c r="A20" s="460" t="s">
        <v>490</v>
      </c>
      <c r="B20" s="364" t="s">
        <v>1272</v>
      </c>
      <c r="C20" s="745">
        <f>SUM(C13:C19)</f>
        <v>180073</v>
      </c>
      <c r="D20" s="363"/>
    </row>
    <row r="21" spans="1:4" ht="20.100000000000001" customHeight="1" x14ac:dyDescent="0.25">
      <c r="A21" s="362"/>
      <c r="B21" s="362"/>
      <c r="C21" s="743"/>
    </row>
    <row r="22" spans="1:4" ht="20.100000000000001" customHeight="1" x14ac:dyDescent="0.25">
      <c r="C22" s="374"/>
    </row>
    <row r="23" spans="1:4" ht="20.100000000000001" customHeight="1" x14ac:dyDescent="0.25">
      <c r="B23" s="364" t="s">
        <v>1266</v>
      </c>
      <c r="C23" s="743"/>
    </row>
    <row r="24" spans="1:4" ht="20.100000000000001" customHeight="1" x14ac:dyDescent="0.25">
      <c r="B24" s="362" t="s">
        <v>1270</v>
      </c>
      <c r="C24" s="743">
        <v>1031</v>
      </c>
    </row>
    <row r="25" spans="1:4" ht="20.100000000000001" customHeight="1" x14ac:dyDescent="0.25">
      <c r="B25" s="362"/>
      <c r="C25" s="743"/>
    </row>
    <row r="26" spans="1:4" ht="33" customHeight="1" x14ac:dyDescent="0.25">
      <c r="B26" s="462" t="s">
        <v>1269</v>
      </c>
      <c r="C26" s="362">
        <v>1707</v>
      </c>
    </row>
    <row r="27" spans="1:4" ht="33" customHeight="1" x14ac:dyDescent="0.25">
      <c r="B27" s="462"/>
      <c r="C27" s="362"/>
    </row>
    <row r="28" spans="1:4" ht="20.100000000000001" customHeight="1" x14ac:dyDescent="0.25">
      <c r="B28" s="364" t="s">
        <v>1271</v>
      </c>
      <c r="C28" s="745">
        <f>SUM(C24:C26)</f>
        <v>2738</v>
      </c>
    </row>
    <row r="29" spans="1:4" ht="20.100000000000001" customHeight="1" x14ac:dyDescent="0.25">
      <c r="B29" s="362"/>
      <c r="C29" s="362"/>
    </row>
    <row r="30" spans="1:4" ht="20.100000000000001" customHeight="1" x14ac:dyDescent="0.25">
      <c r="B30" s="364" t="s">
        <v>1273</v>
      </c>
      <c r="C30" s="745">
        <f>C20+C28</f>
        <v>182811</v>
      </c>
    </row>
  </sheetData>
  <mergeCells count="6">
    <mergeCell ref="B2:C2"/>
    <mergeCell ref="A10:A11"/>
    <mergeCell ref="B4:C4"/>
    <mergeCell ref="B5:C5"/>
    <mergeCell ref="B6:C6"/>
    <mergeCell ref="B7:C7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"/>
  <sheetViews>
    <sheetView zoomScaleNormal="100" workbookViewId="0">
      <selection sqref="A1:J1"/>
    </sheetView>
  </sheetViews>
  <sheetFormatPr defaultColWidth="10.28515625" defaultRowHeight="12.75" x14ac:dyDescent="0.2"/>
  <cols>
    <col min="1" max="1" width="3.140625" style="367" customWidth="1"/>
    <col min="2" max="2" width="29.28515625" style="367" customWidth="1"/>
    <col min="3" max="3" width="16.85546875" style="367" bestFit="1" customWidth="1"/>
    <col min="4" max="4" width="15.5703125" style="367" customWidth="1"/>
    <col min="5" max="5" width="9.85546875" style="367" bestFit="1" customWidth="1"/>
    <col min="6" max="6" width="12.85546875" style="367" customWidth="1"/>
    <col min="7" max="8" width="14.5703125" style="367" customWidth="1"/>
    <col min="9" max="9" width="10.7109375" style="367" customWidth="1"/>
    <col min="10" max="10" width="10.5703125" style="367" customWidth="1"/>
    <col min="11" max="11" width="10.28515625" style="367" customWidth="1"/>
    <col min="12" max="12" width="10.28515625" style="367"/>
    <col min="13" max="16384" width="10.28515625" style="372"/>
  </cols>
  <sheetData>
    <row r="1" spans="1:12" s="367" customFormat="1" x14ac:dyDescent="0.2">
      <c r="A1" s="1500" t="s">
        <v>1257</v>
      </c>
      <c r="B1" s="1500"/>
      <c r="C1" s="1500"/>
      <c r="D1" s="1500"/>
      <c r="E1" s="1500"/>
      <c r="F1" s="1500"/>
      <c r="G1" s="1500"/>
      <c r="H1" s="1500"/>
      <c r="I1" s="1500"/>
      <c r="J1" s="1500"/>
    </row>
    <row r="2" spans="1:12" s="367" customFormat="1" ht="14.1" customHeight="1" x14ac:dyDescent="0.2"/>
    <row r="3" spans="1:12" s="367" customFormat="1" ht="15" customHeight="1" x14ac:dyDescent="0.25">
      <c r="B3" s="1502" t="s">
        <v>77</v>
      </c>
      <c r="C3" s="1502"/>
      <c r="D3" s="1502"/>
      <c r="E3" s="1502"/>
      <c r="F3" s="1502"/>
      <c r="G3" s="1502"/>
      <c r="H3" s="1502"/>
      <c r="I3" s="1502"/>
      <c r="J3" s="1502"/>
    </row>
    <row r="4" spans="1:12" s="367" customFormat="1" ht="15" customHeight="1" x14ac:dyDescent="0.25">
      <c r="B4" s="1502" t="s">
        <v>1160</v>
      </c>
      <c r="C4" s="1502"/>
      <c r="D4" s="1502"/>
      <c r="E4" s="1502"/>
      <c r="F4" s="1502"/>
      <c r="G4" s="1502"/>
      <c r="H4" s="1502"/>
      <c r="I4" s="1502"/>
      <c r="J4" s="1502"/>
    </row>
    <row r="5" spans="1:12" s="367" customFormat="1" ht="15" customHeight="1" x14ac:dyDescent="0.25">
      <c r="B5" s="1502" t="s">
        <v>419</v>
      </c>
      <c r="C5" s="1502"/>
      <c r="D5" s="1502"/>
      <c r="E5" s="1502"/>
      <c r="F5" s="1502"/>
      <c r="G5" s="1502"/>
      <c r="H5" s="1502"/>
      <c r="I5" s="1502"/>
      <c r="J5" s="1502"/>
    </row>
    <row r="6" spans="1:12" s="367" customFormat="1" ht="15" customHeight="1" x14ac:dyDescent="0.25">
      <c r="B6" s="1502"/>
      <c r="C6" s="1502"/>
      <c r="D6" s="1502"/>
      <c r="E6" s="1502"/>
      <c r="F6" s="1502"/>
      <c r="G6" s="1502"/>
      <c r="H6" s="1502"/>
      <c r="I6" s="1502"/>
      <c r="J6" s="1502"/>
    </row>
    <row r="7" spans="1:12" s="367" customFormat="1" ht="15" customHeight="1" x14ac:dyDescent="0.25">
      <c r="B7" s="1510" t="s">
        <v>315</v>
      </c>
      <c r="C7" s="1510"/>
      <c r="D7" s="1510"/>
      <c r="E7" s="1510"/>
      <c r="F7" s="1510"/>
      <c r="G7" s="1510"/>
      <c r="H7" s="1510"/>
      <c r="I7" s="1510"/>
      <c r="J7" s="1510"/>
    </row>
    <row r="8" spans="1:12" s="368" customFormat="1" ht="14.1" customHeight="1" x14ac:dyDescent="0.25">
      <c r="A8" s="1501"/>
      <c r="B8" s="1193" t="s">
        <v>57</v>
      </c>
      <c r="C8" s="1193" t="s">
        <v>58</v>
      </c>
      <c r="D8" s="1193" t="s">
        <v>59</v>
      </c>
      <c r="E8" s="1193" t="s">
        <v>60</v>
      </c>
      <c r="F8" s="1193" t="s">
        <v>471</v>
      </c>
      <c r="G8" s="1193" t="s">
        <v>472</v>
      </c>
      <c r="H8" s="1193" t="s">
        <v>473</v>
      </c>
      <c r="I8" s="1193" t="s">
        <v>594</v>
      </c>
      <c r="J8" s="1193" t="s">
        <v>602</v>
      </c>
    </row>
    <row r="9" spans="1:12" s="369" customFormat="1" ht="17.25" customHeight="1" x14ac:dyDescent="0.25">
      <c r="A9" s="1501"/>
      <c r="B9" s="1504" t="s">
        <v>85</v>
      </c>
      <c r="C9" s="1506" t="s">
        <v>420</v>
      </c>
      <c r="D9" s="1506" t="s">
        <v>1243</v>
      </c>
      <c r="E9" s="1504" t="s">
        <v>421</v>
      </c>
      <c r="F9" s="1508" t="s">
        <v>422</v>
      </c>
      <c r="G9" s="1504" t="s">
        <v>423</v>
      </c>
      <c r="H9" s="1506" t="s">
        <v>922</v>
      </c>
      <c r="I9" s="1503" t="s">
        <v>424</v>
      </c>
      <c r="J9" s="1503"/>
    </row>
    <row r="10" spans="1:12" s="369" customFormat="1" ht="30" customHeight="1" x14ac:dyDescent="0.25">
      <c r="A10" s="1501"/>
      <c r="B10" s="1505"/>
      <c r="C10" s="1507"/>
      <c r="D10" s="1507"/>
      <c r="E10" s="1505"/>
      <c r="F10" s="1509"/>
      <c r="G10" s="1505"/>
      <c r="H10" s="1507"/>
      <c r="I10" s="1193" t="s">
        <v>425</v>
      </c>
      <c r="J10" s="1193" t="s">
        <v>426</v>
      </c>
    </row>
    <row r="11" spans="1:12" s="368" customFormat="1" ht="16.5" customHeight="1" x14ac:dyDescent="0.25">
      <c r="A11" s="370" t="s">
        <v>480</v>
      </c>
      <c r="B11" s="376" t="s">
        <v>427</v>
      </c>
    </row>
    <row r="12" spans="1:12" s="368" customFormat="1" ht="15" customHeight="1" x14ac:dyDescent="0.25">
      <c r="A12" s="370" t="s">
        <v>488</v>
      </c>
      <c r="B12" s="368" t="s">
        <v>428</v>
      </c>
      <c r="C12" s="377"/>
      <c r="D12" s="377"/>
      <c r="E12" s="378"/>
      <c r="F12" s="378"/>
      <c r="G12" s="378"/>
      <c r="H12" s="377"/>
      <c r="I12" s="378"/>
      <c r="J12" s="378"/>
    </row>
    <row r="13" spans="1:12" s="368" customFormat="1" ht="15" customHeight="1" x14ac:dyDescent="0.25">
      <c r="A13" s="370" t="s">
        <v>489</v>
      </c>
      <c r="B13" s="379" t="s">
        <v>429</v>
      </c>
      <c r="C13" s="380">
        <v>500</v>
      </c>
      <c r="D13" s="381">
        <v>25</v>
      </c>
      <c r="E13" s="382" t="s">
        <v>430</v>
      </c>
      <c r="F13" s="382" t="s">
        <v>431</v>
      </c>
      <c r="G13" s="382" t="s">
        <v>431</v>
      </c>
      <c r="H13" s="381">
        <v>25</v>
      </c>
      <c r="I13" s="383">
        <v>0</v>
      </c>
      <c r="J13" s="382" t="s">
        <v>432</v>
      </c>
    </row>
    <row r="14" spans="1:12" s="369" customFormat="1" ht="15" customHeight="1" x14ac:dyDescent="0.25">
      <c r="A14" s="370" t="s">
        <v>490</v>
      </c>
      <c r="B14" s="379" t="s">
        <v>433</v>
      </c>
      <c r="C14" s="380">
        <v>28130</v>
      </c>
      <c r="D14" s="380">
        <v>17378</v>
      </c>
      <c r="E14" s="382" t="s">
        <v>430</v>
      </c>
      <c r="F14" s="382" t="s">
        <v>431</v>
      </c>
      <c r="G14" s="382" t="s">
        <v>431</v>
      </c>
      <c r="H14" s="380">
        <v>2758</v>
      </c>
      <c r="I14" s="383">
        <v>0</v>
      </c>
      <c r="J14" s="382" t="s">
        <v>432</v>
      </c>
    </row>
    <row r="15" spans="1:12" s="371" customFormat="1" ht="16.5" customHeight="1" x14ac:dyDescent="0.25">
      <c r="A15" s="370" t="s">
        <v>491</v>
      </c>
      <c r="B15" s="369" t="s">
        <v>434</v>
      </c>
      <c r="C15" s="384">
        <f>SUM(C13:C14)</f>
        <v>28630</v>
      </c>
      <c r="D15" s="384">
        <f>SUM(D13:D14)</f>
        <v>17403</v>
      </c>
      <c r="E15" s="385"/>
      <c r="F15" s="385"/>
      <c r="G15" s="385"/>
      <c r="H15" s="384">
        <f>SUM(H13:H14)</f>
        <v>2783</v>
      </c>
      <c r="I15" s="383"/>
      <c r="J15" s="382" t="s">
        <v>432</v>
      </c>
      <c r="K15" s="368"/>
      <c r="L15" s="368"/>
    </row>
  </sheetData>
  <mergeCells count="15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9</vt:i4>
      </vt:variant>
    </vt:vector>
  </HeadingPairs>
  <TitlesOfParts>
    <vt:vector size="42" baseType="lpstr">
      <vt:lpstr>Össz.önkor.mérleg.</vt:lpstr>
      <vt:lpstr>működ. mérleg </vt:lpstr>
      <vt:lpstr>felhalm. mérleg</vt:lpstr>
      <vt:lpstr>2019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Munka3</vt:lpstr>
      <vt:lpstr>Munka6</vt:lpstr>
      <vt:lpstr>Munka2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2019-04-25T09:23:20Z</cp:lastPrinted>
  <dcterms:created xsi:type="dcterms:W3CDTF">2013-12-16T15:47:29Z</dcterms:created>
  <dcterms:modified xsi:type="dcterms:W3CDTF">2019-08-01T10:12:51Z</dcterms:modified>
</cp:coreProperties>
</file>