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590" windowWidth="12120" windowHeight="6510" tabRatio="597"/>
  </bookViews>
  <sheets>
    <sheet name="1. m. bevételek (2)" sheetId="173" r:id="rId1"/>
    <sheet name="2. m. kiadások (2)" sheetId="174" r:id="rId2"/>
    <sheet name="2.a KÖH (2)" sheetId="175" r:id="rId3"/>
    <sheet name="3. m. létszám" sheetId="161" r:id="rId4"/>
    <sheet name="4. melléklet (2)" sheetId="176" r:id="rId5"/>
    <sheet name="5.a melléklet-hitelek" sheetId="163" r:id="rId6"/>
    <sheet name="5.b melléklet-kezességv." sheetId="166" r:id="rId7"/>
    <sheet name="5.c melléklet-szerződések-KÖH" sheetId="164" r:id="rId8"/>
    <sheet name="5.c melléklet-szerződések-Önk" sheetId="165" r:id="rId9"/>
    <sheet name="6. melléklet" sheetId="167" r:id="rId10"/>
    <sheet name="7. melléklet (2)" sheetId="177" r:id="rId11"/>
    <sheet name="8. melléklet" sheetId="169" r:id="rId12"/>
    <sheet name="8.a melléklet" sheetId="170" r:id="rId13"/>
    <sheet name="9. melléklet" sheetId="172" r:id="rId14"/>
  </sheets>
  <definedNames>
    <definedName name="_xlnm.Print_Titles" localSheetId="0">'1. m. bevételek (2)'!$7:$9</definedName>
    <definedName name="_xlnm.Print_Titles" localSheetId="1">'2. m. kiadások (2)'!$7:$9</definedName>
    <definedName name="_xlnm.Print_Titles" localSheetId="2">'2.a KÖH (2)'!$7:$7</definedName>
    <definedName name="_xlnm.Print_Titles" localSheetId="8">'5.c melléklet-szerződések-Önk'!$1:$8</definedName>
    <definedName name="_xlnm.Print_Area" localSheetId="0">'1. m. bevételek (2)'!$A$1:$K$218</definedName>
    <definedName name="_xlnm.Print_Area" localSheetId="1">'2. m. kiadások (2)'!$A$1:$K$343</definedName>
    <definedName name="_xlnm.Print_Area" localSheetId="2">'2.a KÖH (2)'!$A$1:$S$12</definedName>
    <definedName name="_xlnm.Print_Area" localSheetId="6">'5.b melléklet-kezességv.'!$A$1:$K$13</definedName>
    <definedName name="_xlnm.Print_Area" localSheetId="7">'5.c melléklet-szerződések-KÖH'!$A$1:$E$82</definedName>
    <definedName name="_xlnm.Print_Area" localSheetId="8">'5.c melléklet-szerződések-Önk'!$A$1:$E$127</definedName>
    <definedName name="_xlnm.Print_Area" localSheetId="9">'6. melléklet'!#REF!</definedName>
    <definedName name="_xlnm.Print_Area" localSheetId="11">'8. melléklet'!$A$1:$O$43</definedName>
  </definedNames>
  <calcPr calcId="145621"/>
</workbook>
</file>

<file path=xl/calcChain.xml><?xml version="1.0" encoding="utf-8"?>
<calcChain xmlns="http://schemas.openxmlformats.org/spreadsheetml/2006/main">
  <c r="J30" i="176" l="1"/>
  <c r="I30" i="176"/>
  <c r="H30" i="176"/>
  <c r="H33" i="176" s="1"/>
  <c r="D30" i="176"/>
  <c r="D33" i="176" s="1"/>
  <c r="C30" i="176"/>
  <c r="B30" i="176"/>
  <c r="J20" i="176"/>
  <c r="I20" i="176"/>
  <c r="H20" i="176"/>
  <c r="D20" i="176"/>
  <c r="C20" i="176"/>
  <c r="B20" i="176"/>
  <c r="Q12" i="175"/>
  <c r="P12" i="175"/>
  <c r="O12" i="175"/>
  <c r="N12" i="175"/>
  <c r="M12" i="175"/>
  <c r="L12" i="175"/>
  <c r="K12" i="175"/>
  <c r="J12" i="175"/>
  <c r="I12" i="175"/>
  <c r="H12" i="175"/>
  <c r="G12" i="175"/>
  <c r="F12" i="175"/>
  <c r="E12" i="175"/>
  <c r="C12" i="175"/>
  <c r="S11" i="175"/>
  <c r="R11" i="175"/>
  <c r="S10" i="175"/>
  <c r="R10" i="175"/>
  <c r="S9" i="175"/>
  <c r="S12" i="175" s="1"/>
  <c r="D9" i="175"/>
  <c r="D12" i="175" s="1"/>
  <c r="B9" i="175"/>
  <c r="B12" i="175" s="1"/>
  <c r="K339" i="174"/>
  <c r="J339" i="174"/>
  <c r="I339" i="174"/>
  <c r="H339" i="174"/>
  <c r="G339" i="174"/>
  <c r="F339" i="174"/>
  <c r="E339" i="174"/>
  <c r="D339" i="174"/>
  <c r="K327" i="174"/>
  <c r="J327" i="174"/>
  <c r="I327" i="174"/>
  <c r="H327" i="174"/>
  <c r="G327" i="174"/>
  <c r="F327" i="174"/>
  <c r="E327" i="174"/>
  <c r="D327" i="174"/>
  <c r="K323" i="174"/>
  <c r="K329" i="174" s="1"/>
  <c r="J323" i="174"/>
  <c r="I323" i="174"/>
  <c r="H323" i="174"/>
  <c r="H329" i="174" s="1"/>
  <c r="G323" i="174"/>
  <c r="G329" i="174" s="1"/>
  <c r="F323" i="174"/>
  <c r="E323" i="174"/>
  <c r="D323" i="174"/>
  <c r="D329" i="174" s="1"/>
  <c r="K314" i="174"/>
  <c r="J314" i="174"/>
  <c r="I314" i="174"/>
  <c r="H314" i="174"/>
  <c r="G314" i="174"/>
  <c r="F314" i="174"/>
  <c r="E314" i="174"/>
  <c r="D314" i="174"/>
  <c r="K305" i="174"/>
  <c r="J305" i="174"/>
  <c r="J329" i="174" s="1"/>
  <c r="I305" i="174"/>
  <c r="I329" i="174" s="1"/>
  <c r="H305" i="174"/>
  <c r="G305" i="174"/>
  <c r="F305" i="174"/>
  <c r="F329" i="174" s="1"/>
  <c r="E305" i="174"/>
  <c r="E329" i="174" s="1"/>
  <c r="D305" i="174"/>
  <c r="K299" i="174"/>
  <c r="J299" i="174"/>
  <c r="I299" i="174"/>
  <c r="H299" i="174"/>
  <c r="G299" i="174"/>
  <c r="F299" i="174"/>
  <c r="E299" i="174"/>
  <c r="D299" i="174"/>
  <c r="K278" i="174"/>
  <c r="J278" i="174"/>
  <c r="I278" i="174"/>
  <c r="G278" i="174"/>
  <c r="F278" i="174"/>
  <c r="E278" i="174"/>
  <c r="D278" i="174"/>
  <c r="H278" i="174"/>
  <c r="K239" i="174"/>
  <c r="J239" i="174"/>
  <c r="I239" i="174"/>
  <c r="H239" i="174"/>
  <c r="G239" i="174"/>
  <c r="F239" i="174"/>
  <c r="E239" i="174"/>
  <c r="D239" i="174"/>
  <c r="K233" i="174"/>
  <c r="J233" i="174"/>
  <c r="I233" i="174"/>
  <c r="H233" i="174"/>
  <c r="G233" i="174"/>
  <c r="F233" i="174"/>
  <c r="E233" i="174"/>
  <c r="D233" i="174"/>
  <c r="D241" i="174" s="1"/>
  <c r="K227" i="174"/>
  <c r="J227" i="174"/>
  <c r="I227" i="174"/>
  <c r="H227" i="174"/>
  <c r="G227" i="174"/>
  <c r="F227" i="174"/>
  <c r="E227" i="174"/>
  <c r="D227" i="174"/>
  <c r="K202" i="174"/>
  <c r="K241" i="174" s="1"/>
  <c r="J202" i="174"/>
  <c r="J241" i="174" s="1"/>
  <c r="I202" i="174"/>
  <c r="I241" i="174" s="1"/>
  <c r="H202" i="174"/>
  <c r="G202" i="174"/>
  <c r="G241" i="174" s="1"/>
  <c r="F202" i="174"/>
  <c r="F241" i="174" s="1"/>
  <c r="E202" i="174"/>
  <c r="E241" i="174" s="1"/>
  <c r="D202" i="174"/>
  <c r="K194" i="174"/>
  <c r="J194" i="174"/>
  <c r="I194" i="174"/>
  <c r="H194" i="174"/>
  <c r="G194" i="174"/>
  <c r="F194" i="174"/>
  <c r="E194" i="174"/>
  <c r="D194" i="174"/>
  <c r="K179" i="174"/>
  <c r="J179" i="174"/>
  <c r="I179" i="174"/>
  <c r="G179" i="174"/>
  <c r="F179" i="174"/>
  <c r="E179" i="174"/>
  <c r="H137" i="174"/>
  <c r="D137" i="174"/>
  <c r="H87" i="174"/>
  <c r="H179" i="174" s="1"/>
  <c r="D87" i="174"/>
  <c r="D179" i="174" s="1"/>
  <c r="K83" i="174"/>
  <c r="J83" i="174"/>
  <c r="I83" i="174"/>
  <c r="H83" i="174"/>
  <c r="G83" i="174"/>
  <c r="F83" i="174"/>
  <c r="E83" i="174"/>
  <c r="D83" i="174"/>
  <c r="K73" i="174"/>
  <c r="J73" i="174"/>
  <c r="J331" i="174" s="1"/>
  <c r="I73" i="174"/>
  <c r="I331" i="174" s="1"/>
  <c r="H73" i="174"/>
  <c r="G73" i="174"/>
  <c r="F73" i="174"/>
  <c r="F331" i="174" s="1"/>
  <c r="E73" i="174"/>
  <c r="E331" i="174" s="1"/>
  <c r="D73" i="174"/>
  <c r="K61" i="174"/>
  <c r="K62" i="174" s="1"/>
  <c r="J61" i="174"/>
  <c r="J62" i="174" s="1"/>
  <c r="I61" i="174"/>
  <c r="I62" i="174" s="1"/>
  <c r="H61" i="174"/>
  <c r="H62" i="174" s="1"/>
  <c r="G61" i="174"/>
  <c r="G62" i="174" s="1"/>
  <c r="F61" i="174"/>
  <c r="F62" i="174" s="1"/>
  <c r="E61" i="174"/>
  <c r="E62" i="174" s="1"/>
  <c r="D61" i="174"/>
  <c r="D62" i="174" s="1"/>
  <c r="K46" i="174"/>
  <c r="K47" i="174" s="1"/>
  <c r="J46" i="174"/>
  <c r="J47" i="174" s="1"/>
  <c r="I46" i="174"/>
  <c r="I47" i="174" s="1"/>
  <c r="H46" i="174"/>
  <c r="H47" i="174" s="1"/>
  <c r="G46" i="174"/>
  <c r="G47" i="174" s="1"/>
  <c r="F46" i="174"/>
  <c r="F47" i="174" s="1"/>
  <c r="E46" i="174"/>
  <c r="E47" i="174" s="1"/>
  <c r="D46" i="174"/>
  <c r="D47" i="174" s="1"/>
  <c r="H38" i="174"/>
  <c r="E38" i="174"/>
  <c r="D38" i="174"/>
  <c r="K37" i="174"/>
  <c r="K38" i="174" s="1"/>
  <c r="J37" i="174"/>
  <c r="J38" i="174" s="1"/>
  <c r="I37" i="174"/>
  <c r="I38" i="174" s="1"/>
  <c r="G37" i="174"/>
  <c r="G38" i="174" s="1"/>
  <c r="F37" i="174"/>
  <c r="F38" i="174" s="1"/>
  <c r="E37" i="174"/>
  <c r="K28" i="174"/>
  <c r="J28" i="174"/>
  <c r="I28" i="174"/>
  <c r="H28" i="174"/>
  <c r="G28" i="174"/>
  <c r="F28" i="174"/>
  <c r="E28" i="174"/>
  <c r="D28" i="174"/>
  <c r="K25" i="174"/>
  <c r="K29" i="174" s="1"/>
  <c r="J25" i="174"/>
  <c r="J29" i="174" s="1"/>
  <c r="I25" i="174"/>
  <c r="I29" i="174" s="1"/>
  <c r="H25" i="174"/>
  <c r="H29" i="174" s="1"/>
  <c r="G25" i="174"/>
  <c r="G29" i="174" s="1"/>
  <c r="F25" i="174"/>
  <c r="F29" i="174" s="1"/>
  <c r="E25" i="174"/>
  <c r="E29" i="174" s="1"/>
  <c r="D25" i="174"/>
  <c r="D29" i="174" s="1"/>
  <c r="K16" i="174"/>
  <c r="K17" i="174" s="1"/>
  <c r="K49" i="174" s="1"/>
  <c r="J16" i="174"/>
  <c r="J17" i="174" s="1"/>
  <c r="J49" i="174" s="1"/>
  <c r="J343" i="174" s="1"/>
  <c r="I16" i="174"/>
  <c r="I17" i="174" s="1"/>
  <c r="H16" i="174"/>
  <c r="H17" i="174" s="1"/>
  <c r="G16" i="174"/>
  <c r="G17" i="174" s="1"/>
  <c r="F16" i="174"/>
  <c r="F17" i="174" s="1"/>
  <c r="F49" i="174" s="1"/>
  <c r="F343" i="174" s="1"/>
  <c r="E16" i="174"/>
  <c r="E17" i="174" s="1"/>
  <c r="D16" i="174"/>
  <c r="D17" i="174" s="1"/>
  <c r="K213" i="173"/>
  <c r="J213" i="173"/>
  <c r="I213" i="173"/>
  <c r="H213" i="173"/>
  <c r="G213" i="173"/>
  <c r="F213" i="173"/>
  <c r="E213" i="173"/>
  <c r="D213" i="173"/>
  <c r="K206" i="173"/>
  <c r="J206" i="173"/>
  <c r="I206" i="173"/>
  <c r="H206" i="173"/>
  <c r="G206" i="173"/>
  <c r="F206" i="173"/>
  <c r="E206" i="173"/>
  <c r="D206" i="173"/>
  <c r="K194" i="173"/>
  <c r="J194" i="173"/>
  <c r="I194" i="173"/>
  <c r="H194" i="173"/>
  <c r="G194" i="173"/>
  <c r="F194" i="173"/>
  <c r="E194" i="173"/>
  <c r="D194" i="173"/>
  <c r="K175" i="173"/>
  <c r="K177" i="173" s="1"/>
  <c r="J175" i="173"/>
  <c r="J177" i="173" s="1"/>
  <c r="I175" i="173"/>
  <c r="I177" i="173" s="1"/>
  <c r="H175" i="173"/>
  <c r="H177" i="173" s="1"/>
  <c r="G175" i="173"/>
  <c r="G177" i="173" s="1"/>
  <c r="F175" i="173"/>
  <c r="F177" i="173" s="1"/>
  <c r="E175" i="173"/>
  <c r="E177" i="173" s="1"/>
  <c r="D175" i="173"/>
  <c r="D177" i="173" s="1"/>
  <c r="K165" i="173"/>
  <c r="J165" i="173"/>
  <c r="I165" i="173"/>
  <c r="H165" i="173"/>
  <c r="G165" i="173"/>
  <c r="F165" i="173"/>
  <c r="E165" i="173"/>
  <c r="D165" i="173"/>
  <c r="K157" i="173"/>
  <c r="K167" i="173" s="1"/>
  <c r="J157" i="173"/>
  <c r="J167" i="173" s="1"/>
  <c r="I157" i="173"/>
  <c r="I167" i="173" s="1"/>
  <c r="H157" i="173"/>
  <c r="G157" i="173"/>
  <c r="G167" i="173" s="1"/>
  <c r="F157" i="173"/>
  <c r="F167" i="173" s="1"/>
  <c r="E157" i="173"/>
  <c r="E167" i="173" s="1"/>
  <c r="D157" i="173"/>
  <c r="D167" i="173" s="1"/>
  <c r="K148" i="173"/>
  <c r="J148" i="173"/>
  <c r="I148" i="173"/>
  <c r="H148" i="173"/>
  <c r="G148" i="173"/>
  <c r="F148" i="173"/>
  <c r="E148" i="173"/>
  <c r="D148" i="173"/>
  <c r="K141" i="173"/>
  <c r="K150" i="173" s="1"/>
  <c r="J141" i="173"/>
  <c r="J150" i="173" s="1"/>
  <c r="I141" i="173"/>
  <c r="I150" i="173" s="1"/>
  <c r="H141" i="173"/>
  <c r="G141" i="173"/>
  <c r="G150" i="173" s="1"/>
  <c r="F141" i="173"/>
  <c r="F150" i="173" s="1"/>
  <c r="E141" i="173"/>
  <c r="E150" i="173" s="1"/>
  <c r="D141" i="173"/>
  <c r="D150" i="173" s="1"/>
  <c r="K128" i="173"/>
  <c r="J128" i="173"/>
  <c r="I128" i="173"/>
  <c r="G128" i="173"/>
  <c r="F128" i="173"/>
  <c r="E128" i="173"/>
  <c r="D128" i="173"/>
  <c r="H128" i="173"/>
  <c r="E30" i="176" s="1"/>
  <c r="K109" i="173"/>
  <c r="J109" i="173"/>
  <c r="I109" i="173"/>
  <c r="H109" i="173"/>
  <c r="K105" i="173"/>
  <c r="K114" i="173" s="1"/>
  <c r="J105" i="173"/>
  <c r="J114" i="173" s="1"/>
  <c r="I105" i="173"/>
  <c r="I114" i="173" s="1"/>
  <c r="H105" i="173"/>
  <c r="H114" i="173" s="1"/>
  <c r="G105" i="173"/>
  <c r="G114" i="173" s="1"/>
  <c r="F105" i="173"/>
  <c r="F114" i="173" s="1"/>
  <c r="E105" i="173"/>
  <c r="E114" i="173" s="1"/>
  <c r="D105" i="173"/>
  <c r="D114" i="173" s="1"/>
  <c r="K91" i="173"/>
  <c r="J91" i="173"/>
  <c r="I91" i="173"/>
  <c r="H91" i="173"/>
  <c r="G91" i="173"/>
  <c r="F91" i="173"/>
  <c r="E91" i="173"/>
  <c r="D91" i="173"/>
  <c r="K86" i="173"/>
  <c r="J86" i="173"/>
  <c r="I86" i="173"/>
  <c r="H86" i="173"/>
  <c r="G86" i="173"/>
  <c r="F86" i="173"/>
  <c r="E86" i="173"/>
  <c r="D86" i="173"/>
  <c r="K83" i="173"/>
  <c r="K93" i="173" s="1"/>
  <c r="J83" i="173"/>
  <c r="J93" i="173" s="1"/>
  <c r="I83" i="173"/>
  <c r="I93" i="173" s="1"/>
  <c r="H83" i="173"/>
  <c r="H93" i="173" s="1"/>
  <c r="G83" i="173"/>
  <c r="G93" i="173" s="1"/>
  <c r="F83" i="173"/>
  <c r="F93" i="173" s="1"/>
  <c r="E83" i="173"/>
  <c r="E93" i="173" s="1"/>
  <c r="D83" i="173"/>
  <c r="D93" i="173" s="1"/>
  <c r="K74" i="173"/>
  <c r="K179" i="173" s="1"/>
  <c r="J74" i="173"/>
  <c r="I74" i="173"/>
  <c r="I179" i="173" s="1"/>
  <c r="G74" i="173"/>
  <c r="F74" i="173"/>
  <c r="E74" i="173"/>
  <c r="E179" i="173" s="1"/>
  <c r="D74" i="173"/>
  <c r="D179" i="173" s="1"/>
  <c r="H74" i="173"/>
  <c r="K55" i="173"/>
  <c r="J55" i="173"/>
  <c r="I55" i="173"/>
  <c r="H55" i="173"/>
  <c r="G55" i="173"/>
  <c r="F55" i="173"/>
  <c r="E55" i="173"/>
  <c r="D55" i="173"/>
  <c r="K51" i="173"/>
  <c r="K56" i="173" s="1"/>
  <c r="J51" i="173"/>
  <c r="J56" i="173" s="1"/>
  <c r="I51" i="173"/>
  <c r="I56" i="173" s="1"/>
  <c r="H51" i="173"/>
  <c r="H56" i="173" s="1"/>
  <c r="G51" i="173"/>
  <c r="G56" i="173" s="1"/>
  <c r="F51" i="173"/>
  <c r="F56" i="173" s="1"/>
  <c r="E51" i="173"/>
  <c r="E56" i="173" s="1"/>
  <c r="D51" i="173"/>
  <c r="D56" i="173" s="1"/>
  <c r="K43" i="173"/>
  <c r="J43" i="173"/>
  <c r="G43" i="173"/>
  <c r="F43" i="173"/>
  <c r="E43" i="173"/>
  <c r="D43" i="173"/>
  <c r="I42" i="173"/>
  <c r="I43" i="173" s="1"/>
  <c r="H42" i="173"/>
  <c r="H43" i="173" s="1"/>
  <c r="K35" i="173"/>
  <c r="J35" i="173"/>
  <c r="I35" i="173"/>
  <c r="H35" i="173"/>
  <c r="G35" i="173"/>
  <c r="F35" i="173"/>
  <c r="E35" i="173"/>
  <c r="D35" i="173"/>
  <c r="I34" i="173"/>
  <c r="H34" i="173"/>
  <c r="K27" i="173"/>
  <c r="K45" i="173" s="1"/>
  <c r="J27" i="173"/>
  <c r="G27" i="173"/>
  <c r="G45" i="173" s="1"/>
  <c r="F27" i="173"/>
  <c r="I26" i="173"/>
  <c r="H26" i="173"/>
  <c r="K22" i="173"/>
  <c r="J22" i="173"/>
  <c r="I22" i="173"/>
  <c r="I27" i="173" s="1"/>
  <c r="H22" i="173"/>
  <c r="H27" i="173" s="1"/>
  <c r="G22" i="173"/>
  <c r="F22" i="173"/>
  <c r="E22" i="173"/>
  <c r="E27" i="173" s="1"/>
  <c r="D22" i="173"/>
  <c r="D27" i="173" s="1"/>
  <c r="K16" i="173"/>
  <c r="J16" i="173"/>
  <c r="J45" i="173" s="1"/>
  <c r="I16" i="173"/>
  <c r="I45" i="173" s="1"/>
  <c r="I182" i="173" s="1"/>
  <c r="I217" i="173" s="1"/>
  <c r="H16" i="173"/>
  <c r="G16" i="173"/>
  <c r="F16" i="173"/>
  <c r="F45" i="173" s="1"/>
  <c r="E16" i="173"/>
  <c r="E45" i="173" s="1"/>
  <c r="D16" i="173"/>
  <c r="D45" i="173" s="1"/>
  <c r="D182" i="173" s="1"/>
  <c r="D217" i="173" s="1"/>
  <c r="I15" i="173"/>
  <c r="H15" i="173"/>
  <c r="H241" i="174" l="1"/>
  <c r="B33" i="176"/>
  <c r="I33" i="176"/>
  <c r="C33" i="176"/>
  <c r="J33" i="176"/>
  <c r="H179" i="173"/>
  <c r="E182" i="173"/>
  <c r="E217" i="173" s="1"/>
  <c r="K182" i="173"/>
  <c r="K217" i="173" s="1"/>
  <c r="G179" i="173"/>
  <c r="D49" i="174"/>
  <c r="H49" i="174"/>
  <c r="G331" i="174"/>
  <c r="K331" i="174"/>
  <c r="F182" i="173"/>
  <c r="F217" i="173" s="1"/>
  <c r="E49" i="174"/>
  <c r="E343" i="174" s="1"/>
  <c r="I49" i="174"/>
  <c r="I343" i="174" s="1"/>
  <c r="D331" i="174"/>
  <c r="H331" i="174"/>
  <c r="G182" i="173"/>
  <c r="G217" i="173" s="1"/>
  <c r="J179" i="173"/>
  <c r="J182" i="173" s="1"/>
  <c r="J217" i="173" s="1"/>
  <c r="H45" i="173"/>
  <c r="F179" i="173"/>
  <c r="G49" i="174"/>
  <c r="G343" i="174" s="1"/>
  <c r="K343" i="174"/>
  <c r="K30" i="176"/>
  <c r="H150" i="173"/>
  <c r="H167" i="173"/>
  <c r="R9" i="175"/>
  <c r="R12" i="175" s="1"/>
  <c r="E20" i="176"/>
  <c r="E33" i="176" s="1"/>
  <c r="K20" i="176"/>
  <c r="K33" i="176" l="1"/>
  <c r="H182" i="173"/>
  <c r="H217" i="173" s="1"/>
  <c r="D343" i="174"/>
  <c r="H343" i="174"/>
  <c r="G15" i="172" l="1"/>
  <c r="N10" i="170" l="1"/>
  <c r="L10" i="170"/>
  <c r="L9" i="170"/>
  <c r="L8" i="170"/>
  <c r="L7" i="170"/>
  <c r="I10" i="170"/>
  <c r="G10" i="170"/>
  <c r="F10" i="170"/>
  <c r="E10" i="170"/>
  <c r="I9" i="170"/>
  <c r="G9" i="170"/>
  <c r="F9" i="170"/>
  <c r="E9" i="170"/>
  <c r="I8" i="170"/>
  <c r="G8" i="170"/>
  <c r="F8" i="170"/>
  <c r="E8" i="170"/>
  <c r="O37" i="169"/>
  <c r="E30" i="169" l="1"/>
  <c r="I30" i="169"/>
  <c r="M30" i="169"/>
  <c r="J7" i="170"/>
  <c r="J11" i="170" s="1"/>
  <c r="I7" i="170"/>
  <c r="G7" i="170"/>
  <c r="F7" i="170"/>
  <c r="E7" i="170"/>
  <c r="I6" i="170"/>
  <c r="G6" i="170"/>
  <c r="G11" i="170" s="1"/>
  <c r="F6" i="170"/>
  <c r="E6" i="170"/>
  <c r="E11" i="170" s="1"/>
  <c r="P11" i="170"/>
  <c r="O11" i="170"/>
  <c r="N11" i="170"/>
  <c r="M11" i="170"/>
  <c r="L11" i="170"/>
  <c r="H11" i="170"/>
  <c r="K10" i="170"/>
  <c r="Q10" i="170" s="1"/>
  <c r="S10" i="170" s="1"/>
  <c r="K9" i="170"/>
  <c r="Q9" i="170" s="1"/>
  <c r="S9" i="170" s="1"/>
  <c r="K8" i="170"/>
  <c r="Q8" i="170" s="1"/>
  <c r="S8" i="170" s="1"/>
  <c r="O39" i="169"/>
  <c r="O38" i="169"/>
  <c r="N37" i="169"/>
  <c r="M37" i="169"/>
  <c r="L37" i="169"/>
  <c r="K37" i="169"/>
  <c r="J37" i="169"/>
  <c r="I37" i="169"/>
  <c r="H37" i="169"/>
  <c r="G37" i="169"/>
  <c r="F37" i="169"/>
  <c r="E37" i="169"/>
  <c r="D37" i="169"/>
  <c r="O35" i="169"/>
  <c r="N34" i="169"/>
  <c r="M34" i="169"/>
  <c r="L34" i="169"/>
  <c r="K34" i="169"/>
  <c r="J34" i="169"/>
  <c r="I34" i="169"/>
  <c r="H34" i="169"/>
  <c r="G34" i="169"/>
  <c r="F34" i="169"/>
  <c r="E34" i="169"/>
  <c r="D34" i="169"/>
  <c r="C34" i="169"/>
  <c r="O33" i="169"/>
  <c r="O32" i="169"/>
  <c r="O31" i="169"/>
  <c r="N30" i="169"/>
  <c r="L30" i="169"/>
  <c r="K30" i="169"/>
  <c r="J30" i="169"/>
  <c r="J36" i="169" s="1"/>
  <c r="J40" i="169" s="1"/>
  <c r="H30" i="169"/>
  <c r="G30" i="169"/>
  <c r="G36" i="169" s="1"/>
  <c r="G40" i="169" s="1"/>
  <c r="F30" i="169"/>
  <c r="F36" i="169" s="1"/>
  <c r="F40" i="169" s="1"/>
  <c r="D30" i="169"/>
  <c r="C30" i="169"/>
  <c r="O29" i="169"/>
  <c r="O28" i="169"/>
  <c r="O27" i="169"/>
  <c r="O26" i="169"/>
  <c r="O25" i="169"/>
  <c r="O20" i="169"/>
  <c r="O18" i="169" s="1"/>
  <c r="O19" i="169"/>
  <c r="N18" i="169"/>
  <c r="M18" i="169"/>
  <c r="L18" i="169"/>
  <c r="K18" i="169"/>
  <c r="J18" i="169"/>
  <c r="I18" i="169"/>
  <c r="H18" i="169"/>
  <c r="G18" i="169"/>
  <c r="F18" i="169"/>
  <c r="E18" i="169"/>
  <c r="D18" i="169"/>
  <c r="C18" i="169"/>
  <c r="O16" i="169"/>
  <c r="O15" i="169"/>
  <c r="O14" i="169"/>
  <c r="N13" i="169"/>
  <c r="N17" i="169" s="1"/>
  <c r="M13" i="169"/>
  <c r="M17" i="169" s="1"/>
  <c r="L13" i="169"/>
  <c r="L17" i="169" s="1"/>
  <c r="K13" i="169"/>
  <c r="K17" i="169" s="1"/>
  <c r="J13" i="169"/>
  <c r="J17" i="169" s="1"/>
  <c r="I13" i="169"/>
  <c r="I17" i="169" s="1"/>
  <c r="H13" i="169"/>
  <c r="H17" i="169" s="1"/>
  <c r="G13" i="169"/>
  <c r="G17" i="169" s="1"/>
  <c r="F13" i="169"/>
  <c r="F17" i="169" s="1"/>
  <c r="E13" i="169"/>
  <c r="E17" i="169" s="1"/>
  <c r="D13" i="169"/>
  <c r="D17" i="169" s="1"/>
  <c r="C13" i="169"/>
  <c r="C17" i="169" s="1"/>
  <c r="O12" i="169"/>
  <c r="O11" i="169"/>
  <c r="O10" i="169"/>
  <c r="O9" i="169"/>
  <c r="O8" i="169"/>
  <c r="C47" i="167"/>
  <c r="D46" i="167"/>
  <c r="C46" i="167"/>
  <c r="B46" i="167"/>
  <c r="D38" i="167"/>
  <c r="C38" i="167"/>
  <c r="B38" i="167"/>
  <c r="D25" i="167"/>
  <c r="C25" i="167"/>
  <c r="B25" i="167"/>
  <c r="D17" i="167"/>
  <c r="C17" i="167"/>
  <c r="B17" i="167"/>
  <c r="B26" i="167" s="1"/>
  <c r="E126" i="165"/>
  <c r="D126" i="165"/>
  <c r="D124" i="165"/>
  <c r="D123" i="165"/>
  <c r="D121" i="165"/>
  <c r="D120" i="165"/>
  <c r="D116" i="165"/>
  <c r="D115" i="165"/>
  <c r="D114" i="165"/>
  <c r="D112" i="165"/>
  <c r="E110" i="165"/>
  <c r="D110" i="165"/>
  <c r="D109" i="165"/>
  <c r="D108" i="165"/>
  <c r="D102" i="165"/>
  <c r="D101" i="165"/>
  <c r="D100" i="165"/>
  <c r="D99" i="165"/>
  <c r="D98" i="165"/>
  <c r="D97" i="165"/>
  <c r="E95" i="165"/>
  <c r="D95" i="165"/>
  <c r="D94" i="165"/>
  <c r="D92" i="165"/>
  <c r="D90" i="165"/>
  <c r="E86" i="165"/>
  <c r="D86" i="165"/>
  <c r="D85" i="165"/>
  <c r="D83" i="165"/>
  <c r="D82" i="165"/>
  <c r="D66" i="165"/>
  <c r="E63" i="165"/>
  <c r="D63" i="165" s="1"/>
  <c r="D62" i="165"/>
  <c r="D61" i="165"/>
  <c r="D59" i="165"/>
  <c r="D58" i="165"/>
  <c r="D56" i="165"/>
  <c r="E55" i="165"/>
  <c r="D55" i="165" s="1"/>
  <c r="E54" i="165"/>
  <c r="D54" i="165"/>
  <c r="E53" i="165"/>
  <c r="D53" i="165" s="1"/>
  <c r="D52" i="165"/>
  <c r="D51" i="165"/>
  <c r="D50" i="165"/>
  <c r="D49" i="165"/>
  <c r="D48" i="165"/>
  <c r="D47" i="165"/>
  <c r="D44" i="165"/>
  <c r="E34" i="165"/>
  <c r="E127" i="165" s="1"/>
  <c r="D34" i="165"/>
  <c r="D32" i="165"/>
  <c r="D30" i="165"/>
  <c r="D29" i="165"/>
  <c r="E28" i="165"/>
  <c r="D25" i="165"/>
  <c r="D23" i="165"/>
  <c r="D21" i="165"/>
  <c r="D17" i="165"/>
  <c r="D14" i="165"/>
  <c r="D9" i="165"/>
  <c r="D81" i="164"/>
  <c r="E80" i="164"/>
  <c r="D80" i="164"/>
  <c r="D79" i="164"/>
  <c r="D77" i="164"/>
  <c r="D75" i="164"/>
  <c r="D74" i="164"/>
  <c r="D73" i="164"/>
  <c r="E72" i="164"/>
  <c r="D72" i="164"/>
  <c r="D70" i="164"/>
  <c r="D69" i="164"/>
  <c r="E68" i="164"/>
  <c r="D68" i="164"/>
  <c r="D67" i="164"/>
  <c r="D66" i="164"/>
  <c r="D65" i="164"/>
  <c r="D64" i="164"/>
  <c r="D63" i="164"/>
  <c r="E62" i="164"/>
  <c r="D62" i="164"/>
  <c r="D61" i="164"/>
  <c r="D60" i="164"/>
  <c r="D58" i="164"/>
  <c r="D57" i="164"/>
  <c r="D56" i="164"/>
  <c r="D53" i="164"/>
  <c r="D52" i="164"/>
  <c r="D50" i="164"/>
  <c r="D49" i="164"/>
  <c r="D47" i="164"/>
  <c r="D46" i="164"/>
  <c r="D45" i="164"/>
  <c r="D44" i="164"/>
  <c r="D43" i="164"/>
  <c r="D42" i="164"/>
  <c r="D41" i="164"/>
  <c r="D37" i="164"/>
  <c r="D35" i="164"/>
  <c r="D34" i="164"/>
  <c r="D32" i="164"/>
  <c r="D31" i="164"/>
  <c r="E30" i="164"/>
  <c r="D30" i="164"/>
  <c r="D28" i="164"/>
  <c r="D27" i="164"/>
  <c r="D26" i="164"/>
  <c r="D23" i="164"/>
  <c r="E22" i="164"/>
  <c r="E82" i="164" s="1"/>
  <c r="D22" i="164"/>
  <c r="D19" i="164"/>
  <c r="D18" i="164"/>
  <c r="D15" i="164"/>
  <c r="D14" i="164"/>
  <c r="D10" i="164"/>
  <c r="D21" i="163"/>
  <c r="D22" i="163"/>
  <c r="D23" i="163"/>
  <c r="D24" i="163"/>
  <c r="D20" i="163"/>
  <c r="D19" i="163"/>
  <c r="C25" i="163"/>
  <c r="L25" i="163"/>
  <c r="K25" i="163"/>
  <c r="J25" i="163"/>
  <c r="I25" i="163"/>
  <c r="H25" i="163"/>
  <c r="G25" i="163"/>
  <c r="F25" i="163"/>
  <c r="E25" i="163"/>
  <c r="M24" i="163"/>
  <c r="M23" i="163"/>
  <c r="M22" i="163"/>
  <c r="M21" i="163"/>
  <c r="M20" i="163"/>
  <c r="M19" i="163"/>
  <c r="L13" i="163"/>
  <c r="K13" i="163"/>
  <c r="J13" i="163"/>
  <c r="I13" i="163"/>
  <c r="H13" i="163"/>
  <c r="G13" i="163"/>
  <c r="F13" i="163"/>
  <c r="E13" i="163"/>
  <c r="C13" i="163"/>
  <c r="M12" i="163"/>
  <c r="M11" i="163"/>
  <c r="M10" i="163"/>
  <c r="M13" i="163" s="1"/>
  <c r="E19" i="161"/>
  <c r="D19" i="161"/>
  <c r="C19" i="161"/>
  <c r="B19" i="161"/>
  <c r="F17" i="161"/>
  <c r="F16" i="161"/>
  <c r="F15" i="161"/>
  <c r="F14" i="161"/>
  <c r="F13" i="161"/>
  <c r="F12" i="161"/>
  <c r="F11" i="161"/>
  <c r="F10" i="161"/>
  <c r="F8" i="161"/>
  <c r="I11" i="170" l="1"/>
  <c r="F11" i="170"/>
  <c r="C36" i="169"/>
  <c r="C40" i="169" s="1"/>
  <c r="K36" i="169"/>
  <c r="K40" i="169" s="1"/>
  <c r="E36" i="169"/>
  <c r="E40" i="169" s="1"/>
  <c r="D36" i="169"/>
  <c r="D40" i="169" s="1"/>
  <c r="M36" i="169"/>
  <c r="M40" i="169" s="1"/>
  <c r="L36" i="169"/>
  <c r="L40" i="169" s="1"/>
  <c r="H36" i="169"/>
  <c r="H40" i="169" s="1"/>
  <c r="I36" i="169"/>
  <c r="I40" i="169" s="1"/>
  <c r="N36" i="169"/>
  <c r="N40" i="169" s="1"/>
  <c r="O34" i="169"/>
  <c r="O30" i="169"/>
  <c r="K7" i="170"/>
  <c r="Q7" i="170" s="1"/>
  <c r="S7" i="170" s="1"/>
  <c r="K6" i="170"/>
  <c r="D47" i="167"/>
  <c r="C26" i="167"/>
  <c r="D26" i="167"/>
  <c r="B47" i="167"/>
  <c r="D22" i="169"/>
  <c r="H22" i="169"/>
  <c r="L22" i="169"/>
  <c r="L42" i="169" s="1"/>
  <c r="E22" i="169"/>
  <c r="I22" i="169"/>
  <c r="M22" i="169"/>
  <c r="F22" i="169"/>
  <c r="F42" i="169" s="1"/>
  <c r="F41" i="169"/>
  <c r="J22" i="169"/>
  <c r="J42" i="169" s="1"/>
  <c r="J41" i="169"/>
  <c r="N22" i="169"/>
  <c r="C41" i="169"/>
  <c r="C22" i="169"/>
  <c r="G41" i="169"/>
  <c r="G22" i="169"/>
  <c r="G42" i="169" s="1"/>
  <c r="K22" i="169"/>
  <c r="O13" i="169"/>
  <c r="O17" i="169" s="1"/>
  <c r="O22" i="169" s="1"/>
  <c r="R8" i="170"/>
  <c r="R9" i="170"/>
  <c r="R10" i="170"/>
  <c r="D82" i="164"/>
  <c r="D127" i="165"/>
  <c r="D25" i="163"/>
  <c r="M25" i="163"/>
  <c r="F19" i="161"/>
  <c r="I41" i="169" l="1"/>
  <c r="E41" i="169"/>
  <c r="D41" i="169"/>
  <c r="K42" i="169"/>
  <c r="K41" i="169"/>
  <c r="D42" i="169"/>
  <c r="N42" i="169"/>
  <c r="E42" i="169"/>
  <c r="N41" i="169"/>
  <c r="L41" i="169"/>
  <c r="H42" i="169"/>
  <c r="H41" i="169"/>
  <c r="M42" i="169"/>
  <c r="M41" i="169"/>
  <c r="I42" i="169"/>
  <c r="O36" i="169"/>
  <c r="O40" i="169" s="1"/>
  <c r="R7" i="170"/>
  <c r="K11" i="170"/>
  <c r="Q6" i="170"/>
  <c r="C43" i="169"/>
  <c r="D43" i="169" s="1"/>
  <c r="E43" i="169" s="1"/>
  <c r="F43" i="169" s="1"/>
  <c r="G43" i="169" s="1"/>
  <c r="H43" i="169" s="1"/>
  <c r="I43" i="169" s="1"/>
  <c r="J43" i="169" s="1"/>
  <c r="K43" i="169" s="1"/>
  <c r="L43" i="169" s="1"/>
  <c r="M43" i="169" s="1"/>
  <c r="N43" i="169" s="1"/>
  <c r="C42" i="169"/>
  <c r="O41" i="169" l="1"/>
  <c r="O43" i="169"/>
  <c r="O42" i="169"/>
  <c r="S6" i="170"/>
  <c r="S11" i="170" s="1"/>
  <c r="Q11" i="170"/>
  <c r="R6" i="170"/>
  <c r="R11" i="170" s="1"/>
</calcChain>
</file>

<file path=xl/sharedStrings.xml><?xml version="1.0" encoding="utf-8"?>
<sst xmlns="http://schemas.openxmlformats.org/spreadsheetml/2006/main" count="1494" uniqueCount="1019">
  <si>
    <t>1. Informatikai eszközök, szoftverek beszerzése</t>
  </si>
  <si>
    <t>3. Kis értékű tárgyi eszköz beszerzés</t>
  </si>
  <si>
    <t>2.13. Dombóvári Szociális Lakásalap Alapítvány részére</t>
  </si>
  <si>
    <t>2.1. Dombóvári Város- és Lakásgazdálkodási Nkft. tagi kölcsön</t>
  </si>
  <si>
    <t>1.1. Dombó-Média Kft. pótbefizetésének visszatérülése</t>
  </si>
  <si>
    <t>2.2. Lakosságtól szennyvízhozzájárulás</t>
  </si>
  <si>
    <t>2.3. Kapos Innovációs Nkft-től kezeségvállalásra</t>
  </si>
  <si>
    <t>1. Tervezett működési célú maradvány</t>
  </si>
  <si>
    <t>1.1. Dombóvári Gyermekvilág Óvoda</t>
  </si>
  <si>
    <t>1.2. Dombóvári Szivárvány Óvoda és Bölcsőde</t>
  </si>
  <si>
    <t>1.3. Integrált Önkormányzati Szolgáltató Szervezet</t>
  </si>
  <si>
    <t>1.4. Dombóvár Város Könyvtára</t>
  </si>
  <si>
    <t>1.5. Dombóvári Közös Önkormányzati Hivatal</t>
  </si>
  <si>
    <t>2. Tervezett felhalmozási célú maradvány</t>
  </si>
  <si>
    <t>2.1. Dombóvári Gyermekvilág Óvoda</t>
  </si>
  <si>
    <t>2.2. Dombóvári Szivárvány Óvoda és Bölcsőde</t>
  </si>
  <si>
    <t>2.3. Integrált Önkormányzati Szolgáltató Szervezet</t>
  </si>
  <si>
    <t>2.4. Dombóvár Város Könyvtára</t>
  </si>
  <si>
    <t>2.5. Dombóvári Közös Önkormányzati Hivatal</t>
  </si>
  <si>
    <t>2.6.1. Önkormányzat</t>
  </si>
  <si>
    <t>3.1. Víziközmű-fejlesztés finanszírozására elkülönített</t>
  </si>
  <si>
    <t>Kölcsönök visszatérülése</t>
  </si>
  <si>
    <t>2.1. Egyszeri csatlakozási díj ivóvízhálózat Nagypáltelep Döbrököz</t>
  </si>
  <si>
    <t>1.1. Bölcsőde</t>
  </si>
  <si>
    <t>105. cím összesen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</si>
  <si>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</si>
  <si>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</si>
  <si>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</si>
  <si>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</si>
  <si>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</si>
  <si>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</si>
  <si>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</si>
  <si>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</si>
  <si>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</si>
  <si>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</si>
  <si>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106. cím összesen:</t>
  </si>
  <si>
    <t>II.</t>
  </si>
  <si>
    <t>III.</t>
  </si>
  <si>
    <t>1. Tárgyi eszköz, ingatlanértékesítés</t>
  </si>
  <si>
    <t>V.</t>
  </si>
  <si>
    <t>Mindösszesen:</t>
  </si>
  <si>
    <t>Finanszírozási bevételek</t>
  </si>
  <si>
    <t>1. Hitelek</t>
  </si>
  <si>
    <t>103. cím összesen:</t>
  </si>
  <si>
    <t>VI.</t>
  </si>
  <si>
    <t>Felújítások</t>
  </si>
  <si>
    <t>VII.</t>
  </si>
  <si>
    <t>Személyi juttatások</t>
  </si>
  <si>
    <t>Kiadás összesen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</si>
  <si>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</si>
  <si>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</si>
  <si>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</si>
  <si>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</si>
  <si>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</si>
  <si>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</si>
  <si>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</si>
  <si>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Költségvetési hiány belső finanszírozására szolgáló pénzforgalom nélküli bevételek</t>
  </si>
  <si>
    <t>Önkormányzat</t>
  </si>
  <si>
    <t>2.1. Parkoló megváltás</t>
  </si>
  <si>
    <t>1. Polgármesteri keret</t>
  </si>
  <si>
    <t>1.1. Többcélú társulás működésére</t>
  </si>
  <si>
    <t>1. Helyi önkormányzat általános működésének és ágazati feladatainak támogatása</t>
  </si>
  <si>
    <t>Támogatás államháztartáson belülről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</si>
  <si>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</si>
  <si>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</si>
  <si>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</si>
  <si>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</si>
  <si>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</si>
  <si>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</si>
  <si>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</si>
  <si>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KÖH Dombóvár</t>
  </si>
  <si>
    <t>kötelező
feladat</t>
  </si>
  <si>
    <t>önként vállalt
feladat</t>
  </si>
  <si>
    <t>állami
feladat</t>
  </si>
  <si>
    <t>eredeti ei.</t>
  </si>
  <si>
    <t>Dombóvári Gyermekvilág Óvoda</t>
  </si>
  <si>
    <t>Dombóvári Szivárvány Óvoda és Bölcsőde</t>
  </si>
  <si>
    <t>Dombóvár Város Könyvtára</t>
  </si>
  <si>
    <t>101-104. intézmények összesen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</si>
  <si>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</si>
  <si>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</si>
  <si>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</si>
  <si>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</si>
  <si>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</si>
  <si>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</si>
  <si>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</si>
  <si>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</si>
  <si>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</si>
  <si>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</si>
  <si>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</si>
  <si>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</si>
  <si>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1. Egyéb működési célú támogatás államháztartáson belülről</t>
  </si>
  <si>
    <t>2. Foglalkoztatottak személyi juttatásai (közfoglalkoztatottak)</t>
  </si>
  <si>
    <t>4. Egyéb külső személyi juttatások</t>
  </si>
  <si>
    <t>1.2. Dombóvári települési nemzetiségi önkormányzatok támogatására</t>
  </si>
  <si>
    <t>4. Általános tartalék</t>
  </si>
  <si>
    <t>Átvett pénzeszközök</t>
  </si>
  <si>
    <t>Közhatalmi bevételek</t>
  </si>
  <si>
    <t>1.1. Általános feladatok támogatása</t>
  </si>
  <si>
    <t>1.2. Egyes köznevelési feladatok támogatása</t>
  </si>
  <si>
    <t>1.4. Kulturális feladatok támogatása</t>
  </si>
  <si>
    <t>1.3. Szociális, gyermekjóléti és gyermekétkeztetési feladatok támogatása</t>
  </si>
  <si>
    <t>1.2. Óvoda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</si>
  <si>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</si>
  <si>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</si>
  <si>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</si>
  <si>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</si>
  <si>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</si>
  <si>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</si>
  <si>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 xml:space="preserve">V. 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</si>
  <si>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</si>
  <si>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</si>
  <si>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</si>
  <si>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</si>
  <si>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</si>
  <si>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</si>
  <si>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</si>
  <si>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</si>
  <si>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</si>
  <si>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3.2. mezőőri járulék</t>
  </si>
  <si>
    <t>3.3. talajterhelési díj</t>
  </si>
  <si>
    <t>1.1. Állami ház hitelek törlesztése</t>
  </si>
  <si>
    <t>1.2. Lakások, egyéb ingatlanok értékesítéséből</t>
  </si>
  <si>
    <t>2.2. ÚJ K.O.R. önerőhöz átvett Csikóstőttőstől</t>
  </si>
  <si>
    <t>2.3. Kaposszekcső Község Önkormányzatától: Kapos ITK Kht. kezességvállalásra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</si>
  <si>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</si>
  <si>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</si>
  <si>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</si>
  <si>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2.8. Civil szervezetek támogatása</t>
  </si>
  <si>
    <t>2.9. Kapos Alapítvány</t>
  </si>
  <si>
    <t>2.10. Helytörténeti Gyűjtemény működtetésére</t>
  </si>
  <si>
    <t>2.11. Polgárőrség</t>
  </si>
  <si>
    <t>2.12. Hamulyák Közalapítvány működésére</t>
  </si>
  <si>
    <t>3.2. Bérlakás építési program felújításra elkülönített</t>
  </si>
  <si>
    <t>2. Egyéb felhalmozási célú támogatás államháztartáson belülről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</si>
  <si>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</si>
  <si>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</si>
  <si>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</si>
  <si>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KÖH Szakcsi Kirendeltsége</t>
  </si>
  <si>
    <t>Munkaadókat terhelő járulékok és szociális hozzájárulási adó</t>
  </si>
  <si>
    <t>1. Kis értékű tárgyi eszköz beszerzés</t>
  </si>
  <si>
    <t>1. Foglalkoztatottak személyi juttatásai (mezőőrök)</t>
  </si>
  <si>
    <t>3. Választott tisztségviselők juttatásai</t>
  </si>
  <si>
    <t>5. Sportpályák (DIS, Szuhay Sportcentrum)</t>
  </si>
  <si>
    <t>6. Tourinform iroda</t>
  </si>
  <si>
    <t>7. I. sz. házi gyermekorvosi körzet</t>
  </si>
  <si>
    <t>3.1. Közfoglalkoztatás hiányában kiskönyvesek alkalmazása városüzemeltetési munkák elvégzéséhez</t>
  </si>
  <si>
    <t>1. Ingatlanvásárlás</t>
  </si>
  <si>
    <t>5. Városháza fejlesztése</t>
  </si>
  <si>
    <t>1.3. Dombóvári Szociális és Gyermekjóléti Intézményfenntartó Társulás működésre átadott pénzeszköz</t>
  </si>
  <si>
    <t>1.1. Működési hitel</t>
  </si>
  <si>
    <t>1.2. Beruházási hitel</t>
  </si>
  <si>
    <t>1.3. Likvid hitel</t>
  </si>
  <si>
    <t>2. Államháztartáson belüli megelőlegezések</t>
  </si>
  <si>
    <t>5. Működési célú visszatérítendő támogatások, kölcsönök nyújtása államháztartáson kívülre</t>
  </si>
  <si>
    <t>4. Felhalmozási célú visszatérítendő támogatások, kölcsönök nyújtása államháztartáson kívülre</t>
  </si>
  <si>
    <t>4.1. Hamulyák Közalapítvány részére kölcsön nyújtása</t>
  </si>
  <si>
    <t>Finanszírozási kiadások</t>
  </si>
  <si>
    <t>1. Hitelek, kölcsönök törlesztése</t>
  </si>
  <si>
    <t>2. Államháztartáson belüli megelőlegezések visszafizetése</t>
  </si>
  <si>
    <t>KÖH Dombóvár-ból közfoglalkoztatás</t>
  </si>
  <si>
    <t>1.4. Kölcsön visszafizetése a Dombóvár és Környéke Víz- és Csatornamű Kft-nek</t>
  </si>
  <si>
    <t>3.2. Foglalkoztatási paktum létrehozása Tamási és Dombóvár városok környezetében TOP-5.1.2-15-TL1-2016-00002 előleg</t>
  </si>
  <si>
    <t>1.5. Települési adó - földadó</t>
  </si>
  <si>
    <t>1.1.1. 2016. évről áthúzódó bérkompenzáció támogatása</t>
  </si>
  <si>
    <t>2.6.2. Önkormányzat (víziközmű fejlesztésre elkülönített)</t>
  </si>
  <si>
    <t>2.6.3. Önkormányzat (pályázat)</t>
  </si>
  <si>
    <t>1.6.1. Önkormányzat</t>
  </si>
  <si>
    <t>2.6.4. Önkormányzat (bérlakások kiadásaira elkülönített)</t>
  </si>
  <si>
    <t>1.6.2. Önkormányzat (állami támogatás előleg)</t>
  </si>
  <si>
    <t>1.6.3. Önkormányzat (pályázat)</t>
  </si>
  <si>
    <t>2. Intézményi vagyonbiztosítás és felelősségbiztosítás</t>
  </si>
  <si>
    <t>3.3. Szuhay Sportcentrum területén 20x40 méteres műfüves pálya megépítése önerő</t>
  </si>
  <si>
    <t>2.1. Tinódi Ház Nkft.</t>
  </si>
  <si>
    <t>1.1. Dombóvári Szociális és Gyermekjóléti Intézményfenntartó Társulás felújításához és beszerzéséhez átadott pénzeszköz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</si>
  <si>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</si>
  <si>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</si>
  <si>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</si>
  <si>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</si>
  <si>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</si>
  <si>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</si>
  <si>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</si>
  <si>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</si>
  <si>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</si>
  <si>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</si>
  <si>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</si>
  <si>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</si>
  <si>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</si>
  <si>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</si>
  <si>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</si>
  <si>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</si>
  <si>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4. Lakásgazdálkodás, bérleményhasznosítás</t>
  </si>
  <si>
    <t>4.1 Bérleti díj bevételek</t>
  </si>
  <si>
    <t>4.2. Dombóvári Város- és Lakásgazdálkodási Nkft-től lakbér, bérleti díj</t>
  </si>
  <si>
    <t>5. Közterület használati díj</t>
  </si>
  <si>
    <t>6. Terület bérbeadás</t>
  </si>
  <si>
    <t>7. Táborok bevételei</t>
  </si>
  <si>
    <t>7.1. Balatonfenyves</t>
  </si>
  <si>
    <t>7.2. Gunaras</t>
  </si>
  <si>
    <t>8. Szelektív hulladékgyűjtő jármű bérleti díja</t>
  </si>
  <si>
    <t>9. Veolia gázmotor bérlet, távhő vagyon</t>
  </si>
  <si>
    <r>
      <t>1.4. 3822 hrsz-ú ingatlanból 975 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értékesítése</t>
    </r>
  </si>
  <si>
    <t>1.5. Kórház u. 37. volt nővérszálló értékesítése</t>
  </si>
  <si>
    <t>2. Önkormányzati vagyon bérbeadás</t>
  </si>
  <si>
    <t>2.1. Víziközmű bérleti díj</t>
  </si>
  <si>
    <t>2.1.1. Szennyvízhálózat</t>
  </si>
  <si>
    <t>2.1.2. Ivóvízhálózat</t>
  </si>
  <si>
    <t>1.1. Mezőőri támogatás</t>
  </si>
  <si>
    <t>1.2. Nemzeti Egészségbiztosítási Alapkezelőtől finanszírozás (védőnői ellátás, iskola eü., házi gyermekorvos)</t>
  </si>
  <si>
    <t>1.3. Biztos Kezdet Gyerekház működtetésére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</si>
  <si>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</si>
  <si>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</si>
  <si>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</si>
  <si>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</si>
  <si>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</si>
  <si>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1.6. Kiegészítő gyermekvédelmi támogatás</t>
  </si>
  <si>
    <t>2.4. Erdei futópálya beruházásra Nemzeti Fejlesztési Minisztériumtól</t>
  </si>
  <si>
    <t>1.2. Közérdekű kötelezettségvállalás városi rendezvények, egyéb önkormányzati feladatok támogatására</t>
  </si>
  <si>
    <t>1.3. Művelődési központ átépítéséhez kapcsolódó vállalkozói díjleszállítás</t>
  </si>
  <si>
    <t>1.1. Lakásszerzési támogatás, szociális kölcsön</t>
  </si>
  <si>
    <t>1.2. Munkáltatói kölcsön</t>
  </si>
  <si>
    <t>3. Groupama kármentességi engedmény befizetése</t>
  </si>
  <si>
    <t>4. Foglalkoztatás eü. szolg.</t>
  </si>
  <si>
    <t>5. Intézményi gáz</t>
  </si>
  <si>
    <t>6. Város- és községgazdálkodás</t>
  </si>
  <si>
    <t>7. Szúnyoggyérítés</t>
  </si>
  <si>
    <t>8. Szökőkutakkal kapcsolatos feladatok (karbantartás, téliesítés, téli burkolat)</t>
  </si>
  <si>
    <t>9. Helyi utak fenntartása</t>
  </si>
  <si>
    <t>10. Útburkolati jelek festése</t>
  </si>
  <si>
    <t>11. Belvízvédelem, települési vízellátás</t>
  </si>
  <si>
    <t>12. Ingatlanok üzemeltetése</t>
  </si>
  <si>
    <t>13. Köztisztaság, parkfenntartás</t>
  </si>
  <si>
    <t>13.1. Hulladékgyűjtés kezelés, egyéb takarítás, közterület-takarítás, kézi szeméttárolók ürítése</t>
  </si>
  <si>
    <t>13.2. Utak szennyeződés mentesítése</t>
  </si>
  <si>
    <t>13.3. Zöldterület kezelés</t>
  </si>
  <si>
    <t>14. Közterületen lévő fák, fasorok cseréje, telepítése, rendezése, nyesése, eseti fakivágások</t>
  </si>
  <si>
    <t>14.1. Fapótlás</t>
  </si>
  <si>
    <t>14.2. Fák permetezése</t>
  </si>
  <si>
    <t>14.3. Fák kivágása, visszavágása</t>
  </si>
  <si>
    <t>15. Növénybeszerzés</t>
  </si>
  <si>
    <t>16. Temetőfenntartás</t>
  </si>
  <si>
    <t>17. Közvilágítás - általános költségek, üzemeltetés, karbantartás</t>
  </si>
  <si>
    <t>18. Katasztrófavédelemmel, közbiztonsággal kapcsolatos feladatok</t>
  </si>
  <si>
    <t>19. Környezet- és természetvédelmi feladatok</t>
  </si>
  <si>
    <t>20. Közfoglalkoztatás önerő</t>
  </si>
  <si>
    <t>21. Kamatfizetés</t>
  </si>
  <si>
    <t>21.1. Működési hitel után</t>
  </si>
  <si>
    <t>21.2. Beruházási hitel után</t>
  </si>
  <si>
    <t xml:space="preserve">22. Központi orvosi ügyelet </t>
  </si>
  <si>
    <t>23. Gyermek- és ifjúsági önkormányzat</t>
  </si>
  <si>
    <t>24. Jogi tanácsadás</t>
  </si>
  <si>
    <t>25. Városi rendezvények</t>
  </si>
  <si>
    <t>26. Testvérvárosi, külkapcsolati kiadások</t>
  </si>
  <si>
    <t>27. Önkormányzati jogalkotás kiadásai</t>
  </si>
  <si>
    <t>28. Helyi tömegközlekedés biztosítása</t>
  </si>
  <si>
    <t>29. Városmarketing és kommunikációs feladatok</t>
  </si>
  <si>
    <t>30. Óvodások szállítása</t>
  </si>
  <si>
    <t>31. Víziközmű-fejlesztésekkel kapcs. műszaki tanácsadás</t>
  </si>
  <si>
    <t>32. Közfoglalkoztatáshoz kapcsolódó, a foglalkoztatási programból nem finanszírozható munkák fedezete</t>
  </si>
  <si>
    <t>33. Korona Szálló (életveszély elhárítási munkák)</t>
  </si>
  <si>
    <t>34. Korona Szálló (komplett állagmegóvási munkák tervezése)</t>
  </si>
  <si>
    <t>35. Kincstári Megtakarítási Program (biztosítás polgármesterre)</t>
  </si>
  <si>
    <t>36. Balatonfenyvesi és Gunarasi Ifjúsági Tábor üzemeltetése</t>
  </si>
  <si>
    <t>36.1. Balatonfenyves</t>
  </si>
  <si>
    <t>36.2. Gunaras</t>
  </si>
  <si>
    <t>37. Önkormányzati vízfolyások fenntartása</t>
  </si>
  <si>
    <t>38. Víznyelőrácsok cseréje</t>
  </si>
  <si>
    <t>39. Csapadékvíz-elvezető hálózat gépi tisztítása</t>
  </si>
  <si>
    <t>40. ÁFA befizetés (építési telkek, víziközmű bérleti díj)</t>
  </si>
  <si>
    <t>41. Sportpályák üzemeltetése</t>
  </si>
  <si>
    <t>42. I. sz. házi gyermekorvosi körzet</t>
  </si>
  <si>
    <t>43. Dombóvári Ifjúsági Sporttelepen lévő világítás áthelyezése a Szuhay Sportcentrumba</t>
  </si>
  <si>
    <t>44. „Dombóvár napjainkban” című könyv megjelentetése</t>
  </si>
  <si>
    <t>45. Kaposszekcsői hulladékudvar fenntartása</t>
  </si>
  <si>
    <t>46. Városkártya bevezetése Városkártya rendszer bővítése</t>
  </si>
  <si>
    <t>47. Tartalék előre nem tervezett városüzemeltetési feladatok ellátására</t>
  </si>
  <si>
    <t>48. Pannon kertek program</t>
  </si>
  <si>
    <t>49. Gunaras gyógyhellyé minősítése</t>
  </si>
  <si>
    <t>50. Archív felvételek vásárlása a Tolnatáj Kft-től</t>
  </si>
  <si>
    <t>51. Településrendezési terv módosítása</t>
  </si>
  <si>
    <t>52. Franjo Vlasic udvaron található emlékmű átalakítása</t>
  </si>
  <si>
    <t>53. Kihívás Napja program - jutalom a körzet infrastrukturális fejlesztésére</t>
  </si>
  <si>
    <t>54. Víziközmű diagnosztikai felmérés</t>
  </si>
  <si>
    <t>55. Szigeterdőre készített koncepcióterv újratervezése</t>
  </si>
  <si>
    <t>56. Szuhay Sportcentrum kosárlabda csarnokának parkettacseréje</t>
  </si>
  <si>
    <t>57. Biohulladék kezelő telep megvalósíthatósági koncepciójának elkészítése</t>
  </si>
  <si>
    <t>58. Vasút sori lakások, Szuhay Sportcentrum és üzemi konyha közüzemi ellátásának tervezési munkái</t>
  </si>
  <si>
    <t>59. Egészségbiztosítási ellátások megtérítése</t>
  </si>
  <si>
    <t>60. Tourinform iroda működésére</t>
  </si>
  <si>
    <t>61. Natúrparki szakmai háttértanulmány (helyzetfeltárás) elkészítése</t>
  </si>
  <si>
    <t>62. Karácsonyi díszkivilágítás felszerelése, leszerelése</t>
  </si>
  <si>
    <t>63. 2014. évi út- és járdaprogram keretében kibocsátott számlák késedelmi kamata</t>
  </si>
  <si>
    <t>64. Kapos Innovációs Transzfer Központ Közhasznú Társaság „fa.” felszámolásából eredő követelések megszerzése</t>
  </si>
  <si>
    <t>65. Gólyavár statikai megerősítésére vonatkozó engedélyezési tervdokumentáció (1. ütem) elkészítése</t>
  </si>
  <si>
    <t>66. Teleki u. 75/B. alatti ingatlan bontása</t>
  </si>
  <si>
    <t>67. Zeneiskola mögötti garázs bontása, fűtésáthelyezés</t>
  </si>
  <si>
    <t>68. Járdahibák javítása</t>
  </si>
  <si>
    <t>69. Volt lovaspálya mezőgazdasági művelésre alkalmassá tétele</t>
  </si>
  <si>
    <t>70. III. utcai orvosi rendelő - akadálymentesítésre kifizetett támogatás visszafizetése</t>
  </si>
  <si>
    <t>71. Kerítéselem vásárlása és az elhelyezéshez szükséges egyéb anyagok beszerzése Szuhay Sportcentrumba</t>
  </si>
  <si>
    <t>72. Szuhay Sportcentrum déli kerítésének javítása</t>
  </si>
  <si>
    <t>73. Szuhay Sportcentrum szolgálati lakáshelyiségében „Sport emlékszoba” kialakítása</t>
  </si>
  <si>
    <t>74. Turisztikai tábla készítése (3 db Dombóvár-Gunaras)</t>
  </si>
  <si>
    <t>75. Arculati kézikönyv</t>
  </si>
  <si>
    <t>1.8. Szennyvízcsatorna rákötés költségeinek támogatása</t>
  </si>
  <si>
    <t>1.9. Bentlakásos idősotthoni ellátottak támogatása</t>
  </si>
  <si>
    <t>1.4. Dombóvári Illyés Gyula Gimnázium Tehetséggondozó Program támogatása</t>
  </si>
  <si>
    <t>2.2. Tinódi Ház Nkft. részére Experidance Produkció finanszírozása</t>
  </si>
  <si>
    <t>2.3. Sporttámogatások</t>
  </si>
  <si>
    <t>2.3.1. Sporttámogatások sportszervezeteknek</t>
  </si>
  <si>
    <t>2.3.2. Úszóegyesületek uszodahasználatának támogatása</t>
  </si>
  <si>
    <t>2.4. Bursa Hungarica felsőoktatási ösztöndíj pályázat</t>
  </si>
  <si>
    <t>2.5. Iskola egészségügyi feladat</t>
  </si>
  <si>
    <t>2.6. Mecsek Dráva Önkormányzati Társulás 2012-2016. évi hozzájárulás</t>
  </si>
  <si>
    <t>2.7. Mecsek Dráva Önkormányzati Társulás 2017. évi hozzájárulás</t>
  </si>
  <si>
    <t>2.14. Sportszolgáltatást nyújtó gazdasági társaságok támogatása</t>
  </si>
  <si>
    <t>3.3. Régészeti ásatás pályázati saját forrás</t>
  </si>
  <si>
    <t>5.1. Dombóvári HACS Egyesületnek kölcsön</t>
  </si>
  <si>
    <t>4. Kis értékű tárgyi eszközök beszerzése</t>
  </si>
  <si>
    <t>5. Karácsonyi díszvilágítás bővítése</t>
  </si>
  <si>
    <t>6. Személygépkocsi városüzemeltetési-rendészeti feladatok ellátásához</t>
  </si>
  <si>
    <t>7. Térfigyelő kamerarendszer kiépítése 2016. évi</t>
  </si>
  <si>
    <t>8. Térfigyelő kamerarendszer kiépítésének folytatása</t>
  </si>
  <si>
    <t>9. Gimnázium előtti parkolóépítés ároklefedéssel</t>
  </si>
  <si>
    <t>10. Kórházi parkoló kialakítása (forgalomba helyezés, kerítés építés)</t>
  </si>
  <si>
    <t>11. Szállásréti-tó fejlesztése</t>
  </si>
  <si>
    <t>12. Illyés Gyula Gimnázium területén 200 méteres futókör kialakításához önerő</t>
  </si>
  <si>
    <t>13. Közkifolyók megszüntetése</t>
  </si>
  <si>
    <t>14. Parkoló kialakítása József Attila Általános Iskolánál</t>
  </si>
  <si>
    <t>15. Szelfi pont kialakítása I. ütem 2016. évi</t>
  </si>
  <si>
    <t>16. Szelfi pont kialakítása II. ütem</t>
  </si>
  <si>
    <t>17. Erdei futópálya beruházás</t>
  </si>
  <si>
    <t>18. Távhőellátást biztosító rendszer megvásárlása</t>
  </si>
  <si>
    <t>19. Digitális megfigyelőrendszer és a szabadtéri pingpongasztal Illyés Gyula Gimnáziumhoz</t>
  </si>
  <si>
    <t>20. Dombóvár és Környéke Víz- és Csatornamű Kft. üzletrész vásárlás</t>
  </si>
  <si>
    <t>21. Vezeték nélküli internet-hozzáférési pont kialakítása Illyés Gyula Gimnáziumnál</t>
  </si>
  <si>
    <t>22. Betlehemi kompozíció I. üteme</t>
  </si>
  <si>
    <t>23. Betlehemi kompozíció Víztoronynál történő elhelyezéséhez 6 db installációs elem gyártása és helyszínre szállítása</t>
  </si>
  <si>
    <t>24. Új közlekedési táblák beszerzése</t>
  </si>
  <si>
    <t>25. Fekete István köz csapadékvíz-elvezetése</t>
  </si>
  <si>
    <t>26. Kossuth L. u. 17. belső csapadékvíz rekonstrukciója</t>
  </si>
  <si>
    <t>27. Horvay u. csapadékvíz elvezető burkolt árok rekonstrukciója</t>
  </si>
  <si>
    <t>28. Szuhay Sportcentrum fejlesztése - 2 m x 0,7 méteres állványzat beszerzése</t>
  </si>
  <si>
    <t>29. Szuhay Sportcentrum fejlesztése - 20 db lelátói szék vásárlása</t>
  </si>
  <si>
    <t>30. Szuhay Sportcentrum fejlesztése - kosárlabda csarnok lángmentes függönyözése</t>
  </si>
  <si>
    <t>1. Járdafelújítások</t>
  </si>
  <si>
    <t>2. Zöldfa u. páros oldalán járdafelújítás és csapadékvíz-elvezetés</t>
  </si>
  <si>
    <t>3. Útfelújítások</t>
  </si>
  <si>
    <t>4. Hunyadi téri buszállomás útburkolat javítása</t>
  </si>
  <si>
    <t>5. Játszóterek felülvizsgálata, a szükséges és lehetséges javítási, felújítási munkák elvégzése, játszóterek építése és bővítése</t>
  </si>
  <si>
    <t>6. Petőfi u. ivóvíz rekonstrukció</t>
  </si>
  <si>
    <t>7. Teleki u. 1-3. előtti csapadékvíz-elvezetés</t>
  </si>
  <si>
    <t>8. Pannónia u. 5. alatti ingatlan felújítása</t>
  </si>
  <si>
    <t>9. Petőfi utcai beruházás műszaki ellenőri költségei</t>
  </si>
  <si>
    <t>10. Tinódi Ház mobil színpad átalakítása, HFR</t>
  </si>
  <si>
    <t>11. Szuhay Sportcentrum kosárlabda csarnokának parkettacseréjére önrész</t>
  </si>
  <si>
    <t>12. Eötvös u. 1-3-5. ivóvíz gerincvezeték cseréje</t>
  </si>
  <si>
    <t>13. Pogány mitológia című alkotásának felújítása</t>
  </si>
  <si>
    <t>2.1. Dombóvári Focisuli Egyesület támogatása - Szuhay Sportcentrumban a társalgó helyén öltözőhelyiség kialakítása és vizesblokk felújítása</t>
  </si>
  <si>
    <t>2.2 Dombóvári Focisuli Egyesület támogatása - tornacsarnok padlózatának valamint 2 db öltöző és vizesblokk felújításához</t>
  </si>
  <si>
    <t>2.3. Tinódi Ház Nkft. részére a nagyszínpad felújítására</t>
  </si>
  <si>
    <t>2.5. Dombó-Média Kft-nek eszközállomány pótlására</t>
  </si>
  <si>
    <t>3.4. 1956-os emlékmű rendbetételéhez önrész</t>
  </si>
  <si>
    <t>3.5. Elektromos töltőállomás kialakítása</t>
  </si>
  <si>
    <t>1. Amália Óvoda mosdó felújítás</t>
  </si>
  <si>
    <t>Felújítások:</t>
  </si>
  <si>
    <t>4. Gázkazán beszerzése</t>
  </si>
  <si>
    <t>Eredeti előirányzat</t>
  </si>
  <si>
    <t>2017. évi bevételei</t>
  </si>
  <si>
    <t>2017. évi kiadásai</t>
  </si>
  <si>
    <t>2.15. Dombóvári Város- és Lakásgazdálkodási Nkft.-vel kötött közszolgáltatási szerződés ellentételezésének összege</t>
  </si>
  <si>
    <t>2.16. Dombóvári Város- és Lakásgazdálkodási Nkft.-nek ösztöndíjakra</t>
  </si>
  <si>
    <t>2.17. Dombó-Land Kft. részére pótbefizetés</t>
  </si>
  <si>
    <t>2. Deák Ferenc u. ingatlan vásárlás</t>
  </si>
  <si>
    <t>2017. évi kiemelt kiadási előirányzata</t>
  </si>
  <si>
    <t>Dombóvár Város Önkormányzata intézményeinek</t>
  </si>
  <si>
    <t>Intézmény megnevezése</t>
  </si>
  <si>
    <t>Engedélyezett létszám (fő)</t>
  </si>
  <si>
    <t>Szakmai létszám</t>
  </si>
  <si>
    <t>Nevelő munát közvetlenül segítők</t>
  </si>
  <si>
    <t>Technikai létszám</t>
  </si>
  <si>
    <t>Megváltozott
munkaképességű
dolgozók</t>
  </si>
  <si>
    <t>Összesen</t>
  </si>
  <si>
    <t xml:space="preserve">    Bölcsőde</t>
  </si>
  <si>
    <t xml:space="preserve">    Dombóvár</t>
  </si>
  <si>
    <t xml:space="preserve">    Szakcs</t>
  </si>
  <si>
    <t>létszámkerete 2017. évben</t>
  </si>
  <si>
    <t xml:space="preserve">    Óvoda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</si>
  <si>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</si>
  <si>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</si>
  <si>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</si>
  <si>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</si>
  <si>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</si>
  <si>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</si>
  <si>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Dologi kiadás kamatok nélkül</t>
  </si>
  <si>
    <t>Működési célú támogatás államháztartáson belülről</t>
  </si>
  <si>
    <t>Műk. célú pénzeszköz átadás, egyéb tám.</t>
  </si>
  <si>
    <t>Működési célú pénzeszközátvétel államháztartáson kívülről</t>
  </si>
  <si>
    <t>Működési célú kölcsönök visszatérülése</t>
  </si>
  <si>
    <t>Rövidlejáratú hitel visszafizetése</t>
  </si>
  <si>
    <t>Működési célú maradvány</t>
  </si>
  <si>
    <t>Rövidlejáratú hitel kamata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</si>
  <si>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</si>
  <si>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</si>
  <si>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</si>
  <si>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</si>
  <si>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</si>
  <si>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</si>
  <si>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Fejlesztési célú állami támogatás</t>
  </si>
  <si>
    <t>Felhalmozási célú pénzeszköz átvétele</t>
  </si>
  <si>
    <t>Felhalmozási célú pénzeszköz átadás</t>
  </si>
  <si>
    <t>Felhalmozási célú támogatás államháztartáson belülről</t>
  </si>
  <si>
    <t>Felhalmozási célú hitel, kötvény törlesztés</t>
  </si>
  <si>
    <t>Felhalmozási célú kölcsönök visszatérülése</t>
  </si>
  <si>
    <t>Hosszú lejáratú hitel kamat</t>
  </si>
  <si>
    <t>Felhalmozási célú maradvány</t>
  </si>
  <si>
    <t>Céltartalék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</si>
  <si>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</si>
  <si>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</si>
  <si>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</si>
  <si>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</si>
  <si>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</si>
  <si>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</si>
  <si>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2015. tény</t>
  </si>
  <si>
    <t>2015-17. év</t>
  </si>
  <si>
    <t>Államháztartáson belüli megelőleg. visszafizetése</t>
  </si>
  <si>
    <t>2016. várható</t>
  </si>
  <si>
    <t>2017. eredeti</t>
  </si>
  <si>
    <t>1.1. Közfoglalkoztatás támogatása</t>
  </si>
  <si>
    <t>2. Működési célú költségvetési támogatások és kiegészítő támogatások</t>
  </si>
  <si>
    <t>3. Felhalmozási célú önkormányzati támogatások</t>
  </si>
  <si>
    <t>Felhalmozási célú pénzeszköz átadás, tám.</t>
  </si>
  <si>
    <t>41.1. Dombóvári Ifjúsági Sporttelep, Szuhay Sportcentrum</t>
  </si>
  <si>
    <t>41.2. JAM csarnok (Mándl Imre Ökölvívó Terem)</t>
  </si>
  <si>
    <t>3. Közvilágítás bővítése, korszerűsítése, fejlesztése (Szőlőhegy, Kapos sor)</t>
  </si>
  <si>
    <t>Több éves kihatással járó döntések számszerűsítése</t>
  </si>
  <si>
    <t>Rövid lejáratú  hitelek, kölcsönök törlesztése</t>
  </si>
  <si>
    <t>Ft</t>
  </si>
  <si>
    <t>Sorsz.</t>
  </si>
  <si>
    <t>Megnevezés</t>
  </si>
  <si>
    <t>Hitelfelvétel</t>
  </si>
  <si>
    <t>2017.</t>
  </si>
  <si>
    <t>2018.</t>
  </si>
  <si>
    <t>2019.</t>
  </si>
  <si>
    <t>2020.</t>
  </si>
  <si>
    <t>2021.</t>
  </si>
  <si>
    <t>2022.</t>
  </si>
  <si>
    <t>1.</t>
  </si>
  <si>
    <t>2.</t>
  </si>
  <si>
    <t>3.</t>
  </si>
  <si>
    <t>Hosszú lejáratú beruházási hitelek törlesztése</t>
  </si>
  <si>
    <t>Törlesztések évente</t>
  </si>
  <si>
    <t>OTP - MFB ÖKIF</t>
  </si>
  <si>
    <t>4.</t>
  </si>
  <si>
    <t>5.</t>
  </si>
  <si>
    <t>6.</t>
  </si>
  <si>
    <t>2017. 01.01. nyitóállomány</t>
  </si>
  <si>
    <t>2023.</t>
  </si>
  <si>
    <t>2024-től</t>
  </si>
  <si>
    <t>Dombóvár és Környéke Víz- és Csatornamű Kft.</t>
  </si>
  <si>
    <t>Több évre kihatással járó kötelezettségvállalások 2016-2017. évi kifizetései (Dombóvári Közös Önkormányzati Hivatal)</t>
  </si>
  <si>
    <t>Ft-ban</t>
  </si>
  <si>
    <t>Szerződő fél</t>
  </si>
  <si>
    <t>Tárgy</t>
  </si>
  <si>
    <t>Lejárat/ teljesítési határidő</t>
  </si>
  <si>
    <t>Várható összeg (Ft/év) 2017.</t>
  </si>
  <si>
    <t>Összeg (Ft/év)  2016</t>
  </si>
  <si>
    <t>ABACUS Számítástechnikai Bt.</t>
  </si>
  <si>
    <t>WinSzoc szoftver jogszabálykövetése</t>
  </si>
  <si>
    <t>határozatlan</t>
  </si>
  <si>
    <t>Allianz Hungária Biztosító RT</t>
  </si>
  <si>
    <t>gépjármű-felelősség biztosítás /EIE, BIT, JHG, Fiat/, Casco+kieg. életbiztosítás /BIT, JHG, EIE/</t>
  </si>
  <si>
    <t>gfb-Aprilia segédmotor kerékpár</t>
  </si>
  <si>
    <t>gfb-Derbi segédmotor kerékpár</t>
  </si>
  <si>
    <t>Chlebovics Miklós ev.</t>
  </si>
  <si>
    <t>statisztika elkészítése, szaktanácsadás-KataWin program</t>
  </si>
  <si>
    <t>Daemia Kft.</t>
  </si>
  <si>
    <t>vírusirtó program Linux operációs rendszer</t>
  </si>
  <si>
    <t>Kaspersky vírus-és spam védelem-licensz</t>
  </si>
  <si>
    <t>Dombóvár és Környéke Többcélú Kistérségi Társulás</t>
  </si>
  <si>
    <t>D.vár Bezerédj u.14.sz.alatti helyiségek haszn-i és rezsiktg</t>
  </si>
  <si>
    <t>Dr. Hegedűs és Társa Egészségügyi és Szolg. Bt.</t>
  </si>
  <si>
    <t>üzemorvos-Szakcs</t>
  </si>
  <si>
    <t>DRV</t>
  </si>
  <si>
    <t>vízdíj-hivatal, Szakcs</t>
  </si>
  <si>
    <t>eKÖZIG Zrt.</t>
  </si>
  <si>
    <t>licenszdíj, support díj-Önki.alapnyilvántart.támogató helyi nyilvánt.r</t>
  </si>
  <si>
    <t>E.ON Energiaszolgáltató Kft.</t>
  </si>
  <si>
    <t>rendszerhasználati díj-hivatali épületek</t>
  </si>
  <si>
    <t>áram-Szakcs</t>
  </si>
  <si>
    <t>gáz-Szabadság u. 18. (városháza)</t>
  </si>
  <si>
    <t>E-Szoftverfejlesztő Kft.</t>
  </si>
  <si>
    <t>felhasználói díj+rendszerkövetés-KATAWIN szoftver</t>
  </si>
  <si>
    <t>EURO-PROFIL Kft.</t>
  </si>
  <si>
    <t>Konica Minolta Bizhub 420 fénymásológép üzemeltetése</t>
  </si>
  <si>
    <t>2016.12.31 (évente meghosszíbbítva)</t>
  </si>
  <si>
    <t>Konica Minolta Bizhub 215 fénymásológép üzemeltetése</t>
  </si>
  <si>
    <t>Konica Minolta Bizhub 227 fénymásológép üzemeltetése</t>
  </si>
  <si>
    <t>Konica Minolta Bizhub 423 fénymásológép üzemeltetése</t>
  </si>
  <si>
    <t>Konica Minolta Bizhub C224 fénymásológép üzemeltetése</t>
  </si>
  <si>
    <t>EUROPORTÁL KFT</t>
  </si>
  <si>
    <t>intranet rendszer, www.kondavolgy.hu webszerver szolg.</t>
  </si>
  <si>
    <t>Földmérési és Távérzékelési Intézet</t>
  </si>
  <si>
    <t>TAKARNET adatátv.hálózathoz-hálózati díj és tuladoni lap más</t>
  </si>
  <si>
    <t xml:space="preserve">lekérdezés alapján havonta </t>
  </si>
  <si>
    <t>GOND-X Biztonságtechnikai és Kereskedelmi Kft.</t>
  </si>
  <si>
    <t xml:space="preserve">Bezerédj 14. tűzjelző </t>
  </si>
  <si>
    <t>hivatali diszpécser szolgálat-Szent I. tér 1.</t>
  </si>
  <si>
    <t>bizt.techn távfelügy., műszaki készenlét és karb.-Szab. 18.</t>
  </si>
  <si>
    <t>Gulyásné Kovács Zita</t>
  </si>
  <si>
    <t>Ivóvízminőság-jav.Társulás pü-i,gazdálk-i feladatainak ell.</t>
  </si>
  <si>
    <t>JakabNet Szoftverház Kft.</t>
  </si>
  <si>
    <t>Integrált Közszolg. Szoftvercsomag követése-pü,szoc...modul-Szakcs</t>
  </si>
  <si>
    <t>K&amp;H Biztosító Zrt.</t>
  </si>
  <si>
    <t>LHL651 GFB - Szakcs</t>
  </si>
  <si>
    <t>felelősségbiztosítás, casco-JLV-415</t>
  </si>
  <si>
    <t>felelősségbiztosítás-JHG-242</t>
  </si>
  <si>
    <t>felelősségbiztosítás-EIE-487</t>
  </si>
  <si>
    <t>felelősségbiztosítás-LLP-126</t>
  </si>
  <si>
    <t>Karádi Attila Csaba e.v.</t>
  </si>
  <si>
    <t>KIMÉRA Kft.</t>
  </si>
  <si>
    <t>Jogszabálykövetés /iktató rendszer/</t>
  </si>
  <si>
    <t>Komunáldata Kft</t>
  </si>
  <si>
    <t>szoftverfelügyelet /Műk. eng., Telephely eng.</t>
  </si>
  <si>
    <t>2D vonalkóddal ellát.űrlapcsomag karbant.-adó</t>
  </si>
  <si>
    <t>szállás nyilvántartó program üzemeltetés</t>
  </si>
  <si>
    <t>KOREND RENDSZERHÁZ KFT.</t>
  </si>
  <si>
    <t>Gordius pü-i program, FOKA könyvelés rednszer felügyelete</t>
  </si>
  <si>
    <t>MAGIC/onyx/Magyarország Kft</t>
  </si>
  <si>
    <t>Magic program karbantartása, (Gordius-hoz)</t>
  </si>
  <si>
    <t>Magyar Posta Zrt.</t>
  </si>
  <si>
    <t>készpénz-átutalási megbízások adathordozójának díjai</t>
  </si>
  <si>
    <t>postai küldemények havi díja</t>
  </si>
  <si>
    <t>Magyar Telecom Nyrt.</t>
  </si>
  <si>
    <t>tűzlejző rendszer teleofnvonala-Bezerédj 14.</t>
  </si>
  <si>
    <t>vezetékes telefonok - Szakcs</t>
  </si>
  <si>
    <t>mobiltelefon előfizetése-Szakcs (30/501-3166)</t>
  </si>
  <si>
    <t>Márton Zoltán ev.</t>
  </si>
  <si>
    <t>PH épületek fűtési rendszerek üzemeltetése, karbantartása</t>
  </si>
  <si>
    <t>Microsec Zrt.</t>
  </si>
  <si>
    <t>Nem elektronikus aláírásra szolg.tanúsítványok kibocs.fennt.</t>
  </si>
  <si>
    <t>e-Szigno Csomag keretében együttesen nyújtott szolgáltatások</t>
  </si>
  <si>
    <t>MOL Nyrt</t>
  </si>
  <si>
    <t>üzemanyag - szakcs</t>
  </si>
  <si>
    <t>megrendelő</t>
  </si>
  <si>
    <t>MVM Partner Energiakereskedelmi Zrt.</t>
  </si>
  <si>
    <t>villamosenergia-hivatali épületek</t>
  </si>
  <si>
    <t>2017.02.28 (évente új szerződés!)</t>
  </si>
  <si>
    <t>Nemzeti Hulladékgazdálkodási és Vagyonkezelő Zrt.</t>
  </si>
  <si>
    <t>Szab. 18, Bez. 14. kukák ürítése</t>
  </si>
  <si>
    <t>Telenor Magyarország Zrt.</t>
  </si>
  <si>
    <t>mobil távközlési szolgáltatások és mobil telefonok vásárlása</t>
  </si>
  <si>
    <t>Tolna Megyei Kormányhivatal</t>
  </si>
  <si>
    <t>helyi személyiadat és lakcímnyilvánt. számgépes rendsz.karbt</t>
  </si>
  <si>
    <t>OMV</t>
  </si>
  <si>
    <t>Opten Informatikai Kft.</t>
  </si>
  <si>
    <t>cégtár online (adós modul) éves előfizetés</t>
  </si>
  <si>
    <t>cégtár online (pü-i modul) éves előfizetés</t>
  </si>
  <si>
    <t>lemondásig érvényben</t>
  </si>
  <si>
    <t>ÖKO-DOMBÓ KFT</t>
  </si>
  <si>
    <t xml:space="preserve"> Szabadság 18., Bezerédj 14. kuka bérlete, ürítése (2016.04.01-től NHKV üríti)</t>
  </si>
  <si>
    <t>PaprikaSoft Kft.</t>
  </si>
  <si>
    <t>tárhely szolgáltatás(www.dombovar.hu)</t>
  </si>
  <si>
    <t>Print Copy Kft.</t>
  </si>
  <si>
    <t>fénymásolók üzemeltetési költsége (AF3045, MP5500, AF3025)</t>
  </si>
  <si>
    <t>RELLÜM Kft.</t>
  </si>
  <si>
    <t>fénymásoló másolatok díja (Minolta 250)</t>
  </si>
  <si>
    <t>Saldo Rt.</t>
  </si>
  <si>
    <t>tagdíj</t>
  </si>
  <si>
    <t>Fleetcor Kft (volt SHELL HUNGARY ZRT)</t>
  </si>
  <si>
    <t>üzemanyag, kártyadíj</t>
  </si>
  <si>
    <t>TAGE Kft.</t>
  </si>
  <si>
    <t>Polg. Hiv. takarítása-felhasznált higéniai szerek</t>
  </si>
  <si>
    <t>Tapaszti Gyula</t>
  </si>
  <si>
    <t>portaszolgálat</t>
  </si>
  <si>
    <t>TARR Kft.</t>
  </si>
  <si>
    <t>internet-előfizetési díj, internet optikai szálbérlet,kábelTV…</t>
  </si>
  <si>
    <t>internet-előfizetési díj-Szakcs</t>
  </si>
  <si>
    <t>UNION Vienna Insurance Group Biztosító Zrt.</t>
  </si>
  <si>
    <t>gépjármű-felelősség biztosítás /BIT/</t>
  </si>
  <si>
    <t>VARITEL Irodatechnika</t>
  </si>
  <si>
    <t>fénymásoló (KONICA Minolta BizHub 283)bérleti díja</t>
  </si>
  <si>
    <t>2016.12.31 (meg lesz hosszabbítva)</t>
  </si>
  <si>
    <t>fénymásoló bérlete (Develop Ineo)</t>
  </si>
  <si>
    <t>fénymásoló (KONICA Minolta BizHub 420)bérleti díja, üzemeltetési díja</t>
  </si>
  <si>
    <t>Veolia Zrt</t>
  </si>
  <si>
    <t>fűtési díj ( Bezerédj 14.)</t>
  </si>
  <si>
    <t>Wolters Kluwer Kft.</t>
  </si>
  <si>
    <t>előfizetések (Adóklub Plusz)</t>
  </si>
  <si>
    <t>előfizetések (jogtárak, döntvénytár, kommentár ptj-hoz, adóklub+...)</t>
  </si>
  <si>
    <t>X-R Copy Kft.</t>
  </si>
  <si>
    <t>másolatok díja-Kon. Min. Bizhub 163. és 210.-Szakcs</t>
  </si>
  <si>
    <t>Összeg (Ft/év)  2016.</t>
  </si>
  <si>
    <t>5T Építészeti és Városfejlesztési Kft.</t>
  </si>
  <si>
    <t>Településrendezési tervek készítése</t>
  </si>
  <si>
    <t>Településrendezési tervek módosítása</t>
  </si>
  <si>
    <t>AEGON Magyarország Zrt</t>
  </si>
  <si>
    <t>Vagyonbiztosítás</t>
  </si>
  <si>
    <t>AGROKEMI RT</t>
  </si>
  <si>
    <t>gesztenyefák és platánfák permetezése</t>
  </si>
  <si>
    <t>évente új szerződés</t>
  </si>
  <si>
    <t>ALDOCOM BT</t>
  </si>
  <si>
    <t>Internet előfizetés - Víztorony</t>
  </si>
  <si>
    <t>klasszikus élet- és személybiztosítás (Szabó Loránd)</t>
  </si>
  <si>
    <t>ARTBORETUM Kert- és Szépművészeti Társaság</t>
  </si>
  <si>
    <t>Kossuth-szoborcsoport:tájépészeti koncepció,TOP-1.2.1-15.</t>
  </si>
  <si>
    <t>ARKER-INVEST Kft</t>
  </si>
  <si>
    <t>Dombóvár városkártya-jogdíj</t>
  </si>
  <si>
    <t>ATEV Fehérjefeldolgozó Rt.</t>
  </si>
  <si>
    <t>állati hulladék szállítása</t>
  </si>
  <si>
    <t>Balaskó János e.v.</t>
  </si>
  <si>
    <t>városi fúvószenekar felkészítése</t>
  </si>
  <si>
    <t>Bartal és Rabb Kft</t>
  </si>
  <si>
    <t>Korona Szálló állagmegóvási terve</t>
  </si>
  <si>
    <t>Bán János Mihály</t>
  </si>
  <si>
    <t>Előszerződés (Dombóvár, deák F.u.10. ingatlan adásvétele)</t>
  </si>
  <si>
    <t>CAMINUS Tüzeléstechnikai Kft.</t>
  </si>
  <si>
    <t>kéményseprés (Teleki 81, Szepesi 1. HO.)</t>
  </si>
  <si>
    <t>Construct Controll Mérnökiroda Kft.</t>
  </si>
  <si>
    <t>Pannónia u. 5. garzonház és orvosi rendelő átal-műszaki ell.</t>
  </si>
  <si>
    <t>Dombó Pál Lakásépítő és Fenntartó</t>
  </si>
  <si>
    <t>közös ktg-Pannónia u. 34.</t>
  </si>
  <si>
    <t>közös költség Ady u. 8. üzlethelyiség</t>
  </si>
  <si>
    <t>DOMBÓ-COOP ZRT</t>
  </si>
  <si>
    <t>Áruház előtti tér használata</t>
  </si>
  <si>
    <t>2016.03.31, legkésőbb a telekhatárok végleges rendezéséig</t>
  </si>
  <si>
    <t>Településrendezési terv módosítása</t>
  </si>
  <si>
    <t>Hotel előtti ter. fejlesztési koncepció tervének elkész.</t>
  </si>
  <si>
    <t>DOMBÓ-LAND KFT.</t>
  </si>
  <si>
    <t>tagi kölcsön 260/2016 (V.26.) Kt. határozat alapján</t>
  </si>
  <si>
    <t>Dombó-Média Kft</t>
  </si>
  <si>
    <t>Városmarketing és kommunikációs tevékenység</t>
  </si>
  <si>
    <t>viziközmű-fejlesztéssel kapcs. műszaki tanácsadói feladatok</t>
  </si>
  <si>
    <t>távhővagyon</t>
  </si>
  <si>
    <t>DOMBÓVÁR TV</t>
  </si>
  <si>
    <t>2004-2011 között Dombóvárról készült felv. + felhaszn.jog</t>
  </si>
  <si>
    <t>Dombóvári HACS Egyesület</t>
  </si>
  <si>
    <t>kamatmentes kölcsön-Fejlesztési Strat. elkész.+alapítás ktge</t>
  </si>
  <si>
    <t>Dombóvári Roma Nemzetiségi Önkormányzat</t>
  </si>
  <si>
    <t>Gépjármű költség - hulladékgyűjtő szigetek rendebetételével</t>
  </si>
  <si>
    <t>Dombóvári Római Katolikus Plébánia</t>
  </si>
  <si>
    <t>vill. hálózat haszn. díja-templom (Jézus Sz.,Kertv.,Újdv.)-térfigyelő r.</t>
  </si>
  <si>
    <t>Dombóvári Szent Lukács Kórház</t>
  </si>
  <si>
    <t>vill. hálózat haszn. díja (térfigyelő r.)</t>
  </si>
  <si>
    <t>Dombóvári Város- és Lakásgazd. Nkft.</t>
  </si>
  <si>
    <t xml:space="preserve">lakóingatlan kezelés - Fecskeház, Platán tér, Liget </t>
  </si>
  <si>
    <t>,</t>
  </si>
  <si>
    <t>parkfenntartás</t>
  </si>
  <si>
    <t>síkosságmentesítés, hó eltakarítás</t>
  </si>
  <si>
    <t>Kinizsi 37. üzemeltetése</t>
  </si>
  <si>
    <t>városüzemeltetési feladatok</t>
  </si>
  <si>
    <t>gyepmesteri telep üzemeltetése</t>
  </si>
  <si>
    <t>megváltozott munkaképességűek rehab. foglalkoztatása</t>
  </si>
  <si>
    <t>támogatás - járdaprogram</t>
  </si>
  <si>
    <t>közfeladatok ellátása</t>
  </si>
  <si>
    <t>Dr. Gere László Ph.D.</t>
  </si>
  <si>
    <t>Dombóvár zsinagóga épületében régészeti falkutatás</t>
  </si>
  <si>
    <t>érvényes kutatási engedélytől számított 30nap</t>
  </si>
  <si>
    <t xml:space="preserve">dr.  Pucsli és Tsa. Bt. </t>
  </si>
  <si>
    <t>üzemorvosi ellátás</t>
  </si>
  <si>
    <t>iskola eü. feladat</t>
  </si>
  <si>
    <t>dr. Turi Ügyvédi Iroda</t>
  </si>
  <si>
    <t>megbízási díj - jogi tanácsadás</t>
  </si>
  <si>
    <t>Dr. Belt Éva</t>
  </si>
  <si>
    <t>Gyermekorvosi körzet helyettesítése</t>
  </si>
  <si>
    <t>Dr. Keller Tamás Gyermekgyógyászati Bt.</t>
  </si>
  <si>
    <t>DRV Zrt</t>
  </si>
  <si>
    <t>víz-önkormányzati fogyasztási helyek</t>
  </si>
  <si>
    <t>rendszerhasználati díj-ingatlanok, vízátemelők stb…</t>
  </si>
  <si>
    <t>közvilágítás</t>
  </si>
  <si>
    <t>gáz-ingatlanok</t>
  </si>
  <si>
    <t>gáz-Szuhay SC (Földvár u. 18.)</t>
  </si>
  <si>
    <t>Emberi Erőforrás Támogatáskezelő</t>
  </si>
  <si>
    <t>Bursa Hungarica ösztöndíj</t>
  </si>
  <si>
    <t>Emergency Service Egészségügyi Szolgáltató Kft.</t>
  </si>
  <si>
    <t>megbízási díj ügyeleti feladatok ellátására</t>
  </si>
  <si>
    <t>Erzsébet Utalványforgalmazó Kft</t>
  </si>
  <si>
    <t>étkezési, iskolai</t>
  </si>
  <si>
    <t>FABER Technik Kft.</t>
  </si>
  <si>
    <t>Pannónia u. 5. átalakítása</t>
  </si>
  <si>
    <t>Fordán Adolf</t>
  </si>
  <si>
    <t>kártevőirtás</t>
  </si>
  <si>
    <t>évente megállapodás</t>
  </si>
  <si>
    <t xml:space="preserve">Glaub János </t>
  </si>
  <si>
    <t xml:space="preserve">óvodások szállítása </t>
  </si>
  <si>
    <t>Gond-X Kft.</t>
  </si>
  <si>
    <t>Szigeterdei lakótorony 24 órás távfelügyelete, Termál u. 5. nyaraló</t>
  </si>
  <si>
    <t>Groupama Garancia Biztosító Zrt.</t>
  </si>
  <si>
    <t>Vagyon- és felelősségbiztosítás ( Nővérszálló)</t>
  </si>
  <si>
    <t>Orvosi felelősségbiztosítás</t>
  </si>
  <si>
    <t>Hamulyák Közalapítvány</t>
  </si>
  <si>
    <t>kölcsön</t>
  </si>
  <si>
    <t>HIP Számítástechnikai Kft</t>
  </si>
  <si>
    <t>VISUAL SZOLGA háziorvosi programrendszer</t>
  </si>
  <si>
    <t>Hohner Károly Györgyné</t>
  </si>
  <si>
    <t>lakóingatlan vétele-Arany J. tér 24. (231/5. hrsz.)</t>
  </si>
  <si>
    <t>Ignác utca 17. Kft</t>
  </si>
  <si>
    <t>közbeszerzési tanácsadás parkfenntartási szerődés módosítása</t>
  </si>
  <si>
    <t>jogszerűség vizsgálata-KEOP-1.3.0/09-11-2013-0035 szerződésmódosítás, állásfoglalás…</t>
  </si>
  <si>
    <t>Ignácz Imre</t>
  </si>
  <si>
    <t>betlehemi kompozíció a víztoronynál</t>
  </si>
  <si>
    <t>Integrált</t>
  </si>
  <si>
    <t>I. sz. házi gyermekorvosi rendelő költségei (gáz, telefon)</t>
  </si>
  <si>
    <t>INVESTMENT Mérnöki és Fővállalkozó Kft.</t>
  </si>
  <si>
    <t>Biohulladék kezelő telep megvalósíthatósági koncepció</t>
  </si>
  <si>
    <t>Önkormányzati épületek energetikai jellemzőinek tanúsítv.</t>
  </si>
  <si>
    <t>Petőfi u. vízvezeték hálózat rekonstrukció</t>
  </si>
  <si>
    <t>terv-Vasútsori lakások,Szuhay SC,üz. konyha közüz. ellát.</t>
  </si>
  <si>
    <t>IZRA Bt.</t>
  </si>
  <si>
    <t>megvalósíthatósági tanulm.-"Energiatudatos Dvár",KEHOP-5.4.1</t>
  </si>
  <si>
    <t>háttértanulmány-Natúrpark</t>
  </si>
  <si>
    <t>Jazyg Kutató Fejlesztő Kft.</t>
  </si>
  <si>
    <t>Natúrpark elemi kataszterének szakértői összeállítása</t>
  </si>
  <si>
    <t>Kapos-Koppányvölgyi Vízi Társ.</t>
  </si>
  <si>
    <t>Szuhajdombi árok üzemeltetése</t>
  </si>
  <si>
    <t>Karádi-Kontroll Kft</t>
  </si>
  <si>
    <t>Tűzvédelmi feladatok elvégzése</t>
  </si>
  <si>
    <t>Kincstár Köznevelési Intézményekkel kapcs. Befiz</t>
  </si>
  <si>
    <t>Kisvárosi Önk.Orsz.Érdekszöv.</t>
  </si>
  <si>
    <t>éves tagdíj</t>
  </si>
  <si>
    <t>Kiszler András e.v.</t>
  </si>
  <si>
    <t>városi fúvószenekar felkészítése-fellépés és annak szervezés</t>
  </si>
  <si>
    <t>Klebelsberg Intézményfenntartó Központ</t>
  </si>
  <si>
    <t>közüzemi díjak</t>
  </si>
  <si>
    <t>Klímabarát Települések Szövetsége</t>
  </si>
  <si>
    <t>egyesületi tagdíj</t>
  </si>
  <si>
    <t>KOVI-95 KFT.</t>
  </si>
  <si>
    <t>hóeltakarítás, síkosságmentesítés</t>
  </si>
  <si>
    <t>Magyar Európa Park Szövetség Egyesület</t>
  </si>
  <si>
    <t>Magyar Telekom Nyrt.</t>
  </si>
  <si>
    <t>Pénztárgép spec. informatikai szolg.</t>
  </si>
  <si>
    <t>Márkus Mérnöki Iroda Kft</t>
  </si>
  <si>
    <t>műszaki ellenőri feladatok-Petőfi u. vízvezeték hál. rekonst</t>
  </si>
  <si>
    <t>MÁV Vagyonkezelő Zrt.</t>
  </si>
  <si>
    <t>közüzemi díjak-MÁV sporttelep-(Földvár u. u. 18)</t>
  </si>
  <si>
    <t>Méterv Tervező és Kivitelező Bt.</t>
  </si>
  <si>
    <t>tanácsadói,bonyolítói fel.-csap.víz elvez.r.átalak.,Konda p.</t>
  </si>
  <si>
    <t>Mikrolift Kft</t>
  </si>
  <si>
    <t>Hóvirág u. 1. HO felvonó karbantartása</t>
  </si>
  <si>
    <t>Multi Alarm Zrt.</t>
  </si>
  <si>
    <t>Városi térfigyelő kamerarendszer kiépítése+karbantartás</t>
  </si>
  <si>
    <t>Városi térfigyelő kamerarendszer bővítése+karbantartás</t>
  </si>
  <si>
    <t>Münnich Ádám e.v.</t>
  </si>
  <si>
    <t xml:space="preserve">közreműködés a villamos energia közbesz. eljárásában </t>
  </si>
  <si>
    <t>közbeszerzési eljárás lezárásáig</t>
  </si>
  <si>
    <t xml:space="preserve">MVM Partner Energiakereskedelmi Zrt. </t>
  </si>
  <si>
    <t>áramdíj, közvilágítás</t>
  </si>
  <si>
    <t>2017.02.28 (közbeszerzés!)</t>
  </si>
  <si>
    <t>Nemzeti Hulladékgazdálkodási Koordináló és Vagyonkezelő Zrt.</t>
  </si>
  <si>
    <t>Hulladékszállítás-Katona József utca 37.</t>
  </si>
  <si>
    <t>BOBR tartály ürítése-város</t>
  </si>
  <si>
    <t>Hulladékelszállítás-háziorvosi rendelők-Hóvirág u. 1.</t>
  </si>
  <si>
    <t>Hulladékszállítás-Szabadság utca 4.</t>
  </si>
  <si>
    <t>hulladékszállítás-Balatonfenyves tábor (1100l-es kuka)</t>
  </si>
  <si>
    <t>New Contex Kft.</t>
  </si>
  <si>
    <t>NSW-032 Iveco Daily 35C10 billenőplatós tehergépjármű használata</t>
  </si>
  <si>
    <t>Népköztársaság u. 23.- 25.- 27.- 29. Társasház</t>
  </si>
  <si>
    <t>közös költség Pannónia u 23-29 garázs</t>
  </si>
  <si>
    <t>közös költség Pannónia u. 27. üzlet</t>
  </si>
  <si>
    <t>Országos Közegészségügyi Központ</t>
  </si>
  <si>
    <t>légszennyennyezettségi vizsg. Gunaras gyógyhellyé nyilvánít.</t>
  </si>
  <si>
    <t>Hulladékudvar üzemeltetési szerződés</t>
  </si>
  <si>
    <t>Szelektív hull.gyűjtés többletköltsége, ártalmatlanítás, hulladék begyűjtés…</t>
  </si>
  <si>
    <t>BOBR tartály ürítése, bérlete (2016.04.01-től csak bérlet, hull. Száll: NHKV Zrt.)</t>
  </si>
  <si>
    <t>hulladékelszállítás-Háziorvosi rendelők -Hóvirág u. 1</t>
  </si>
  <si>
    <t>házhoz menő zöldhulladék gyűjtés</t>
  </si>
  <si>
    <t>megállapodás</t>
  </si>
  <si>
    <t>Péterfi Katalin, Dombóvári Város- és Lakásgazdálkodási NKft.</t>
  </si>
  <si>
    <t>Betlehemi kompozíció bővítése</t>
  </si>
  <si>
    <t>Régió 2007 Kft.</t>
  </si>
  <si>
    <t>Helyi személyszállítási közszolgáltatás ellátása</t>
  </si>
  <si>
    <t>TAGE - Dvári Város- és Lakásgazd Nkft.</t>
  </si>
  <si>
    <t>Parkfenntartás,utak-járdák tiszt,hóeltak.(keretszerződés)</t>
  </si>
  <si>
    <t>Társasház Hunyadi tér buszmegá</t>
  </si>
  <si>
    <t>közös költség-Hunyadi téri buszmegálló</t>
  </si>
  <si>
    <t>Tief-Hoch Bau Kft.</t>
  </si>
  <si>
    <t>világítás áthely. DIS-ről Szuhay SC-be</t>
  </si>
  <si>
    <t>Tindói Ház</t>
  </si>
  <si>
    <t>működési támogatás</t>
  </si>
  <si>
    <t>Tóth Temetkezés Kft.</t>
  </si>
  <si>
    <t>köztemetés</t>
  </si>
  <si>
    <t>fűtés-Apáczai (konyha)</t>
  </si>
  <si>
    <t>fűtés-JAÁMK</t>
  </si>
  <si>
    <t>fűtési díj-Illyés Gimázium (kollégium)</t>
  </si>
  <si>
    <t>fűtési díj-Pannónia u. 27.</t>
  </si>
  <si>
    <t>VILL-KORR HUNGÁRIA Villamosipari Kft.</t>
  </si>
  <si>
    <t>közvilágítás aktív elemeinek üzemeltetése és karbantartása</t>
  </si>
  <si>
    <t>2016.09.30, megrendelő alapján 10-12. hó</t>
  </si>
  <si>
    <t>ZNET Telekom Zrt.</t>
  </si>
  <si>
    <t>AirBusiness 10/10 internet-Víztorony</t>
  </si>
  <si>
    <t>fordított áfa</t>
  </si>
  <si>
    <t>Több évre kihatással járó kötelezettségvállalások 2016-2017. évi kifizetései (Dombóvár Város Önkormányzata)</t>
  </si>
  <si>
    <t>Garancia és kezességvállalás (függő)</t>
  </si>
  <si>
    <t>Kezesség típusa</t>
  </si>
  <si>
    <t>Kezességvállalás mértéke/hitelkeret
eFt</t>
  </si>
  <si>
    <t>Kezességvállalás kezdete</t>
  </si>
  <si>
    <t>Kezességvállalás időtartama/ lejárata</t>
  </si>
  <si>
    <t>Csökkenés 2017-ben</t>
  </si>
  <si>
    <t>Csökkenés 2018-ban</t>
  </si>
  <si>
    <t>Dombóvári Város- és Lakásgzadálkodási Nkft.
(OTP-nél folyószámlahitel)</t>
  </si>
  <si>
    <t>készfizető kezesség</t>
  </si>
  <si>
    <t>2016.12.21</t>
  </si>
  <si>
    <t>2017.12.31.</t>
  </si>
  <si>
    <t>2017. évi nyitó</t>
  </si>
  <si>
    <t>2017. évi növekedés</t>
  </si>
  <si>
    <t>Csökkenés 2019-ben</t>
  </si>
  <si>
    <t>Dombóvár Város Önkormányzatának költségvetési mérlege</t>
  </si>
  <si>
    <t>Bevételek</t>
  </si>
  <si>
    <t>2018. év</t>
  </si>
  <si>
    <t>Helyi adók</t>
  </si>
  <si>
    <t>Gépjárműadó</t>
  </si>
  <si>
    <t>Egyéb központi adók</t>
  </si>
  <si>
    <t>Egyéb közhatalmi bevételek</t>
  </si>
  <si>
    <t>Működési célú tám. államháztartáson belülről</t>
  </si>
  <si>
    <t>Működési célú pénzeszköz átvétel</t>
  </si>
  <si>
    <t>Kölcsön visszatérülés</t>
  </si>
  <si>
    <t>Működési célú bevételek összesen</t>
  </si>
  <si>
    <t>Felhalmozási célú pénzeszköz átvétel</t>
  </si>
  <si>
    <t>Felhalmozási célú kölcsön visszatérülés</t>
  </si>
  <si>
    <t>Felhalmozási célú hitel igénybevétele</t>
  </si>
  <si>
    <t>Felhalmozási célú bevétel összesen:</t>
  </si>
  <si>
    <t>Bevétel összesen:</t>
  </si>
  <si>
    <t>Kiadások</t>
  </si>
  <si>
    <t>Személyi juttatások összesen:</t>
  </si>
  <si>
    <t>Működési célú pénzeszköz átadás, egyéb tám.</t>
  </si>
  <si>
    <t>Ellátottak pénzbeli juttatása</t>
  </si>
  <si>
    <t>Rövid lejáratú hitel visszafizetés</t>
  </si>
  <si>
    <t>Rövid lejáratú hitel kamat</t>
  </si>
  <si>
    <t>Céltartalék működési, általános tartalék</t>
  </si>
  <si>
    <t>Működési kiadás összesen</t>
  </si>
  <si>
    <t>Felújítási kiadások</t>
  </si>
  <si>
    <t>Felhalmozási célú hitel visszafizetés</t>
  </si>
  <si>
    <t>Hosszú lejáratú hitel kamata</t>
  </si>
  <si>
    <t>Felhalmozási célú kölcsön nyújtás</t>
  </si>
  <si>
    <t>Felhalmozási kiadások összesen:</t>
  </si>
  <si>
    <t>Kiadások összesen:</t>
  </si>
  <si>
    <t>Az önkormányzat által nyújtott közvetett támogatások</t>
  </si>
  <si>
    <t>Támogatás kedvezményezettje</t>
  </si>
  <si>
    <t>jellege</t>
  </si>
  <si>
    <t>várható összege (eFt)</t>
  </si>
  <si>
    <t>65 év feletti adózók</t>
  </si>
  <si>
    <t>kommunális adó kedvezmény (50%)</t>
  </si>
  <si>
    <t>70 év feletti adózók</t>
  </si>
  <si>
    <t>kommunális adó mentesség</t>
  </si>
  <si>
    <t>Vállalkozó akinek adóalapja nem haladja meg a 2,5 millió forintot</t>
  </si>
  <si>
    <t>iparűzési adómentesség</t>
  </si>
  <si>
    <t>Magánszemélyek (akik legfeljebb 8 szobás és legfeljebb 16 ágyszámmal rendelkező szálláshelyen töltenek el vendégéjszakát)</t>
  </si>
  <si>
    <t>idegenforgalmi adó mentesség</t>
  </si>
  <si>
    <t>Gyermekétkeztetés</t>
  </si>
  <si>
    <t>térítési díj kedvezmény (10%)</t>
  </si>
  <si>
    <t>Sportszervezetek, nemzetiségi önkormányzatok, önkormányzat gazdasági társaságai</t>
  </si>
  <si>
    <t>térítésmentes bérlet</t>
  </si>
  <si>
    <t>I. Helyi adónál biztosított kedvezmény, mentesség</t>
  </si>
  <si>
    <t>Az építményadóról szóló 41/2015. (XII. 1.) önkormányzati rendelet</t>
  </si>
  <si>
    <t>A Gunaras-fürdő területén található, az ingatlan-nyilvántartásban üdülő, hétvégi ház megnevezéssel nyilvántartott építmény utáni építményadó-fizetési kötelezettségét illetően adókedvezmény iránti kérelemmel élhet az adóhatóság felé az a magánszemély, aki az építmény tulajdonosa vagy az építményt terhelő vagyoni értékű jog jogosítottja, amennyiben az építményben egyedül vagy hozzátartozójával együtt életvitelszerűen lakik.</t>
  </si>
  <si>
    <t>A magánszemélyek kommunális adójáról, az idegenforgalmi adóról és a helyi iparűzési adóról szóló 40/2015. (XII. 1.) önkormányzati rendelet</t>
  </si>
  <si>
    <t>Magánszemélyek kommunális adójánál</t>
  </si>
  <si>
    <t>A lakás után fizetendő magánszemélyek kommunális adója alól mentes az a magánszemély, aki a 70. életévét betöltötte. 50 %-os adókedvezmény illeti meg azt a magánszemélyt, aki a 65. életévét betöltötte.</t>
  </si>
  <si>
    <t>A használatbavételi engedély kiadását követő évtől számítva 2 évig mentes a magánszemélyek kommunális adófizetési kötelezettsége alól az a magánszemély, aki új építésű családi házat épít.</t>
  </si>
  <si>
    <t>Idegenforgalmi adónál</t>
  </si>
  <si>
    <t>Mentes a magánszemély az idegenforgalmi adó megfizetése alól a Htv. 31. §-ban foglaltakon túl a szálláshely-szolgáltatási tevékenység folytatásának részletes feltételeiről és szálláshely-üzemeltetési engedély kiadásának rendjéről szóló 239/2009. (X. 20.) Korm. rendelet 2. § h) pontja alá tartozó szálláshelyen eltöltött vendégéjszaka után.</t>
  </si>
  <si>
    <t>Iparűzési adónál</t>
  </si>
  <si>
    <t>Adómentesség illeti meg a vállalkozót, ha a Htv. 39. § (1) bekezdése, illetőleg a 39/A. §-a vagy 39/B §-a alapján számított (vállalkozási szintű) adóalapja nem haladja meg a 2,5 millió Ft-ot.</t>
  </si>
  <si>
    <t>A mentesség pontos összegét és az adóalanyok számát az iparűzési adóbevallások május 31-éig esedékes beküldése után pontosítja az önkormányzat.</t>
  </si>
  <si>
    <t>II. Térítési díjaknál biztosított kedvezmények</t>
  </si>
  <si>
    <t>III. Helyiségek, eszközök hasznosításából származó bevételből nyújtott kedvezmény, mentesség összege</t>
  </si>
  <si>
    <t>támogatásról szóló döntés száma</t>
  </si>
  <si>
    <t>ingatlan megnevezése</t>
  </si>
  <si>
    <t>támogatás kedvezményezettje</t>
  </si>
  <si>
    <t>336/2014. (VIII. 28.) Kt. határozat</t>
  </si>
  <si>
    <t xml:space="preserve">Dombóvári Tenisz Egyesület </t>
  </si>
  <si>
    <t>426/2014. (XII. 18.) Kt. határozat</t>
  </si>
  <si>
    <t>Dombóvári Német Nemzetiségi Önkormányzat, Dombóvári Horvát Nemzetiségi Önkormányzat</t>
  </si>
  <si>
    <t>429/2014. (XII. 18.) Kt. határozat</t>
  </si>
  <si>
    <t>Dombóvári Boxklub</t>
  </si>
  <si>
    <t>431/2014. (XII. 18.)Kt. határozat</t>
  </si>
  <si>
    <t>Dombóvári Kutyás Egyesület</t>
  </si>
  <si>
    <t>472/2014. (XII. 18.)Kt. határozat</t>
  </si>
  <si>
    <t>Dombóvári Művelődési Ház Nkft.</t>
  </si>
  <si>
    <t>483/2014. (XII. 18.)Kt. Határozat</t>
  </si>
  <si>
    <t>Dombóvár, Hunyadi tér 25. számú ingatlanban a Kft. működéséhez szükséges helyiségeket</t>
  </si>
  <si>
    <t>Dombó-Média Kft.</t>
  </si>
  <si>
    <t>Dombóvári Futball Club, Dombóvári Focisuli Egyesület, „Black Angels” Női labdarúgó Egyesület</t>
  </si>
  <si>
    <t>29/2016. (I. 28.) Kt. Határozat</t>
  </si>
  <si>
    <t>Dombóvár, Kinizsi u. 37. szám alatt található, Jam-csarnok elnevezésű ingatlan U-alakú épületének északi szárnyában található, a Dombóvári Boxklub használatában lévő ökölvívó terem közüzemi költségeinek finanszírozását 2016. február 1. napjától határozatlan időtartamig átvállalta az önkormányzat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</si>
  <si>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</si>
  <si>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</si>
  <si>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</si>
  <si>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</si>
  <si>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</si>
  <si>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</si>
  <si>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</si>
  <si>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</si>
  <si>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</si>
  <si>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</si>
  <si>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</si>
  <si>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</si>
  <si>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Intézményi működési bevétel</t>
  </si>
  <si>
    <t xml:space="preserve">  ebből helyi adó</t>
  </si>
  <si>
    <t>Átvett pénzeszközök, támogatás államháztartáson belülről</t>
  </si>
  <si>
    <t xml:space="preserve">  ebből működésre</t>
  </si>
  <si>
    <t xml:space="preserve">  ebből fejlesztésre</t>
  </si>
  <si>
    <t>Egyéb bevétel (pénz/készlet/maradvány,
kölcsön visszatérülés, alulfin.)</t>
  </si>
  <si>
    <t>Bevételek együtt (1+…+6)</t>
  </si>
  <si>
    <t>Finanszírozási műveletek (hitel)</t>
  </si>
  <si>
    <t xml:space="preserve">  ebből működési célú hitel</t>
  </si>
  <si>
    <t xml:space="preserve">  ebből felhalmozási célú hitel</t>
  </si>
  <si>
    <t>Összes bevétel (7+8)</t>
  </si>
  <si>
    <t>Személyi juttatás</t>
  </si>
  <si>
    <t>Munkaadókat terhelő járulék</t>
  </si>
  <si>
    <t>Dologi kiadás</t>
  </si>
  <si>
    <t>Egyéb működési célú kiadás</t>
  </si>
  <si>
    <t>Működési kiadások (10+…+14)</t>
  </si>
  <si>
    <t>Felújítás</t>
  </si>
  <si>
    <t>Beruházás</t>
  </si>
  <si>
    <t>Egyéb felhalmozási kiadás</t>
  </si>
  <si>
    <t>Felhalmozási kiadás (16+17+18)</t>
  </si>
  <si>
    <t>Céltartalék, általános tartalék</t>
  </si>
  <si>
    <t>Kiadások együtt (15+19+20)</t>
  </si>
  <si>
    <t xml:space="preserve">  ebből működési célú hiteltörlesztés</t>
  </si>
  <si>
    <t xml:space="preserve">  ebből felhalmozási célú hiteltörlesztés</t>
  </si>
  <si>
    <t>Összes kiadás (21+22)</t>
  </si>
  <si>
    <t>7-21 eltérése (+/-)</t>
  </si>
  <si>
    <t>9-23 eltérése (+/-)</t>
  </si>
  <si>
    <t>Záró pénzkészlet</t>
  </si>
  <si>
    <t>Műkö-  dési  bevétel</t>
  </si>
  <si>
    <t>Felhalmozási bevétel</t>
  </si>
  <si>
    <t>Átvett pénz- eszköz</t>
  </si>
  <si>
    <t>Pénzma-   radv. + Alulfin.</t>
  </si>
  <si>
    <t>Állami támogatás + OEP</t>
  </si>
  <si>
    <t>Önk. tám.</t>
  </si>
  <si>
    <t>Int.fin.</t>
  </si>
  <si>
    <t>Integrált Önkormányzati Szolg. Szerv.</t>
  </si>
  <si>
    <t>előirányzata</t>
  </si>
  <si>
    <t>Családalapítási támogatás</t>
  </si>
  <si>
    <t>Szociális, jóléti, kulturális  juttatások</t>
  </si>
  <si>
    <t>Továbbképzés támogatása</t>
  </si>
  <si>
    <t>Egészségügyi juttatás (védőszemüveg)</t>
  </si>
  <si>
    <t>Vezetői illetménypótlék (jegyző, irodavezetők)</t>
  </si>
  <si>
    <t>Lakásépítés,- vásárlás támogatása</t>
  </si>
  <si>
    <t>- Szakcsi Kirendeltség 7 fő</t>
  </si>
  <si>
    <t>2019. év</t>
  </si>
  <si>
    <t>2020. év</t>
  </si>
  <si>
    <t>31. Buzánszky mellszobor készíttetése Szuhay Sportcentrumba</t>
  </si>
  <si>
    <t>489/2016. (XII. 15.) Kt. határozat</t>
  </si>
  <si>
    <t>- Dombóvári Focisuli Egyesület
- Dombóvári Kosárlabda Suli Khe.
- Perfect Dance Tánc-Sport Egyesület
- Dombóvári Karatesuli Khe.
- Dombóvári Vasutas Atlétikai és Szabadidő Egyesület
- Dombóvári Floorball Közhasznú Sportegyesület
- Cyklon Ikigaidó SE Dombóvár
- Dombóvári Asztalitenisz Club Khe.
- Dombóvári Hangulat Szabadidő Sportegyesület
- Dombóvári Futball Club</t>
  </si>
  <si>
    <t>Dombóvár 1890 hrsz-ú, természetben Dombóvár, Földvár u. 18. szám alatt lévő sportingatlan (2018. december 31-ig)</t>
  </si>
  <si>
    <t>Dombóvár, Bezerédj u. 14. szám alatti, dombóvári 1306. hrsz.-ú ingatlanon épült társas irodaházban alábbi helyiségek:
a) A Nemzetiségi Közösségi Ház – 
a nagyterem a kiszolgálóhelyiségekkel együtt (1306/A/2. külön helyrajzi szám), iroda (bemutatóterem) 18,90 m2 (1306/A/3. külön helyrajzi szám egyik irodahelyisége) iroda 18,40 m2 (1306/A/3. külön helyrajzi szám egyik irodahelyisége),
b) a Német Közösségi Ház – pince (alagsor és mellékhelyiségei) (1306/A/1. külön helyrajzi szám)
2019. december 31-ig</t>
  </si>
  <si>
    <t>dombóvári, 1971/1 helyrajzi számon felvett, Dombóvár, Kinizsi u. 37. szám alatt található Jam-csarnok megjelölésű ingatlan U alakú épületében kialakított ökölvívó terem, az ökölvívó terem melletti edzőterem (2019. december 31-ig)</t>
  </si>
  <si>
    <t>dombóvári 0328/1 hrsz.-ú, a gyepmesteri telepet is magában foglaló ingatlan (2019. december 31-ig)</t>
  </si>
  <si>
    <t>Művelődési Ház (Dombóvár, Hunyadi tér 25.) ingatlan, hang- és fénytechnikai eszközök, mobilszínpad</t>
  </si>
  <si>
    <t>Katona József utca 37. szám alatt található Dombóvári Ifjúsági Sporttelep centerpályája és az északi kis pálya esetében 2019.december 31-ig térítésmentes használat</t>
  </si>
  <si>
    <t>572/2015. (XII. 17.)Kt. Határozat</t>
  </si>
  <si>
    <t>Dombóvár, Földvár utcában található, dombóvári 1882/2 hrsz. alatt felvett „volt MÁV étkezde” ingatlan területén a Szigeterdő mellett elhelyezkedő, 1.350 m2 nagyságú teniszpálya
2022. január 31-ig</t>
  </si>
  <si>
    <t>Finanszírozási műveletek (hiteltörl., Áht-n belüli megelőleg. visszafiz.)</t>
  </si>
  <si>
    <t>Dombóvár Város Önkormányzata 2017. évi előirányzat felhasználási terve</t>
  </si>
  <si>
    <t>Intézmények finanszírozása 2017. évben</t>
  </si>
  <si>
    <t>2017. évi szociális, jóléti és egészségügyi juttatás</t>
  </si>
  <si>
    <t>A gyermekvédelem helyi szabályozásáról szóló 12/2006. (II.20.) rendelet alapján az önkormányzat 10% kedvezményt biztosít a gyermekétkeztetés személyi térítési díjából a Dombóvár város közigazgatási területén lakóhellyel, ennek hiányában tartózkodási hellyel rendelkező gyermek esetében, aki a Gyvt. 21/B §-a alapján normatív kedvezményre nem jogosult.</t>
  </si>
  <si>
    <t>20 %-os adókedvezmény illeti meg azt a magánszemélyt, akinek e rendelet 1. melléklete I., II., vagy III. övezetébe sorolt lakóingatlana előtti közút nem rendelkezik aszfaltburkolattal.</t>
  </si>
  <si>
    <t>Tulajdonjog, illetve haszonélvezeti jog alapján a kedvezmény 1.136 adózót, a mentesség 1.934 adózót érint.</t>
  </si>
  <si>
    <r>
      <t>Cafetéria juttatás</t>
    </r>
    <r>
      <rPr>
        <sz val="12"/>
        <rFont val="Times New Roman"/>
        <family val="1"/>
        <charset val="238"/>
      </rPr>
      <t xml:space="preserve"> (bruttó 200.000 Ft/fő/év)</t>
    </r>
  </si>
  <si>
    <t>Dombóvár</t>
  </si>
  <si>
    <t>Szakcs</t>
  </si>
  <si>
    <t xml:space="preserve">Engedélyezett létszám 2017. évre 78  fő </t>
  </si>
  <si>
    <t>- Dombóvár 71 fő ( 3 fő rehabos, 7 fő közfogl.)</t>
  </si>
  <si>
    <t>14. Horvay utcában járdafelújítás a Vak Bottyán utcától a temetőig</t>
  </si>
  <si>
    <t>76. Nyerges-tó környezetének, játszótér, és sportpálya rendbetétele</t>
  </si>
  <si>
    <t>1. melléklet a 13/2017. (II. 17.) önkormányzati rendelethez</t>
  </si>
  <si>
    <t>2. melléklet a 13/2017. (II. 17.) önkormányzati rendelethez</t>
  </si>
  <si>
    <t>2.a. melléklet a 13/2017. (II. 17.) önkormányzati rendelethez</t>
  </si>
  <si>
    <t>3. melléklet a 13/2017. (II. 17.) önkormányzati rendelethez</t>
  </si>
  <si>
    <t>4. melléklet a 13/2017. (II. 17.) önkormányzati rendelethez</t>
  </si>
  <si>
    <t>5.a melléklet a 13/2017. (II. 17.) önkormányzati rendelethez</t>
  </si>
  <si>
    <t>5.b melléklet a 13/2017. (II. 17.) önkormányzati rendelethez</t>
  </si>
  <si>
    <t>5.c melléklet a 13/2017. (II. 17.)  önkormányzati rendelethez</t>
  </si>
  <si>
    <t>6. melléklet a 13/2017. (II. 17.) önkormányzati rendelethez</t>
  </si>
  <si>
    <t>7. melléklet a 13/2017. (II. 17.) önkormányzati rendelethez</t>
  </si>
  <si>
    <t>8. melléklet a 13/2017. (II. 17.) önkormányzati rendelethez</t>
  </si>
  <si>
    <t xml:space="preserve"> 8/a melléklet a 13/2017. (II. 17.) önkormányzati rendelethez</t>
  </si>
  <si>
    <t>9. melléklet a 13/2017. (II. 17.) önkormányzati rendelethez</t>
  </si>
  <si>
    <t>10. Formaingek értékesítése</t>
  </si>
  <si>
    <t>1.3.1. Szociális ágazati összevont pótlék kifizetéséhez támogatás</t>
  </si>
  <si>
    <t>1.3.2. Bölcsődei pótlék kifizetéséhez támogatás</t>
  </si>
  <si>
    <t>1.4.1. Kulturális pótlék kifizetéséhez támogatás</t>
  </si>
  <si>
    <t>2.1. Költségvetési szerveknél foglalkoztatottak 2017. évi
kompenzációja</t>
  </si>
  <si>
    <t>1.3. Terület, részvény értékesítés</t>
  </si>
  <si>
    <t>1.6. Hulladékszállító gépjármű értékesítése</t>
  </si>
  <si>
    <t>2.4. 1956-os emlékmű rendbetételéhez támogatás</t>
  </si>
  <si>
    <t>2.5. Térfigyelő kamerákra ÖKO-DOMBÓ Nonprofit Kft-től</t>
  </si>
  <si>
    <t>77. TOP-5.1.2-15 Helyi foglalkoztatási együttműködések című projekthez kapcsolódóan a Dombó-Land Kft. részére a
projektmenedzsment feladatok ellátásáért járó megbízási díj</t>
  </si>
  <si>
    <t>78. Közvilágítás korszerűsítés műszaki ellenőrzése</t>
  </si>
  <si>
    <t>79. Dombóvári Ifjúsági Fúvószenekar részére formaingek</t>
  </si>
  <si>
    <t>80. "Életmód magazin" készítése - Dombó-Média Kft.</t>
  </si>
  <si>
    <t>81. 2017. évi egészségfejlesztési programsorozat költségei</t>
  </si>
  <si>
    <t>2.18. Dombóvári HACS Egyesület számára támogatás</t>
  </si>
  <si>
    <t>2.19. Dombóvári Ifjúsági Fúvószenekar támogatása</t>
  </si>
  <si>
    <t>2.20. Dombó-Média Kft. részére pótbefizetés</t>
  </si>
  <si>
    <t>32. Árusító pavilon beszerzése</t>
  </si>
  <si>
    <t>33. "Forrás" című köztéri alkotáshoz szökőkút kialakítása</t>
  </si>
  <si>
    <t>34. Farkas Attila Uszoda infrastrukturális fejlesztése</t>
  </si>
  <si>
    <t>15. 1956-os emlékmű rendbetétele</t>
  </si>
  <si>
    <t>16. Petőfi u. parkoló rekonstrukciója</t>
  </si>
  <si>
    <t>17. Hotel Dombóvár előtt új térkőburkolat kialakítása</t>
  </si>
  <si>
    <t>18. Pannónia út 5. szám alatti épület keleti és nyugati homlokzata hőszigetelési munkái</t>
  </si>
  <si>
    <t>2.4. Tinódi Ház Nkft. részére a Majoros terem átalakítására, ifjúsági klub létrehozására</t>
  </si>
  <si>
    <t>2.6. Ovi-Sport Pálya megépítéséhez önerő Dombóvári Gyermekvilág Óvodánál</t>
  </si>
  <si>
    <t>3.6. Erkel Ferenc utca útburkolat felújításhoz önerő</t>
  </si>
  <si>
    <t>128/2017. (III. 30.) Kt. határozat</t>
  </si>
  <si>
    <t>Dombóvár 782/3/A/4 hrsz-ú, természetben Dombóvár, Hunyadi tér 2. alatti társasházban lévő ingatlan térítésmentes használata, közüzemi költségek 50%-ának viselése</t>
  </si>
  <si>
    <t>89/2017. (II. 23.) Kt. határozat</t>
  </si>
  <si>
    <t>Balatonfenyvesi Ifjúsági Táborba tervezett zenekari tábor esetében a szállásköltség elengedése</t>
  </si>
  <si>
    <t>Dombóvári Ifjúsági Fúvószenekar</t>
  </si>
  <si>
    <t>149/2017. (III. 30.) Kt. határozat</t>
  </si>
  <si>
    <t>Hunyadi tér 5. szám alatti Hotel Dombóvár előtti 60 m2-es terület használatára vonatkozóan 50% közterület-használati díj kedvezmény 9 évre</t>
  </si>
  <si>
    <t>Dombó-Coop Zrt.</t>
  </si>
  <si>
    <t>Módosított előirányzat</t>
  </si>
  <si>
    <t>2017. mód.</t>
  </si>
  <si>
    <t>mód. 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</si>
</sst>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F_t_-;\-* #,##0\ _F_t_-;_-* &quot;-&quot;\ _F_t_-;_-@_-"/>
    <numFmt numFmtId="164" formatCode="#,##0.0000"/>
    <numFmt numFmtId="165" formatCode="#,##0_ ;\-#,##0\ "/>
    <numFmt numFmtId="166" formatCode="0.0%"/>
    <numFmt numFmtId="167" formatCode="0.0"/>
  </numFmts>
  <fonts count="6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vertAlign val="superscript"/>
      <sz val="11"/>
      <name val="Times New Roman"/>
      <family val="1"/>
      <charset val="238"/>
    </font>
    <font>
      <sz val="12"/>
      <name val="Arial"/>
      <family val="2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0"/>
      <name val="Times New Roman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i/>
      <sz val="11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charset val="238"/>
    </font>
    <font>
      <i/>
      <sz val="9"/>
      <name val="Times New Roman CE"/>
      <charset val="238"/>
    </font>
    <font>
      <u/>
      <sz val="12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67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" fillId="0" borderId="0" applyBorder="0"/>
    <xf numFmtId="0" fontId="30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0" borderId="0" applyBorder="0"/>
    <xf numFmtId="0" fontId="3" fillId="0" borderId="0" applyBorder="0"/>
    <xf numFmtId="0" fontId="3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9" fontId="2" fillId="0" borderId="0" applyFont="0" applyFill="0" applyBorder="0" applyAlignment="0" applyProtection="0"/>
  </cellStyleXfs>
  <cellXfs count="584">
    <xf numFmtId="0" fontId="0" fillId="0" borderId="0" xfId="0"/>
    <xf numFmtId="0" fontId="22" fillId="0" borderId="0" xfId="53" applyFont="1"/>
    <xf numFmtId="0" fontId="25" fillId="0" borderId="0" xfId="53" applyFont="1"/>
    <xf numFmtId="3" fontId="26" fillId="0" borderId="10" xfId="53" applyNumberFormat="1" applyFont="1" applyFill="1" applyBorder="1"/>
    <xf numFmtId="3" fontId="27" fillId="0" borderId="10" xfId="53" applyNumberFormat="1" applyFont="1" applyFill="1" applyBorder="1"/>
    <xf numFmtId="0" fontId="29" fillId="0" borderId="11" xfId="53" applyFont="1" applyBorder="1" applyAlignment="1">
      <alignment horizontal="center"/>
    </xf>
    <xf numFmtId="0" fontId="26" fillId="0" borderId="11" xfId="53" applyFont="1" applyBorder="1" applyAlignment="1">
      <alignment horizontal="right"/>
    </xf>
    <xf numFmtId="0" fontId="22" fillId="0" borderId="13" xfId="53" applyFont="1" applyFill="1" applyBorder="1"/>
    <xf numFmtId="0" fontId="22" fillId="0" borderId="10" xfId="53" applyFont="1" applyFill="1" applyBorder="1" applyAlignment="1">
      <alignment horizontal="right"/>
    </xf>
    <xf numFmtId="0" fontId="22" fillId="0" borderId="10" xfId="53" applyFont="1" applyBorder="1"/>
    <xf numFmtId="0" fontId="22" fillId="0" borderId="10" xfId="53" applyFont="1" applyFill="1" applyBorder="1"/>
    <xf numFmtId="0" fontId="22" fillId="0" borderId="0" xfId="53" applyFont="1" applyAlignment="1">
      <alignment wrapText="1"/>
    </xf>
    <xf numFmtId="0" fontId="22" fillId="0" borderId="12" xfId="53" applyFont="1" applyFill="1" applyBorder="1"/>
    <xf numFmtId="0" fontId="22" fillId="0" borderId="14" xfId="53" applyFont="1" applyFill="1" applyBorder="1"/>
    <xf numFmtId="0" fontId="26" fillId="0" borderId="10" xfId="53" applyFont="1" applyBorder="1" applyAlignment="1">
      <alignment vertical="center" wrapText="1"/>
    </xf>
    <xf numFmtId="0" fontId="22" fillId="0" borderId="0" xfId="53" applyFont="1" applyAlignment="1">
      <alignment vertical="center"/>
    </xf>
    <xf numFmtId="0" fontId="26" fillId="0" borderId="10" xfId="53" applyFont="1" applyFill="1" applyBorder="1" applyAlignment="1">
      <alignment horizontal="center" vertical="center" wrapText="1"/>
    </xf>
    <xf numFmtId="0" fontId="26" fillId="0" borderId="0" xfId="53" applyFont="1"/>
    <xf numFmtId="3" fontId="26" fillId="0" borderId="10" xfId="53" applyNumberFormat="1" applyFont="1" applyFill="1" applyBorder="1" applyAlignment="1">
      <alignment wrapText="1"/>
    </xf>
    <xf numFmtId="0" fontId="23" fillId="0" borderId="0" xfId="53" applyFont="1"/>
    <xf numFmtId="0" fontId="22" fillId="0" borderId="12" xfId="53" applyFont="1" applyFill="1" applyBorder="1" applyAlignment="1">
      <alignment horizontal="right"/>
    </xf>
    <xf numFmtId="0" fontId="21" fillId="0" borderId="10" xfId="53" applyFont="1" applyFill="1" applyBorder="1"/>
    <xf numFmtId="0" fontId="23" fillId="0" borderId="10" xfId="53" applyFont="1" applyFill="1" applyBorder="1"/>
    <xf numFmtId="0" fontId="24" fillId="0" borderId="10" xfId="53" applyFont="1" applyFill="1" applyBorder="1"/>
    <xf numFmtId="0" fontId="32" fillId="0" borderId="0" xfId="53" applyFont="1" applyFill="1" applyBorder="1"/>
    <xf numFmtId="0" fontId="34" fillId="0" borderId="0" xfId="53" applyFont="1" applyFill="1" applyBorder="1" applyAlignment="1">
      <alignment horizontal="center"/>
    </xf>
    <xf numFmtId="0" fontId="34" fillId="0" borderId="15" xfId="53" applyFont="1" applyFill="1" applyBorder="1" applyAlignment="1">
      <alignment horizontal="center"/>
    </xf>
    <xf numFmtId="0" fontId="34" fillId="0" borderId="16" xfId="53" applyFont="1" applyFill="1" applyBorder="1" applyAlignment="1">
      <alignment horizontal="center"/>
    </xf>
    <xf numFmtId="0" fontId="34" fillId="0" borderId="17" xfId="53" applyFont="1" applyFill="1" applyBorder="1" applyAlignment="1">
      <alignment horizontal="center"/>
    </xf>
    <xf numFmtId="0" fontId="34" fillId="0" borderId="18" xfId="53" applyFont="1" applyFill="1" applyBorder="1" applyAlignment="1">
      <alignment horizontal="center"/>
    </xf>
    <xf numFmtId="0" fontId="32" fillId="0" borderId="19" xfId="53" applyFont="1" applyFill="1" applyBorder="1"/>
    <xf numFmtId="0" fontId="32" fillId="0" borderId="20" xfId="53" applyFont="1" applyFill="1" applyBorder="1" applyAlignment="1">
      <alignment horizontal="right"/>
    </xf>
    <xf numFmtId="0" fontId="32" fillId="0" borderId="21" xfId="53" applyFont="1" applyFill="1" applyBorder="1"/>
    <xf numFmtId="0" fontId="34" fillId="0" borderId="19" xfId="53" applyFont="1" applyFill="1" applyBorder="1"/>
    <xf numFmtId="0" fontId="34" fillId="0" borderId="20" xfId="53" applyFont="1" applyFill="1" applyBorder="1" applyAlignment="1">
      <alignment horizontal="right"/>
    </xf>
    <xf numFmtId="0" fontId="34" fillId="0" borderId="21" xfId="53" applyFont="1" applyFill="1" applyBorder="1"/>
    <xf numFmtId="3" fontId="32" fillId="0" borderId="10" xfId="53" applyNumberFormat="1" applyFont="1" applyFill="1" applyBorder="1"/>
    <xf numFmtId="0" fontId="32" fillId="0" borderId="10" xfId="53" applyFont="1" applyFill="1" applyBorder="1"/>
    <xf numFmtId="0" fontId="32" fillId="0" borderId="20" xfId="53" applyFont="1" applyFill="1" applyBorder="1"/>
    <xf numFmtId="3" fontId="34" fillId="0" borderId="10" xfId="53" applyNumberFormat="1" applyFont="1" applyFill="1" applyBorder="1"/>
    <xf numFmtId="0" fontId="34" fillId="0" borderId="10" xfId="53" applyFont="1" applyFill="1" applyBorder="1"/>
    <xf numFmtId="3" fontId="32" fillId="0" borderId="19" xfId="53" applyNumberFormat="1" applyFont="1" applyFill="1" applyBorder="1"/>
    <xf numFmtId="0" fontId="33" fillId="0" borderId="19" xfId="53" applyFont="1" applyFill="1" applyBorder="1"/>
    <xf numFmtId="0" fontId="33" fillId="0" borderId="20" xfId="53" applyFont="1" applyFill="1" applyBorder="1" applyAlignment="1">
      <alignment horizontal="right"/>
    </xf>
    <xf numFmtId="0" fontId="33" fillId="0" borderId="21" xfId="53" applyFont="1" applyFill="1" applyBorder="1"/>
    <xf numFmtId="3" fontId="33" fillId="0" borderId="19" xfId="53" applyNumberFormat="1" applyFont="1" applyFill="1" applyBorder="1"/>
    <xf numFmtId="3" fontId="33" fillId="0" borderId="10" xfId="53" applyNumberFormat="1" applyFont="1" applyFill="1" applyBorder="1"/>
    <xf numFmtId="0" fontId="35" fillId="0" borderId="19" xfId="53" applyFont="1" applyFill="1" applyBorder="1"/>
    <xf numFmtId="0" fontId="34" fillId="0" borderId="19" xfId="53" applyFont="1" applyFill="1" applyBorder="1" applyAlignment="1">
      <alignment horizontal="center"/>
    </xf>
    <xf numFmtId="0" fontId="32" fillId="0" borderId="20" xfId="53" applyFont="1" applyFill="1" applyBorder="1" applyAlignment="1">
      <alignment horizontal="center"/>
    </xf>
    <xf numFmtId="0" fontId="35" fillId="0" borderId="20" xfId="53" applyFont="1" applyFill="1" applyBorder="1" applyAlignment="1">
      <alignment horizontal="right"/>
    </xf>
    <xf numFmtId="3" fontId="35" fillId="0" borderId="10" xfId="53" applyNumberFormat="1" applyFont="1" applyFill="1" applyBorder="1"/>
    <xf numFmtId="0" fontId="32" fillId="0" borderId="21" xfId="53" applyFont="1" applyFill="1" applyBorder="1" applyAlignment="1">
      <alignment wrapText="1"/>
    </xf>
    <xf numFmtId="14" fontId="32" fillId="0" borderId="21" xfId="53" applyNumberFormat="1" applyFont="1" applyFill="1" applyBorder="1" applyAlignment="1">
      <alignment wrapText="1"/>
    </xf>
    <xf numFmtId="0" fontId="32" fillId="0" borderId="21" xfId="53" applyFont="1" applyFill="1" applyBorder="1" applyAlignment="1">
      <alignment vertical="top" wrapText="1"/>
    </xf>
    <xf numFmtId="0" fontId="32" fillId="0" borderId="22" xfId="53" applyFont="1" applyFill="1" applyBorder="1"/>
    <xf numFmtId="0" fontId="34" fillId="0" borderId="23" xfId="53" applyFont="1" applyFill="1" applyBorder="1"/>
    <xf numFmtId="0" fontId="22" fillId="0" borderId="10" xfId="53" applyFont="1" applyFill="1" applyBorder="1" applyAlignment="1">
      <alignment horizontal="center" vertical="center"/>
    </xf>
    <xf numFmtId="3" fontId="34" fillId="0" borderId="15" xfId="53" applyNumberFormat="1" applyFont="1" applyFill="1" applyBorder="1" applyAlignment="1">
      <alignment horizontal="center"/>
    </xf>
    <xf numFmtId="3" fontId="34" fillId="0" borderId="16" xfId="53" applyNumberFormat="1" applyFont="1" applyFill="1" applyBorder="1" applyAlignment="1">
      <alignment horizontal="center"/>
    </xf>
    <xf numFmtId="3" fontId="34" fillId="0" borderId="17" xfId="53" applyNumberFormat="1" applyFont="1" applyFill="1" applyBorder="1" applyAlignment="1">
      <alignment horizontal="center"/>
    </xf>
    <xf numFmtId="0" fontId="34" fillId="0" borderId="22" xfId="53" applyFont="1" applyFill="1" applyBorder="1" applyAlignment="1">
      <alignment horizontal="center" vertical="center"/>
    </xf>
    <xf numFmtId="0" fontId="32" fillId="0" borderId="24" xfId="53" applyFont="1" applyFill="1" applyBorder="1" applyAlignment="1">
      <alignment horizontal="center" vertical="center"/>
    </xf>
    <xf numFmtId="0" fontId="34" fillId="0" borderId="25" xfId="53" applyFont="1" applyFill="1" applyBorder="1" applyAlignment="1">
      <alignment horizontal="center"/>
    </xf>
    <xf numFmtId="0" fontId="34" fillId="0" borderId="26" xfId="53" applyFont="1" applyFill="1" applyBorder="1" applyAlignment="1">
      <alignment horizontal="center"/>
    </xf>
    <xf numFmtId="0" fontId="34" fillId="0" borderId="20" xfId="53" applyFont="1" applyFill="1" applyBorder="1" applyAlignment="1">
      <alignment horizontal="center"/>
    </xf>
    <xf numFmtId="0" fontId="32" fillId="0" borderId="19" xfId="53" applyFont="1" applyFill="1" applyBorder="1" applyAlignment="1">
      <alignment horizontal="center"/>
    </xf>
    <xf numFmtId="0" fontId="33" fillId="0" borderId="19" xfId="53" applyFont="1" applyFill="1" applyBorder="1" applyAlignment="1">
      <alignment horizontal="center"/>
    </xf>
    <xf numFmtId="0" fontId="33" fillId="0" borderId="20" xfId="53" applyFont="1" applyFill="1" applyBorder="1" applyAlignment="1">
      <alignment horizontal="center"/>
    </xf>
    <xf numFmtId="3" fontId="34" fillId="0" borderId="10" xfId="53" applyNumberFormat="1" applyFont="1" applyFill="1" applyBorder="1" applyAlignment="1">
      <alignment horizontal="right"/>
    </xf>
    <xf numFmtId="0" fontId="35" fillId="0" borderId="20" xfId="53" applyFont="1" applyFill="1" applyBorder="1" applyAlignment="1">
      <alignment horizontal="center"/>
    </xf>
    <xf numFmtId="0" fontId="32" fillId="0" borderId="19" xfId="53" applyFont="1" applyFill="1" applyBorder="1" applyAlignment="1">
      <alignment horizontal="center" wrapText="1"/>
    </xf>
    <xf numFmtId="0" fontId="34" fillId="0" borderId="19" xfId="53" applyFont="1" applyFill="1" applyBorder="1" applyAlignment="1"/>
    <xf numFmtId="0" fontId="32" fillId="0" borderId="20" xfId="53" applyFont="1" applyFill="1" applyBorder="1" applyAlignment="1">
      <alignment horizontal="center" wrapText="1"/>
    </xf>
    <xf numFmtId="3" fontId="32" fillId="0" borderId="10" xfId="53" applyNumberFormat="1" applyFont="1" applyFill="1" applyBorder="1" applyAlignment="1">
      <alignment wrapText="1"/>
    </xf>
    <xf numFmtId="0" fontId="36" fillId="0" borderId="20" xfId="53" applyFont="1" applyFill="1" applyBorder="1" applyAlignment="1"/>
    <xf numFmtId="0" fontId="32" fillId="0" borderId="24" xfId="53" applyFont="1" applyFill="1" applyBorder="1"/>
    <xf numFmtId="0" fontId="32" fillId="0" borderId="14" xfId="53" applyFont="1" applyFill="1" applyBorder="1"/>
    <xf numFmtId="0" fontId="32" fillId="0" borderId="12" xfId="53" applyFont="1" applyFill="1" applyBorder="1"/>
    <xf numFmtId="0" fontId="32" fillId="0" borderId="13" xfId="53" applyFont="1" applyFill="1" applyBorder="1"/>
    <xf numFmtId="1" fontId="34" fillId="0" borderId="27" xfId="53" applyNumberFormat="1" applyFont="1" applyFill="1" applyBorder="1" applyAlignment="1">
      <alignment horizontal="center" vertical="center"/>
    </xf>
    <xf numFmtId="0" fontId="34" fillId="0" borderId="25" xfId="53" applyFont="1" applyFill="1" applyBorder="1"/>
    <xf numFmtId="0" fontId="34" fillId="0" borderId="26" xfId="53" applyFont="1" applyFill="1" applyBorder="1" applyAlignment="1">
      <alignment horizontal="right"/>
    </xf>
    <xf numFmtId="0" fontId="34" fillId="0" borderId="28" xfId="53" applyFont="1" applyFill="1" applyBorder="1"/>
    <xf numFmtId="0" fontId="32" fillId="0" borderId="24" xfId="53" applyFont="1" applyFill="1" applyBorder="1" applyAlignment="1">
      <alignment horizontal="right"/>
    </xf>
    <xf numFmtId="0" fontId="32" fillId="0" borderId="23" xfId="53" applyFont="1" applyFill="1" applyBorder="1"/>
    <xf numFmtId="3" fontId="32" fillId="0" borderId="29" xfId="53" applyNumberFormat="1" applyFont="1" applyFill="1" applyBorder="1" applyAlignment="1">
      <alignment horizontal="right"/>
    </xf>
    <xf numFmtId="3" fontId="32" fillId="0" borderId="30" xfId="53" applyNumberFormat="1" applyFont="1" applyFill="1" applyBorder="1" applyAlignment="1">
      <alignment horizontal="center" wrapText="1"/>
    </xf>
    <xf numFmtId="0" fontId="32" fillId="0" borderId="30" xfId="53" applyFont="1" applyFill="1" applyBorder="1" applyAlignment="1">
      <alignment horizontal="center" wrapText="1"/>
    </xf>
    <xf numFmtId="0" fontId="32" fillId="0" borderId="31" xfId="53" applyFont="1" applyFill="1" applyBorder="1" applyAlignment="1">
      <alignment horizontal="center" wrapText="1"/>
    </xf>
    <xf numFmtId="0" fontId="32" fillId="0" borderId="20" xfId="53" applyFont="1" applyFill="1" applyBorder="1" applyAlignment="1">
      <alignment horizontal="right" vertical="center"/>
    </xf>
    <xf numFmtId="0" fontId="32" fillId="0" borderId="32" xfId="53" applyFont="1" applyFill="1" applyBorder="1" applyAlignment="1">
      <alignment wrapText="1"/>
    </xf>
    <xf numFmtId="0" fontId="34" fillId="0" borderId="21" xfId="53" applyFont="1" applyFill="1" applyBorder="1" applyAlignment="1">
      <alignment wrapText="1"/>
    </xf>
    <xf numFmtId="0" fontId="33" fillId="0" borderId="21" xfId="53" applyFont="1" applyFill="1" applyBorder="1" applyAlignment="1">
      <alignment wrapText="1"/>
    </xf>
    <xf numFmtId="0" fontId="35" fillId="0" borderId="21" xfId="53" applyFont="1" applyFill="1" applyBorder="1" applyAlignment="1">
      <alignment wrapText="1"/>
    </xf>
    <xf numFmtId="0" fontId="32" fillId="0" borderId="32" xfId="53" applyFont="1" applyFill="1" applyBorder="1"/>
    <xf numFmtId="0" fontId="34" fillId="0" borderId="32" xfId="53" applyFont="1" applyFill="1" applyBorder="1"/>
    <xf numFmtId="0" fontId="33" fillId="0" borderId="32" xfId="53" applyFont="1" applyFill="1" applyBorder="1"/>
    <xf numFmtId="0" fontId="33" fillId="0" borderId="25" xfId="53" applyFont="1" applyFill="1" applyBorder="1"/>
    <xf numFmtId="0" fontId="33" fillId="0" borderId="10" xfId="53" applyFont="1" applyFill="1" applyBorder="1" applyAlignment="1">
      <alignment wrapText="1"/>
    </xf>
    <xf numFmtId="0" fontId="32" fillId="0" borderId="10" xfId="53" applyFont="1" applyFill="1" applyBorder="1" applyAlignment="1">
      <alignment wrapText="1"/>
    </xf>
    <xf numFmtId="0" fontId="35" fillId="0" borderId="10" xfId="53" applyFont="1" applyFill="1" applyBorder="1" applyAlignment="1">
      <alignment wrapText="1"/>
    </xf>
    <xf numFmtId="0" fontId="34" fillId="0" borderId="10" xfId="53" applyFont="1" applyFill="1" applyBorder="1" applyAlignment="1">
      <alignment wrapText="1"/>
    </xf>
    <xf numFmtId="0" fontId="35" fillId="0" borderId="10" xfId="53" applyFont="1" applyFill="1" applyBorder="1"/>
    <xf numFmtId="0" fontId="34" fillId="0" borderId="33" xfId="53" applyFont="1" applyFill="1" applyBorder="1"/>
    <xf numFmtId="3" fontId="33" fillId="0" borderId="10" xfId="53" applyNumberFormat="1" applyFont="1" applyFill="1" applyBorder="1" applyAlignment="1">
      <alignment wrapText="1"/>
    </xf>
    <xf numFmtId="3" fontId="35" fillId="0" borderId="10" xfId="53" applyNumberFormat="1" applyFont="1" applyFill="1" applyBorder="1" applyAlignment="1">
      <alignment wrapText="1"/>
    </xf>
    <xf numFmtId="3" fontId="34" fillId="0" borderId="10" xfId="53" applyNumberFormat="1" applyFont="1" applyFill="1" applyBorder="1" applyAlignment="1">
      <alignment wrapText="1"/>
    </xf>
    <xf numFmtId="3" fontId="32" fillId="0" borderId="10" xfId="53" applyNumberFormat="1" applyFont="1" applyFill="1" applyBorder="1" applyAlignment="1">
      <alignment vertical="top" wrapText="1"/>
    </xf>
    <xf numFmtId="3" fontId="34" fillId="0" borderId="10" xfId="0" applyNumberFormat="1" applyFont="1" applyFill="1" applyBorder="1" applyAlignment="1"/>
    <xf numFmtId="0" fontId="32" fillId="0" borderId="0" xfId="53" applyFont="1" applyFill="1" applyBorder="1" applyAlignment="1">
      <alignment horizontal="right"/>
    </xf>
    <xf numFmtId="0" fontId="33" fillId="0" borderId="0" xfId="53" applyFont="1" applyFill="1" applyBorder="1" applyAlignment="1">
      <alignment horizontal="right" wrapText="1"/>
    </xf>
    <xf numFmtId="0" fontId="22" fillId="0" borderId="0" xfId="53" applyFont="1" applyFill="1" applyBorder="1"/>
    <xf numFmtId="0" fontId="22" fillId="0" borderId="15" xfId="53" applyFont="1" applyFill="1" applyBorder="1"/>
    <xf numFmtId="16" fontId="32" fillId="0" borderId="21" xfId="53" applyNumberFormat="1" applyFont="1" applyFill="1" applyBorder="1" applyAlignment="1">
      <alignment wrapText="1"/>
    </xf>
    <xf numFmtId="0" fontId="26" fillId="0" borderId="0" xfId="53" applyFont="1" applyBorder="1" applyAlignment="1"/>
    <xf numFmtId="0" fontId="33" fillId="0" borderId="0" xfId="53" applyFont="1" applyFill="1" applyBorder="1" applyAlignment="1">
      <alignment horizontal="right"/>
    </xf>
    <xf numFmtId="3" fontId="35" fillId="0" borderId="19" xfId="53" applyNumberFormat="1" applyFont="1" applyFill="1" applyBorder="1"/>
    <xf numFmtId="3" fontId="22" fillId="0" borderId="19" xfId="53" applyNumberFormat="1" applyFont="1" applyFill="1" applyBorder="1"/>
    <xf numFmtId="3" fontId="34" fillId="0" borderId="19" xfId="53" applyNumberFormat="1" applyFont="1" applyFill="1" applyBorder="1"/>
    <xf numFmtId="3" fontId="34" fillId="0" borderId="19" xfId="53" applyNumberFormat="1" applyFont="1" applyFill="1" applyBorder="1" applyAlignment="1">
      <alignment horizontal="right"/>
    </xf>
    <xf numFmtId="0" fontId="31" fillId="0" borderId="0" xfId="0" applyFont="1" applyFill="1" applyBorder="1" applyAlignment="1">
      <alignment horizontal="right" wrapText="1"/>
    </xf>
    <xf numFmtId="3" fontId="32" fillId="0" borderId="19" xfId="53" applyNumberFormat="1" applyFont="1" applyFill="1" applyBorder="1" applyAlignment="1">
      <alignment wrapText="1"/>
    </xf>
    <xf numFmtId="3" fontId="22" fillId="0" borderId="10" xfId="53" applyNumberFormat="1" applyFont="1" applyFill="1" applyBorder="1"/>
    <xf numFmtId="0" fontId="22" fillId="0" borderId="0" xfId="53" applyFont="1" applyFill="1" applyBorder="1" applyAlignment="1">
      <alignment horizontal="right"/>
    </xf>
    <xf numFmtId="0" fontId="32" fillId="0" borderId="21" xfId="53" quotePrefix="1" applyFont="1" applyFill="1" applyBorder="1" applyAlignment="1">
      <alignment wrapText="1"/>
    </xf>
    <xf numFmtId="0" fontId="35" fillId="0" borderId="32" xfId="53" applyFont="1" applyFill="1" applyBorder="1"/>
    <xf numFmtId="0" fontId="34" fillId="0" borderId="12" xfId="53" applyFont="1" applyFill="1" applyBorder="1"/>
    <xf numFmtId="0" fontId="34" fillId="0" borderId="34" xfId="53" applyFont="1" applyFill="1" applyBorder="1" applyAlignment="1">
      <alignment horizontal="center" vertical="center"/>
    </xf>
    <xf numFmtId="0" fontId="34" fillId="0" borderId="27" xfId="53" applyFont="1" applyFill="1" applyBorder="1"/>
    <xf numFmtId="0" fontId="36" fillId="0" borderId="32" xfId="53" applyFont="1" applyFill="1" applyBorder="1" applyAlignment="1"/>
    <xf numFmtId="0" fontId="34" fillId="0" borderId="34" xfId="53" applyFont="1" applyFill="1" applyBorder="1"/>
    <xf numFmtId="3" fontId="32" fillId="0" borderId="32" xfId="53" applyNumberFormat="1" applyFont="1" applyFill="1" applyBorder="1"/>
    <xf numFmtId="3" fontId="32" fillId="0" borderId="32" xfId="53" applyNumberFormat="1" applyFont="1" applyFill="1" applyBorder="1" applyAlignment="1">
      <alignment wrapText="1"/>
    </xf>
    <xf numFmtId="3" fontId="33" fillId="0" borderId="32" xfId="53" applyNumberFormat="1" applyFont="1" applyFill="1" applyBorder="1"/>
    <xf numFmtId="3" fontId="34" fillId="0" borderId="32" xfId="53" applyNumberFormat="1" applyFont="1" applyFill="1" applyBorder="1"/>
    <xf numFmtId="3" fontId="34" fillId="0" borderId="32" xfId="53" applyNumberFormat="1" applyFont="1" applyFill="1" applyBorder="1" applyAlignment="1">
      <alignment horizontal="right"/>
    </xf>
    <xf numFmtId="3" fontId="35" fillId="0" borderId="32" xfId="53" applyNumberFormat="1" applyFont="1" applyFill="1" applyBorder="1"/>
    <xf numFmtId="3" fontId="22" fillId="0" borderId="32" xfId="53" applyNumberFormat="1" applyFont="1" applyFill="1" applyBorder="1"/>
    <xf numFmtId="0" fontId="34" fillId="0" borderId="16" xfId="53" applyFont="1" applyFill="1" applyBorder="1"/>
    <xf numFmtId="0" fontId="34" fillId="0" borderId="19" xfId="53" applyFont="1" applyFill="1" applyBorder="1" applyAlignment="1">
      <alignment wrapText="1"/>
    </xf>
    <xf numFmtId="3" fontId="33" fillId="0" borderId="19" xfId="53" applyNumberFormat="1" applyFont="1" applyFill="1" applyBorder="1" applyAlignment="1">
      <alignment wrapText="1"/>
    </xf>
    <xf numFmtId="0" fontId="32" fillId="0" borderId="19" xfId="53" applyFont="1" applyFill="1" applyBorder="1" applyAlignment="1">
      <alignment wrapText="1"/>
    </xf>
    <xf numFmtId="3" fontId="35" fillId="0" borderId="19" xfId="53" applyNumberFormat="1" applyFont="1" applyFill="1" applyBorder="1" applyAlignment="1">
      <alignment wrapText="1"/>
    </xf>
    <xf numFmtId="0" fontId="33" fillId="0" borderId="19" xfId="53" applyFont="1" applyFill="1" applyBorder="1" applyAlignment="1">
      <alignment wrapText="1"/>
    </xf>
    <xf numFmtId="0" fontId="35" fillId="0" borderId="19" xfId="53" applyFont="1" applyFill="1" applyBorder="1" applyAlignment="1">
      <alignment wrapText="1"/>
    </xf>
    <xf numFmtId="3" fontId="34" fillId="0" borderId="19" xfId="53" applyNumberFormat="1" applyFont="1" applyFill="1" applyBorder="1" applyAlignment="1">
      <alignment wrapText="1"/>
    </xf>
    <xf numFmtId="3" fontId="34" fillId="0" borderId="19" xfId="0" applyNumberFormat="1" applyFont="1" applyFill="1" applyBorder="1" applyAlignment="1"/>
    <xf numFmtId="3" fontId="32" fillId="0" borderId="19" xfId="53" applyNumberFormat="1" applyFont="1" applyFill="1" applyBorder="1" applyAlignment="1">
      <alignment vertical="top" wrapText="1"/>
    </xf>
    <xf numFmtId="3" fontId="35" fillId="0" borderId="32" xfId="53" applyNumberFormat="1" applyFont="1" applyFill="1" applyBorder="1" applyAlignment="1">
      <alignment wrapText="1"/>
    </xf>
    <xf numFmtId="3" fontId="33" fillId="0" borderId="32" xfId="53" applyNumberFormat="1" applyFont="1" applyFill="1" applyBorder="1" applyAlignment="1">
      <alignment wrapText="1"/>
    </xf>
    <xf numFmtId="3" fontId="34" fillId="0" borderId="35" xfId="53" applyNumberFormat="1" applyFont="1" applyFill="1" applyBorder="1"/>
    <xf numFmtId="16" fontId="32" fillId="0" borderId="32" xfId="53" applyNumberFormat="1" applyFont="1" applyFill="1" applyBorder="1" applyAlignment="1">
      <alignment wrapText="1"/>
    </xf>
    <xf numFmtId="0" fontId="24" fillId="0" borderId="19" xfId="53" applyFont="1" applyFill="1" applyBorder="1"/>
    <xf numFmtId="0" fontId="34" fillId="0" borderId="26" xfId="53" applyFont="1" applyFill="1" applyBorder="1"/>
    <xf numFmtId="3" fontId="34" fillId="0" borderId="20" xfId="53" applyNumberFormat="1" applyFont="1" applyFill="1" applyBorder="1"/>
    <xf numFmtId="3" fontId="32" fillId="0" borderId="20" xfId="53" applyNumberFormat="1" applyFont="1" applyFill="1" applyBorder="1"/>
    <xf numFmtId="3" fontId="33" fillId="0" borderId="20" xfId="53" applyNumberFormat="1" applyFont="1" applyFill="1" applyBorder="1"/>
    <xf numFmtId="3" fontId="34" fillId="0" borderId="36" xfId="53" applyNumberFormat="1" applyFont="1" applyFill="1" applyBorder="1" applyAlignment="1">
      <alignment horizontal="right"/>
    </xf>
    <xf numFmtId="0" fontId="34" fillId="0" borderId="20" xfId="53" applyFont="1" applyFill="1" applyBorder="1"/>
    <xf numFmtId="3" fontId="33" fillId="0" borderId="36" xfId="53" applyNumberFormat="1" applyFont="1" applyFill="1" applyBorder="1"/>
    <xf numFmtId="3" fontId="34" fillId="0" borderId="20" xfId="53" applyNumberFormat="1" applyFont="1" applyFill="1" applyBorder="1" applyAlignment="1">
      <alignment horizontal="right"/>
    </xf>
    <xf numFmtId="3" fontId="34" fillId="0" borderId="36" xfId="53" applyNumberFormat="1" applyFont="1" applyFill="1" applyBorder="1"/>
    <xf numFmtId="0" fontId="35" fillId="0" borderId="20" xfId="53" applyFont="1" applyFill="1" applyBorder="1"/>
    <xf numFmtId="3" fontId="35" fillId="0" borderId="20" xfId="53" applyNumberFormat="1" applyFont="1" applyFill="1" applyBorder="1"/>
    <xf numFmtId="3" fontId="32" fillId="0" borderId="36" xfId="53" applyNumberFormat="1" applyFont="1" applyFill="1" applyBorder="1"/>
    <xf numFmtId="3" fontId="32" fillId="0" borderId="20" xfId="53" applyNumberFormat="1" applyFont="1" applyFill="1" applyBorder="1" applyAlignment="1">
      <alignment wrapText="1"/>
    </xf>
    <xf numFmtId="3" fontId="32" fillId="0" borderId="36" xfId="53" applyNumberFormat="1" applyFont="1" applyFill="1" applyBorder="1" applyAlignment="1">
      <alignment wrapText="1"/>
    </xf>
    <xf numFmtId="3" fontId="22" fillId="0" borderId="20" xfId="53" applyNumberFormat="1" applyFont="1" applyFill="1" applyBorder="1"/>
    <xf numFmtId="3" fontId="33" fillId="0" borderId="35" xfId="53" applyNumberFormat="1" applyFont="1" applyFill="1" applyBorder="1"/>
    <xf numFmtId="0" fontId="26" fillId="0" borderId="0" xfId="53" applyFont="1" applyBorder="1" applyAlignment="1">
      <alignment horizontal="right"/>
    </xf>
    <xf numFmtId="3" fontId="34" fillId="0" borderId="34" xfId="53" applyNumberFormat="1" applyFont="1" applyFill="1" applyBorder="1"/>
    <xf numFmtId="3" fontId="34" fillId="0" borderId="35" xfId="53" applyNumberFormat="1" applyFont="1" applyFill="1" applyBorder="1" applyAlignment="1">
      <alignment horizontal="right"/>
    </xf>
    <xf numFmtId="3" fontId="27" fillId="0" borderId="10" xfId="53" applyNumberFormat="1" applyFont="1" applyFill="1" applyBorder="1" applyAlignment="1">
      <alignment wrapText="1"/>
    </xf>
    <xf numFmtId="0" fontId="22" fillId="0" borderId="10" xfId="53" applyFont="1" applyFill="1" applyBorder="1" applyAlignment="1">
      <alignment wrapText="1"/>
    </xf>
    <xf numFmtId="3" fontId="35" fillId="0" borderId="36" xfId="53" applyNumberFormat="1" applyFont="1" applyFill="1" applyBorder="1"/>
    <xf numFmtId="3" fontId="34" fillId="0" borderId="41" xfId="53" applyNumberFormat="1" applyFont="1" applyFill="1" applyBorder="1"/>
    <xf numFmtId="0" fontId="34" fillId="0" borderId="17" xfId="53" applyFont="1" applyFill="1" applyBorder="1"/>
    <xf numFmtId="0" fontId="34" fillId="0" borderId="20" xfId="53" applyFont="1" applyFill="1" applyBorder="1" applyAlignment="1">
      <alignment wrapText="1"/>
    </xf>
    <xf numFmtId="3" fontId="33" fillId="0" borderId="36" xfId="53" applyNumberFormat="1" applyFont="1" applyFill="1" applyBorder="1" applyAlignment="1">
      <alignment wrapText="1"/>
    </xf>
    <xf numFmtId="0" fontId="32" fillId="0" borderId="20" xfId="53" applyFont="1" applyFill="1" applyBorder="1" applyAlignment="1">
      <alignment wrapText="1"/>
    </xf>
    <xf numFmtId="3" fontId="33" fillId="0" borderId="20" xfId="53" applyNumberFormat="1" applyFont="1" applyFill="1" applyBorder="1" applyAlignment="1">
      <alignment wrapText="1"/>
    </xf>
    <xf numFmtId="3" fontId="35" fillId="0" borderId="20" xfId="53" applyNumberFormat="1" applyFont="1" applyFill="1" applyBorder="1" applyAlignment="1">
      <alignment wrapText="1"/>
    </xf>
    <xf numFmtId="0" fontId="33" fillId="0" borderId="20" xfId="53" applyFont="1" applyFill="1" applyBorder="1" applyAlignment="1">
      <alignment wrapText="1"/>
    </xf>
    <xf numFmtId="0" fontId="35" fillId="0" borderId="20" xfId="53" applyFont="1" applyFill="1" applyBorder="1" applyAlignment="1">
      <alignment wrapText="1"/>
    </xf>
    <xf numFmtId="3" fontId="34" fillId="0" borderId="20" xfId="53" applyNumberFormat="1" applyFont="1" applyFill="1" applyBorder="1" applyAlignment="1">
      <alignment wrapText="1"/>
    </xf>
    <xf numFmtId="3" fontId="34" fillId="0" borderId="20" xfId="0" applyNumberFormat="1" applyFont="1" applyFill="1" applyBorder="1" applyAlignment="1"/>
    <xf numFmtId="3" fontId="32" fillId="0" borderId="20" xfId="53" applyNumberFormat="1" applyFont="1" applyFill="1" applyBorder="1" applyAlignment="1">
      <alignment vertical="top" wrapText="1"/>
    </xf>
    <xf numFmtId="3" fontId="34" fillId="0" borderId="42" xfId="53" applyNumberFormat="1" applyFont="1" applyFill="1" applyBorder="1"/>
    <xf numFmtId="0" fontId="26" fillId="0" borderId="10" xfId="53" applyFont="1" applyFill="1" applyBorder="1" applyAlignment="1">
      <alignment vertical="center" wrapText="1"/>
    </xf>
    <xf numFmtId="0" fontId="22" fillId="0" borderId="0" xfId="51" applyFont="1" applyFill="1" applyAlignment="1"/>
    <xf numFmtId="0" fontId="39" fillId="0" borderId="0" xfId="51" applyFont="1" applyFill="1"/>
    <xf numFmtId="0" fontId="2" fillId="0" borderId="0" xfId="51" applyFill="1"/>
    <xf numFmtId="0" fontId="22" fillId="0" borderId="10" xfId="60" applyFont="1" applyFill="1" applyBorder="1" applyAlignment="1">
      <alignment horizontal="center" vertical="center" wrapText="1"/>
    </xf>
    <xf numFmtId="0" fontId="22" fillId="0" borderId="10" xfId="51" applyFont="1" applyFill="1" applyBorder="1" applyAlignment="1">
      <alignment horizontal="center" vertical="center" wrapText="1"/>
    </xf>
    <xf numFmtId="0" fontId="22" fillId="0" borderId="10" xfId="60" applyFont="1" applyFill="1" applyBorder="1"/>
    <xf numFmtId="0" fontId="22" fillId="0" borderId="10" xfId="60" applyFont="1" applyFill="1" applyBorder="1" applyAlignment="1">
      <alignment horizontal="right"/>
    </xf>
    <xf numFmtId="0" fontId="22" fillId="0" borderId="10" xfId="51" applyFont="1" applyFill="1" applyBorder="1"/>
    <xf numFmtId="0" fontId="21" fillId="0" borderId="10" xfId="60" applyFont="1" applyFill="1" applyBorder="1"/>
    <xf numFmtId="2" fontId="21" fillId="0" borderId="10" xfId="60" applyNumberFormat="1" applyFont="1" applyFill="1" applyBorder="1"/>
    <xf numFmtId="0" fontId="39" fillId="0" borderId="0" xfId="0" applyFont="1" applyAlignment="1">
      <alignment wrapText="1"/>
    </xf>
    <xf numFmtId="0" fontId="41" fillId="0" borderId="0" xfId="0" applyFont="1"/>
    <xf numFmtId="0" fontId="41" fillId="0" borderId="0" xfId="0" applyFont="1" applyAlignment="1">
      <alignment wrapText="1"/>
    </xf>
    <xf numFmtId="0" fontId="42" fillId="0" borderId="0" xfId="0" applyFont="1" applyAlignment="1">
      <alignment wrapText="1"/>
    </xf>
    <xf numFmtId="0" fontId="43" fillId="0" borderId="0" xfId="0" applyFont="1"/>
    <xf numFmtId="0" fontId="43" fillId="0" borderId="0" xfId="61" applyFont="1" applyFill="1" applyAlignment="1">
      <alignment wrapText="1"/>
    </xf>
    <xf numFmtId="0" fontId="43" fillId="0" borderId="0" xfId="61" applyFont="1" applyFill="1"/>
    <xf numFmtId="0" fontId="43" fillId="0" borderId="0" xfId="0" applyFont="1" applyFill="1"/>
    <xf numFmtId="0" fontId="45" fillId="0" borderId="0" xfId="61" applyFont="1" applyFill="1" applyAlignment="1">
      <alignment wrapText="1"/>
    </xf>
    <xf numFmtId="3" fontId="45" fillId="0" borderId="0" xfId="61" applyNumberFormat="1" applyFont="1" applyFill="1" applyAlignment="1">
      <alignment horizontal="right"/>
    </xf>
    <xf numFmtId="0" fontId="45" fillId="0" borderId="0" xfId="61" applyFont="1" applyFill="1" applyAlignment="1">
      <alignment vertical="center" wrapText="1"/>
    </xf>
    <xf numFmtId="0" fontId="43" fillId="0" borderId="0" xfId="61" applyFont="1" applyFill="1" applyAlignment="1">
      <alignment horizontal="center" vertical="center" wrapText="1"/>
    </xf>
    <xf numFmtId="0" fontId="43" fillId="0" borderId="0" xfId="61" applyFont="1" applyFill="1" applyAlignment="1">
      <alignment vertical="center"/>
    </xf>
    <xf numFmtId="0" fontId="0" fillId="0" borderId="0" xfId="0" applyFill="1"/>
    <xf numFmtId="3" fontId="43" fillId="0" borderId="0" xfId="61" applyNumberFormat="1" applyFont="1" applyFill="1" applyAlignment="1">
      <alignment horizontal="center"/>
    </xf>
    <xf numFmtId="0" fontId="43" fillId="0" borderId="0" xfId="61" applyFont="1" applyFill="1" applyAlignment="1">
      <alignment horizontal="center"/>
    </xf>
    <xf numFmtId="0" fontId="43" fillId="0" borderId="0" xfId="61" applyFont="1" applyFill="1" applyAlignment="1">
      <alignment horizontal="center" wrapText="1"/>
    </xf>
    <xf numFmtId="3" fontId="43" fillId="0" borderId="0" xfId="61" applyNumberFormat="1" applyFont="1" applyFill="1" applyBorder="1"/>
    <xf numFmtId="3" fontId="43" fillId="0" borderId="0" xfId="0" applyNumberFormat="1" applyFont="1" applyFill="1"/>
    <xf numFmtId="0" fontId="43" fillId="0" borderId="0" xfId="61" applyFont="1" applyFill="1" applyBorder="1" applyAlignment="1">
      <alignment wrapText="1"/>
    </xf>
    <xf numFmtId="0" fontId="43" fillId="0" borderId="0" xfId="0" applyFont="1" applyFill="1" applyAlignment="1">
      <alignment wrapText="1"/>
    </xf>
    <xf numFmtId="0" fontId="42" fillId="0" borderId="0" xfId="0" applyFont="1" applyFill="1" applyAlignment="1">
      <alignment wrapText="1"/>
    </xf>
    <xf numFmtId="3" fontId="45" fillId="0" borderId="0" xfId="61" applyNumberFormat="1" applyFont="1" applyFill="1" applyBorder="1"/>
    <xf numFmtId="0" fontId="45" fillId="0" borderId="0" xfId="0" applyFont="1" applyFill="1"/>
    <xf numFmtId="3" fontId="45" fillId="0" borderId="0" xfId="0" applyNumberFormat="1" applyFont="1" applyFill="1"/>
    <xf numFmtId="0" fontId="43" fillId="0" borderId="0" xfId="61" applyFont="1" applyFill="1" applyAlignment="1">
      <alignment vertical="center" wrapText="1"/>
    </xf>
    <xf numFmtId="3" fontId="43" fillId="0" borderId="0" xfId="61" applyNumberFormat="1" applyFont="1" applyFill="1" applyBorder="1" applyAlignment="1">
      <alignment vertical="center"/>
    </xf>
    <xf numFmtId="3" fontId="43" fillId="0" borderId="0" xfId="61" applyNumberFormat="1" applyFont="1" applyFill="1"/>
    <xf numFmtId="0" fontId="44" fillId="0" borderId="0" xfId="61" applyFont="1" applyFill="1" applyAlignment="1">
      <alignment wrapText="1"/>
    </xf>
    <xf numFmtId="3" fontId="44" fillId="0" borderId="0" xfId="0" applyNumberFormat="1" applyFont="1" applyFill="1"/>
    <xf numFmtId="3" fontId="34" fillId="0" borderId="13" xfId="53" applyNumberFormat="1" applyFont="1" applyFill="1" applyBorder="1"/>
    <xf numFmtId="3" fontId="35" fillId="0" borderId="35" xfId="53" applyNumberFormat="1" applyFont="1" applyFill="1" applyBorder="1" applyAlignment="1">
      <alignment wrapText="1"/>
    </xf>
    <xf numFmtId="0" fontId="46" fillId="0" borderId="0" xfId="51" applyFont="1"/>
    <xf numFmtId="0" fontId="46" fillId="0" borderId="0" xfId="51" applyFont="1" applyAlignment="1">
      <alignment wrapText="1"/>
    </xf>
    <xf numFmtId="0" fontId="2" fillId="0" borderId="0" xfId="51" applyAlignment="1"/>
    <xf numFmtId="3" fontId="46" fillId="0" borderId="0" xfId="51" applyNumberFormat="1" applyFont="1"/>
    <xf numFmtId="0" fontId="47" fillId="0" borderId="0" xfId="51" applyFont="1" applyAlignment="1"/>
    <xf numFmtId="0" fontId="47" fillId="0" borderId="0" xfId="51" applyFont="1" applyAlignment="1">
      <alignment horizontal="center"/>
    </xf>
    <xf numFmtId="0" fontId="47" fillId="0" borderId="0" xfId="51" applyFont="1" applyAlignment="1">
      <alignment horizontal="center" wrapText="1"/>
    </xf>
    <xf numFmtId="3" fontId="46" fillId="0" borderId="0" xfId="51" applyNumberFormat="1" applyFont="1" applyAlignment="1">
      <alignment horizontal="right"/>
    </xf>
    <xf numFmtId="0" fontId="46" fillId="0" borderId="0" xfId="51" applyFont="1" applyFill="1" applyAlignment="1">
      <alignment horizontal="center"/>
    </xf>
    <xf numFmtId="0" fontId="46" fillId="0" borderId="0" xfId="51" applyFont="1" applyFill="1" applyAlignment="1">
      <alignment wrapText="1"/>
    </xf>
    <xf numFmtId="0" fontId="46" fillId="0" borderId="0" xfId="51" applyFont="1" applyFill="1"/>
    <xf numFmtId="0" fontId="47" fillId="0" borderId="0" xfId="51" applyFont="1" applyFill="1"/>
    <xf numFmtId="0" fontId="46" fillId="0" borderId="0" xfId="51" applyFont="1" applyFill="1" applyAlignment="1">
      <alignment horizontal="right"/>
    </xf>
    <xf numFmtId="0" fontId="47" fillId="0" borderId="10" xfId="51" applyFont="1" applyFill="1" applyBorder="1" applyAlignment="1">
      <alignment horizontal="center" vertical="center"/>
    </xf>
    <xf numFmtId="0" fontId="47" fillId="0" borderId="10" xfId="51" applyFont="1" applyFill="1" applyBorder="1" applyAlignment="1">
      <alignment horizontal="center" vertical="center" wrapText="1"/>
    </xf>
    <xf numFmtId="3" fontId="47" fillId="0" borderId="10" xfId="51" applyNumberFormat="1" applyFont="1" applyFill="1" applyBorder="1" applyAlignment="1">
      <alignment horizontal="center" vertical="center"/>
    </xf>
    <xf numFmtId="3" fontId="47" fillId="0" borderId="10" xfId="51" applyNumberFormat="1" applyFont="1" applyFill="1" applyBorder="1" applyAlignment="1">
      <alignment horizontal="right" vertical="center"/>
    </xf>
    <xf numFmtId="0" fontId="46" fillId="0" borderId="10" xfId="51" applyFont="1" applyFill="1" applyBorder="1" applyAlignment="1">
      <alignment horizontal="center"/>
    </xf>
    <xf numFmtId="0" fontId="46" fillId="0" borderId="10" xfId="51" applyFont="1" applyFill="1" applyBorder="1" applyAlignment="1">
      <alignment wrapText="1"/>
    </xf>
    <xf numFmtId="3" fontId="46" fillId="0" borderId="10" xfId="51" applyNumberFormat="1" applyFont="1" applyFill="1" applyBorder="1"/>
    <xf numFmtId="0" fontId="46" fillId="0" borderId="10" xfId="51" applyFont="1" applyFill="1" applyBorder="1"/>
    <xf numFmtId="3" fontId="48" fillId="0" borderId="10" xfId="51" applyNumberFormat="1" applyFont="1" applyFill="1" applyBorder="1"/>
    <xf numFmtId="0" fontId="47" fillId="0" borderId="10" xfId="51" applyFont="1" applyFill="1" applyBorder="1" applyAlignment="1">
      <alignment horizontal="right" wrapText="1"/>
    </xf>
    <xf numFmtId="0" fontId="47" fillId="0" borderId="0" xfId="51" applyFont="1" applyFill="1" applyAlignment="1">
      <alignment horizontal="right" wrapText="1"/>
    </xf>
    <xf numFmtId="3" fontId="48" fillId="0" borderId="0" xfId="51" applyNumberFormat="1" applyFont="1" applyFill="1"/>
    <xf numFmtId="0" fontId="47" fillId="0" borderId="0" xfId="51" applyFont="1"/>
    <xf numFmtId="0" fontId="46" fillId="0" borderId="0" xfId="51" applyFont="1" applyAlignment="1">
      <alignment horizontal="right"/>
    </xf>
    <xf numFmtId="3" fontId="47" fillId="0" borderId="10" xfId="51" applyNumberFormat="1" applyFont="1" applyFill="1" applyBorder="1"/>
    <xf numFmtId="0" fontId="26" fillId="0" borderId="0" xfId="63" applyFont="1" applyFill="1" applyBorder="1" applyAlignment="1">
      <alignment wrapText="1"/>
    </xf>
    <xf numFmtId="49" fontId="26" fillId="0" borderId="0" xfId="63" applyNumberFormat="1" applyFont="1" applyFill="1" applyBorder="1" applyAlignment="1">
      <alignment wrapText="1"/>
    </xf>
    <xf numFmtId="0" fontId="26" fillId="0" borderId="0" xfId="63" applyFont="1" applyFill="1" applyBorder="1" applyAlignment="1">
      <alignment horizontal="center"/>
    </xf>
    <xf numFmtId="3" fontId="26" fillId="0" borderId="0" xfId="63" applyNumberFormat="1" applyFont="1" applyFill="1" applyBorder="1" applyAlignment="1">
      <alignment horizontal="right"/>
    </xf>
    <xf numFmtId="0" fontId="26" fillId="0" borderId="0" xfId="63" applyFont="1" applyFill="1" applyBorder="1" applyAlignment="1">
      <alignment horizontal="center" wrapText="1"/>
    </xf>
    <xf numFmtId="3" fontId="26" fillId="0" borderId="0" xfId="63" applyNumberFormat="1" applyFont="1" applyFill="1" applyBorder="1" applyAlignment="1">
      <alignment horizontal="center"/>
    </xf>
    <xf numFmtId="3" fontId="26" fillId="0" borderId="0" xfId="63" applyNumberFormat="1" applyFont="1" applyFill="1" applyBorder="1"/>
    <xf numFmtId="0" fontId="26" fillId="0" borderId="33" xfId="63" applyFont="1" applyFill="1" applyBorder="1" applyAlignment="1">
      <alignment wrapText="1"/>
    </xf>
    <xf numFmtId="49" fontId="26" fillId="0" borderId="33" xfId="63" applyNumberFormat="1" applyFont="1" applyFill="1" applyBorder="1" applyAlignment="1">
      <alignment wrapText="1"/>
    </xf>
    <xf numFmtId="0" fontId="26" fillId="0" borderId="33" xfId="63" applyFont="1" applyFill="1" applyBorder="1" applyAlignment="1">
      <alignment horizontal="center"/>
    </xf>
    <xf numFmtId="41" fontId="26" fillId="0" borderId="10" xfId="63" applyNumberFormat="1" applyFont="1" applyFill="1" applyBorder="1" applyAlignment="1">
      <alignment horizontal="right" wrapText="1"/>
    </xf>
    <xf numFmtId="3" fontId="26" fillId="0" borderId="17" xfId="63" applyNumberFormat="1" applyFont="1" applyFill="1" applyBorder="1"/>
    <xf numFmtId="0" fontId="26" fillId="0" borderId="10" xfId="63" applyFont="1" applyFill="1" applyBorder="1" applyAlignment="1">
      <alignment wrapText="1"/>
    </xf>
    <xf numFmtId="49" fontId="26" fillId="0" borderId="10" xfId="63" applyNumberFormat="1" applyFont="1" applyFill="1" applyBorder="1" applyAlignment="1">
      <alignment wrapText="1"/>
    </xf>
    <xf numFmtId="14" fontId="26" fillId="0" borderId="10" xfId="63" applyNumberFormat="1" applyFont="1" applyFill="1" applyBorder="1" applyAlignment="1">
      <alignment horizontal="center"/>
    </xf>
    <xf numFmtId="3" fontId="26" fillId="0" borderId="10" xfId="63" applyNumberFormat="1" applyFont="1" applyFill="1" applyBorder="1"/>
    <xf numFmtId="3" fontId="26" fillId="0" borderId="36" xfId="63" applyNumberFormat="1" applyFont="1" applyFill="1" applyBorder="1"/>
    <xf numFmtId="3" fontId="26" fillId="0" borderId="20" xfId="63" applyNumberFormat="1" applyFont="1" applyFill="1" applyBorder="1"/>
    <xf numFmtId="0" fontId="26" fillId="0" borderId="10" xfId="63" applyFont="1" applyFill="1" applyBorder="1" applyAlignment="1">
      <alignment horizontal="center"/>
    </xf>
    <xf numFmtId="0" fontId="26" fillId="0" borderId="10" xfId="63" applyFont="1" applyFill="1" applyBorder="1" applyAlignment="1">
      <alignment horizontal="left"/>
    </xf>
    <xf numFmtId="0" fontId="26" fillId="0" borderId="10" xfId="63" applyFont="1" applyFill="1" applyBorder="1" applyAlignment="1">
      <alignment horizontal="left" wrapText="1"/>
    </xf>
    <xf numFmtId="0" fontId="26" fillId="0" borderId="10" xfId="0" applyFont="1" applyFill="1" applyBorder="1" applyAlignment="1">
      <alignment wrapText="1"/>
    </xf>
    <xf numFmtId="49" fontId="26" fillId="0" borderId="10" xfId="0" applyNumberFormat="1" applyFont="1" applyFill="1" applyBorder="1" applyAlignment="1">
      <alignment wrapText="1"/>
    </xf>
    <xf numFmtId="14" fontId="26" fillId="0" borderId="10" xfId="0" applyNumberFormat="1" applyFont="1" applyFill="1" applyBorder="1" applyAlignment="1">
      <alignment horizontal="center"/>
    </xf>
    <xf numFmtId="14" fontId="26" fillId="0" borderId="10" xfId="63" applyNumberFormat="1" applyFont="1" applyFill="1" applyBorder="1" applyAlignment="1">
      <alignment horizontal="center" wrapText="1"/>
    </xf>
    <xf numFmtId="14" fontId="26" fillId="0" borderId="10" xfId="0" applyNumberFormat="1" applyFont="1" applyFill="1" applyBorder="1" applyAlignment="1">
      <alignment horizontal="center" wrapText="1"/>
    </xf>
    <xf numFmtId="0" fontId="49" fillId="0" borderId="10" xfId="63" applyFont="1" applyFill="1" applyBorder="1" applyAlignment="1">
      <alignment horizontal="center"/>
    </xf>
    <xf numFmtId="49" fontId="26" fillId="0" borderId="10" xfId="63" applyNumberFormat="1" applyFont="1" applyFill="1" applyBorder="1" applyAlignment="1">
      <alignment horizontal="left" wrapText="1"/>
    </xf>
    <xf numFmtId="165" fontId="26" fillId="0" borderId="10" xfId="63" applyNumberFormat="1" applyFont="1" applyFill="1" applyBorder="1" applyAlignment="1">
      <alignment horizontal="right" wrapText="1"/>
    </xf>
    <xf numFmtId="14" fontId="26" fillId="0" borderId="0" xfId="63" applyNumberFormat="1" applyFont="1" applyFill="1" applyBorder="1" applyAlignment="1">
      <alignment horizontal="center" wrapText="1"/>
    </xf>
    <xf numFmtId="0" fontId="49" fillId="0" borderId="10" xfId="63" applyFont="1" applyFill="1" applyBorder="1"/>
    <xf numFmtId="41" fontId="26" fillId="0" borderId="43" xfId="63" applyNumberFormat="1" applyFont="1" applyFill="1" applyBorder="1" applyAlignment="1">
      <alignment horizontal="right" wrapText="1"/>
    </xf>
    <xf numFmtId="3" fontId="26" fillId="0" borderId="48" xfId="63" applyNumberFormat="1" applyFont="1" applyFill="1" applyBorder="1"/>
    <xf numFmtId="14" fontId="26" fillId="0" borderId="49" xfId="63" applyNumberFormat="1" applyFont="1" applyFill="1" applyBorder="1" applyAlignment="1">
      <alignment horizontal="center"/>
    </xf>
    <xf numFmtId="14" fontId="26" fillId="0" borderId="49" xfId="63" applyNumberFormat="1" applyFont="1" applyFill="1" applyBorder="1" applyAlignment="1">
      <alignment horizontal="center" wrapText="1"/>
    </xf>
    <xf numFmtId="0" fontId="26" fillId="0" borderId="10" xfId="63" applyFont="1" applyFill="1" applyBorder="1" applyAlignment="1">
      <alignment horizontal="center" wrapText="1"/>
    </xf>
    <xf numFmtId="0" fontId="29" fillId="0" borderId="50" xfId="63" applyFont="1" applyFill="1" applyBorder="1" applyAlignment="1">
      <alignment horizontal="right"/>
    </xf>
    <xf numFmtId="0" fontId="29" fillId="0" borderId="51" xfId="63" applyFont="1" applyFill="1" applyBorder="1" applyAlignment="1">
      <alignment horizontal="right"/>
    </xf>
    <xf numFmtId="0" fontId="29" fillId="0" borderId="52" xfId="63" applyFont="1" applyFill="1" applyBorder="1" applyAlignment="1">
      <alignment horizontal="right"/>
    </xf>
    <xf numFmtId="41" fontId="29" fillId="0" borderId="42" xfId="63" applyNumberFormat="1" applyFont="1" applyFill="1" applyBorder="1" applyAlignment="1">
      <alignment horizontal="right" wrapText="1"/>
    </xf>
    <xf numFmtId="41" fontId="29" fillId="0" borderId="24" xfId="63" applyNumberFormat="1" applyFont="1" applyFill="1" applyBorder="1" applyAlignment="1">
      <alignment horizontal="right" wrapText="1"/>
    </xf>
    <xf numFmtId="14" fontId="26" fillId="0" borderId="0" xfId="63" applyNumberFormat="1" applyFont="1" applyFill="1" applyBorder="1" applyAlignment="1">
      <alignment horizontal="center"/>
    </xf>
    <xf numFmtId="3" fontId="26" fillId="0" borderId="0" xfId="63" applyNumberFormat="1" applyFont="1" applyFill="1" applyBorder="1" applyAlignment="1"/>
    <xf numFmtId="3" fontId="28" fillId="0" borderId="0" xfId="63" applyNumberFormat="1" applyFont="1" applyFill="1" applyBorder="1" applyAlignment="1"/>
    <xf numFmtId="3" fontId="28" fillId="0" borderId="0" xfId="63" applyNumberFormat="1" applyFont="1" applyFill="1" applyBorder="1" applyAlignment="1">
      <alignment horizontal="right"/>
    </xf>
    <xf numFmtId="0" fontId="26" fillId="0" borderId="16" xfId="63" applyFont="1" applyFill="1" applyBorder="1" applyAlignment="1">
      <alignment horizontal="left" vertical="center" wrapText="1"/>
    </xf>
    <xf numFmtId="49" fontId="26" fillId="0" borderId="33" xfId="63" applyNumberFormat="1" applyFont="1" applyFill="1" applyBorder="1" applyAlignment="1">
      <alignment horizontal="left" vertical="center" wrapText="1"/>
    </xf>
    <xf numFmtId="0" fontId="29" fillId="0" borderId="33" xfId="63" applyFont="1" applyFill="1" applyBorder="1" applyAlignment="1">
      <alignment horizontal="center" vertical="center" wrapText="1"/>
    </xf>
    <xf numFmtId="3" fontId="26" fillId="0" borderId="33" xfId="63" applyNumberFormat="1" applyFont="1" applyFill="1" applyBorder="1" applyAlignment="1">
      <alignment horizontal="right" vertical="center" wrapText="1"/>
    </xf>
    <xf numFmtId="3" fontId="26" fillId="0" borderId="17" xfId="63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26" fillId="0" borderId="25" xfId="63" applyFont="1" applyFill="1" applyBorder="1" applyAlignment="1">
      <alignment horizontal="left" vertical="center" wrapText="1"/>
    </xf>
    <xf numFmtId="49" fontId="26" fillId="0" borderId="12" xfId="63" applyNumberFormat="1" applyFont="1" applyFill="1" applyBorder="1" applyAlignment="1">
      <alignment horizontal="left" vertical="center" wrapText="1"/>
    </xf>
    <xf numFmtId="0" fontId="29" fillId="0" borderId="12" xfId="63" applyFont="1" applyFill="1" applyBorder="1" applyAlignment="1">
      <alignment horizontal="center" vertical="center" wrapText="1"/>
    </xf>
    <xf numFmtId="3" fontId="26" fillId="0" borderId="12" xfId="63" applyNumberFormat="1" applyFont="1" applyFill="1" applyBorder="1" applyAlignment="1">
      <alignment horizontal="right" vertical="center" wrapText="1"/>
    </xf>
    <xf numFmtId="3" fontId="26" fillId="0" borderId="26" xfId="63" applyNumberFormat="1" applyFont="1" applyFill="1" applyBorder="1" applyAlignment="1">
      <alignment horizontal="right" vertical="center" wrapText="1"/>
    </xf>
    <xf numFmtId="0" fontId="26" fillId="0" borderId="19" xfId="63" applyFont="1" applyFill="1" applyBorder="1" applyAlignment="1">
      <alignment horizontal="left" vertical="center" wrapText="1"/>
    </xf>
    <xf numFmtId="49" fontId="26" fillId="0" borderId="10" xfId="63" applyNumberFormat="1" applyFont="1" applyFill="1" applyBorder="1" applyAlignment="1">
      <alignment horizontal="left" vertical="center" wrapText="1"/>
    </xf>
    <xf numFmtId="0" fontId="26" fillId="0" borderId="10" xfId="63" applyFont="1" applyFill="1" applyBorder="1" applyAlignment="1">
      <alignment horizontal="center" vertical="center" wrapText="1"/>
    </xf>
    <xf numFmtId="3" fontId="26" fillId="0" borderId="10" xfId="63" applyNumberFormat="1" applyFont="1" applyFill="1" applyBorder="1" applyAlignment="1">
      <alignment horizontal="right" vertical="center" wrapText="1"/>
    </xf>
    <xf numFmtId="3" fontId="26" fillId="0" borderId="20" xfId="63" applyNumberFormat="1" applyFont="1" applyFill="1" applyBorder="1" applyAlignment="1">
      <alignment horizontal="right" vertical="center" wrapText="1"/>
    </xf>
    <xf numFmtId="14" fontId="26" fillId="0" borderId="12" xfId="63" applyNumberFormat="1" applyFont="1" applyFill="1" applyBorder="1" applyAlignment="1">
      <alignment horizontal="center" wrapText="1"/>
    </xf>
    <xf numFmtId="3" fontId="2" fillId="0" borderId="0" xfId="0" applyNumberFormat="1" applyFont="1"/>
    <xf numFmtId="0" fontId="26" fillId="0" borderId="19" xfId="63" applyFont="1" applyFill="1" applyBorder="1" applyAlignment="1">
      <alignment wrapText="1"/>
    </xf>
    <xf numFmtId="0" fontId="26" fillId="0" borderId="19" xfId="63" applyFont="1" applyFill="1" applyBorder="1" applyAlignment="1"/>
    <xf numFmtId="49" fontId="26" fillId="0" borderId="10" xfId="63" applyNumberFormat="1" applyFont="1" applyFill="1" applyBorder="1" applyAlignment="1"/>
    <xf numFmtId="3" fontId="26" fillId="0" borderId="10" xfId="63" applyNumberFormat="1" applyFont="1" applyFill="1" applyBorder="1" applyAlignment="1">
      <alignment horizontal="right"/>
    </xf>
    <xf numFmtId="3" fontId="26" fillId="0" borderId="20" xfId="63" applyNumberFormat="1" applyFont="1" applyFill="1" applyBorder="1" applyAlignment="1"/>
    <xf numFmtId="0" fontId="26" fillId="0" borderId="10" xfId="63" applyFont="1" applyFill="1" applyBorder="1" applyAlignment="1"/>
    <xf numFmtId="3" fontId="26" fillId="0" borderId="10" xfId="63" applyNumberFormat="1" applyFont="1" applyFill="1" applyBorder="1" applyAlignment="1"/>
    <xf numFmtId="0" fontId="26" fillId="0" borderId="19" xfId="63" applyFont="1" applyFill="1" applyBorder="1" applyAlignment="1">
      <alignment horizontal="left"/>
    </xf>
    <xf numFmtId="0" fontId="26" fillId="0" borderId="43" xfId="63" applyFont="1" applyFill="1" applyBorder="1" applyAlignment="1">
      <alignment horizontal="left"/>
    </xf>
    <xf numFmtId="0" fontId="26" fillId="0" borderId="43" xfId="63" applyFont="1" applyFill="1" applyBorder="1" applyAlignment="1">
      <alignment horizontal="center"/>
    </xf>
    <xf numFmtId="3" fontId="26" fillId="0" borderId="43" xfId="63" applyNumberFormat="1" applyFont="1" applyFill="1" applyBorder="1" applyAlignment="1">
      <alignment horizontal="right"/>
    </xf>
    <xf numFmtId="3" fontId="26" fillId="0" borderId="48" xfId="63" applyNumberFormat="1" applyFont="1" applyFill="1" applyBorder="1" applyAlignment="1"/>
    <xf numFmtId="0" fontId="26" fillId="0" borderId="53" xfId="63" applyFont="1" applyFill="1" applyBorder="1" applyAlignment="1">
      <alignment horizontal="left"/>
    </xf>
    <xf numFmtId="14" fontId="26" fillId="0" borderId="43" xfId="63" applyNumberFormat="1" applyFont="1" applyFill="1" applyBorder="1" applyAlignment="1">
      <alignment horizontal="center" wrapText="1"/>
    </xf>
    <xf numFmtId="14" fontId="26" fillId="0" borderId="43" xfId="63" applyNumberFormat="1" applyFont="1" applyFill="1" applyBorder="1" applyAlignment="1">
      <alignment horizontal="center"/>
    </xf>
    <xf numFmtId="3" fontId="26" fillId="0" borderId="10" xfId="63" applyNumberFormat="1" applyFont="1" applyFill="1" applyBorder="1" applyAlignment="1">
      <alignment horizontal="right" vertical="center"/>
    </xf>
    <xf numFmtId="3" fontId="26" fillId="0" borderId="20" xfId="63" applyNumberFormat="1" applyFont="1" applyFill="1" applyBorder="1" applyAlignment="1">
      <alignment horizontal="right" vertical="center"/>
    </xf>
    <xf numFmtId="3" fontId="51" fillId="0" borderId="0" xfId="0" applyNumberFormat="1" applyFont="1"/>
    <xf numFmtId="3" fontId="0" fillId="0" borderId="0" xfId="0" applyNumberFormat="1" applyFill="1"/>
    <xf numFmtId="3" fontId="51" fillId="0" borderId="0" xfId="0" applyNumberFormat="1" applyFont="1" applyFill="1"/>
    <xf numFmtId="3" fontId="2" fillId="0" borderId="0" xfId="0" applyNumberFormat="1" applyFont="1" applyFill="1"/>
    <xf numFmtId="3" fontId="26" fillId="0" borderId="20" xfId="63" applyNumberFormat="1" applyFont="1" applyFill="1" applyBorder="1" applyAlignment="1">
      <alignment horizontal="right"/>
    </xf>
    <xf numFmtId="0" fontId="26" fillId="0" borderId="19" xfId="0" applyFont="1" applyFill="1" applyBorder="1" applyAlignment="1"/>
    <xf numFmtId="49" fontId="26" fillId="0" borderId="10" xfId="0" applyNumberFormat="1" applyFont="1" applyFill="1" applyBorder="1" applyAlignment="1"/>
    <xf numFmtId="0" fontId="26" fillId="0" borderId="10" xfId="0" applyFont="1" applyFill="1" applyBorder="1" applyAlignment="1"/>
    <xf numFmtId="0" fontId="26" fillId="0" borderId="19" xfId="0" applyFont="1" applyFill="1" applyBorder="1" applyAlignment="1">
      <alignment horizontal="left"/>
    </xf>
    <xf numFmtId="0" fontId="26" fillId="0" borderId="10" xfId="0" applyFont="1" applyFill="1" applyBorder="1" applyAlignment="1">
      <alignment horizontal="left"/>
    </xf>
    <xf numFmtId="3" fontId="26" fillId="0" borderId="10" xfId="0" applyNumberFormat="1" applyFont="1" applyFill="1" applyBorder="1" applyAlignment="1">
      <alignment horizontal="right"/>
    </xf>
    <xf numFmtId="3" fontId="26" fillId="0" borderId="20" xfId="0" applyNumberFormat="1" applyFont="1" applyFill="1" applyBorder="1" applyAlignment="1"/>
    <xf numFmtId="0" fontId="26" fillId="0" borderId="53" xfId="63" applyFont="1" applyFill="1" applyBorder="1" applyAlignment="1"/>
    <xf numFmtId="49" fontId="26" fillId="0" borderId="43" xfId="63" applyNumberFormat="1" applyFont="1" applyFill="1" applyBorder="1" applyAlignment="1"/>
    <xf numFmtId="3" fontId="26" fillId="0" borderId="43" xfId="63" applyNumberFormat="1" applyFont="1" applyFill="1" applyBorder="1" applyAlignment="1"/>
    <xf numFmtId="3" fontId="29" fillId="0" borderId="46" xfId="63" applyNumberFormat="1" applyFont="1" applyFill="1" applyBorder="1" applyAlignment="1">
      <alignment horizontal="right"/>
    </xf>
    <xf numFmtId="3" fontId="29" fillId="0" borderId="47" xfId="63" applyNumberFormat="1" applyFont="1" applyFill="1" applyBorder="1" applyAlignment="1">
      <alignment horizontal="right"/>
    </xf>
    <xf numFmtId="0" fontId="2" fillId="0" borderId="0" xfId="0" applyFont="1" applyFill="1"/>
    <xf numFmtId="14" fontId="2" fillId="0" borderId="0" xfId="0" applyNumberFormat="1" applyFont="1" applyFill="1"/>
    <xf numFmtId="3" fontId="50" fillId="0" borderId="0" xfId="0" applyNumberFormat="1" applyFont="1" applyFill="1"/>
    <xf numFmtId="49" fontId="2" fillId="0" borderId="0" xfId="0" applyNumberFormat="1" applyFont="1" applyFill="1"/>
    <xf numFmtId="164" fontId="52" fillId="0" borderId="0" xfId="63" applyNumberFormat="1" applyFont="1" applyFill="1" applyBorder="1" applyAlignment="1">
      <alignment horizontal="center" vertical="center"/>
    </xf>
    <xf numFmtId="0" fontId="40" fillId="0" borderId="0" xfId="63" applyFont="1"/>
    <xf numFmtId="0" fontId="40" fillId="0" borderId="0" xfId="63" applyFont="1" applyAlignment="1">
      <alignment wrapText="1"/>
    </xf>
    <xf numFmtId="0" fontId="40" fillId="0" borderId="0" xfId="63" applyFont="1" applyFill="1"/>
    <xf numFmtId="0" fontId="40" fillId="0" borderId="0" xfId="63" applyFont="1" applyAlignment="1"/>
    <xf numFmtId="0" fontId="48" fillId="0" borderId="0" xfId="63" applyFont="1" applyAlignment="1">
      <alignment horizontal="center"/>
    </xf>
    <xf numFmtId="0" fontId="48" fillId="0" borderId="0" xfId="63" applyFont="1" applyAlignment="1">
      <alignment wrapText="1"/>
    </xf>
    <xf numFmtId="0" fontId="48" fillId="0" borderId="0" xfId="63" applyFont="1"/>
    <xf numFmtId="0" fontId="48" fillId="0" borderId="0" xfId="63" applyFont="1" applyFill="1"/>
    <xf numFmtId="0" fontId="40" fillId="0" borderId="0" xfId="63" applyFont="1" applyAlignment="1">
      <alignment horizontal="right"/>
    </xf>
    <xf numFmtId="0" fontId="40" fillId="0" borderId="10" xfId="63" applyFont="1" applyBorder="1" applyAlignment="1">
      <alignment wrapText="1"/>
    </xf>
    <xf numFmtId="0" fontId="48" fillId="0" borderId="10" xfId="63" applyFont="1" applyBorder="1" applyAlignment="1">
      <alignment horizontal="center" wrapText="1"/>
    </xf>
    <xf numFmtId="0" fontId="48" fillId="0" borderId="10" xfId="63" applyFont="1" applyFill="1" applyBorder="1" applyAlignment="1">
      <alignment horizontal="center" wrapText="1"/>
    </xf>
    <xf numFmtId="0" fontId="29" fillId="0" borderId="37" xfId="62" applyFont="1" applyBorder="1" applyAlignment="1">
      <alignment horizontal="center" wrapText="1"/>
    </xf>
    <xf numFmtId="0" fontId="40" fillId="0" borderId="10" xfId="63" applyFont="1" applyFill="1" applyBorder="1" applyAlignment="1">
      <alignment vertical="center"/>
    </xf>
    <xf numFmtId="0" fontId="40" fillId="0" borderId="10" xfId="63" applyFont="1" applyFill="1" applyBorder="1" applyAlignment="1">
      <alignment vertical="center" wrapText="1"/>
    </xf>
    <xf numFmtId="0" fontId="40" fillId="0" borderId="10" xfId="63" applyFont="1" applyFill="1" applyBorder="1" applyAlignment="1">
      <alignment horizontal="center" vertical="center"/>
    </xf>
    <xf numFmtId="3" fontId="40" fillId="0" borderId="10" xfId="63" applyNumberFormat="1" applyFont="1" applyFill="1" applyBorder="1" applyAlignment="1">
      <alignment horizontal="right" vertical="center"/>
    </xf>
    <xf numFmtId="49" fontId="40" fillId="0" borderId="10" xfId="63" applyNumberFormat="1" applyFont="1" applyFill="1" applyBorder="1" applyAlignment="1">
      <alignment horizontal="center" vertical="center"/>
    </xf>
    <xf numFmtId="3" fontId="26" fillId="0" borderId="37" xfId="62" applyNumberFormat="1" applyFont="1" applyFill="1" applyBorder="1" applyAlignment="1">
      <alignment vertical="center"/>
    </xf>
    <xf numFmtId="3" fontId="26" fillId="0" borderId="10" xfId="62" applyNumberFormat="1" applyFont="1" applyFill="1" applyBorder="1" applyAlignment="1">
      <alignment vertical="center"/>
    </xf>
    <xf numFmtId="3" fontId="40" fillId="0" borderId="0" xfId="63" applyNumberFormat="1" applyFont="1"/>
    <xf numFmtId="3" fontId="40" fillId="0" borderId="37" xfId="63" applyNumberFormat="1" applyFont="1" applyFill="1" applyBorder="1" applyAlignment="1">
      <alignment horizontal="right" vertical="center"/>
    </xf>
    <xf numFmtId="3" fontId="40" fillId="0" borderId="10" xfId="63" applyNumberFormat="1" applyFont="1" applyFill="1" applyBorder="1" applyAlignment="1">
      <alignment vertical="center"/>
    </xf>
    <xf numFmtId="0" fontId="40" fillId="0" borderId="0" xfId="63" applyFont="1" applyBorder="1"/>
    <xf numFmtId="3" fontId="40" fillId="0" borderId="0" xfId="63" applyNumberFormat="1" applyFont="1" applyFill="1" applyBorder="1"/>
    <xf numFmtId="0" fontId="26" fillId="0" borderId="0" xfId="62" applyFont="1"/>
    <xf numFmtId="0" fontId="53" fillId="0" borderId="0" xfId="64" applyFont="1"/>
    <xf numFmtId="0" fontId="2" fillId="0" borderId="0" xfId="51" applyFont="1" applyAlignment="1"/>
    <xf numFmtId="3" fontId="53" fillId="0" borderId="0" xfId="64" applyNumberFormat="1" applyFont="1" applyAlignment="1">
      <alignment horizontal="right"/>
    </xf>
    <xf numFmtId="0" fontId="3" fillId="0" borderId="0" xfId="64"/>
    <xf numFmtId="3" fontId="54" fillId="0" borderId="0" xfId="64" applyNumberFormat="1" applyFont="1" applyAlignment="1">
      <alignment horizontal="right"/>
    </xf>
    <xf numFmtId="3" fontId="32" fillId="0" borderId="0" xfId="64" applyNumberFormat="1" applyFont="1"/>
    <xf numFmtId="3" fontId="53" fillId="0" borderId="0" xfId="64" applyNumberFormat="1" applyFont="1"/>
    <xf numFmtId="0" fontId="54" fillId="0" borderId="10" xfId="64" applyFont="1" applyBorder="1" applyAlignment="1">
      <alignment horizontal="left"/>
    </xf>
    <xf numFmtId="3" fontId="54" fillId="0" borderId="10" xfId="64" applyNumberFormat="1" applyFont="1" applyBorder="1" applyAlignment="1">
      <alignment horizontal="right"/>
    </xf>
    <xf numFmtId="3" fontId="34" fillId="0" borderId="10" xfId="64" applyNumberFormat="1" applyFont="1" applyBorder="1" applyAlignment="1">
      <alignment horizontal="right"/>
    </xf>
    <xf numFmtId="0" fontId="53" fillId="0" borderId="10" xfId="64" applyFont="1" applyBorder="1"/>
    <xf numFmtId="3" fontId="53" fillId="0" borderId="10" xfId="64" applyNumberFormat="1" applyFont="1" applyFill="1" applyBorder="1"/>
    <xf numFmtId="0" fontId="53" fillId="0" borderId="10" xfId="64" applyFont="1" applyBorder="1" applyAlignment="1">
      <alignment wrapText="1"/>
    </xf>
    <xf numFmtId="3" fontId="53" fillId="0" borderId="10" xfId="65" applyNumberFormat="1" applyFont="1" applyFill="1" applyBorder="1"/>
    <xf numFmtId="0" fontId="55" fillId="0" borderId="10" xfId="64" applyFont="1" applyBorder="1"/>
    <xf numFmtId="0" fontId="56" fillId="0" borderId="10" xfId="64" applyFont="1" applyBorder="1"/>
    <xf numFmtId="3" fontId="56" fillId="0" borderId="10" xfId="64" applyNumberFormat="1" applyFont="1" applyFill="1" applyBorder="1"/>
    <xf numFmtId="0" fontId="54" fillId="0" borderId="10" xfId="64" applyFont="1" applyBorder="1"/>
    <xf numFmtId="3" fontId="54" fillId="0" borderId="10" xfId="64" applyNumberFormat="1" applyFont="1" applyFill="1" applyBorder="1"/>
    <xf numFmtId="3" fontId="56" fillId="0" borderId="10" xfId="64" applyNumberFormat="1" applyFont="1" applyBorder="1"/>
    <xf numFmtId="3" fontId="54" fillId="0" borderId="10" xfId="64" applyNumberFormat="1" applyFont="1" applyBorder="1"/>
    <xf numFmtId="0" fontId="53" fillId="0" borderId="0" xfId="64" applyFont="1" applyBorder="1"/>
    <xf numFmtId="3" fontId="53" fillId="0" borderId="0" xfId="64" applyNumberFormat="1" applyFont="1" applyBorder="1"/>
    <xf numFmtId="0" fontId="50" fillId="0" borderId="0" xfId="51" applyFont="1" applyFill="1"/>
    <xf numFmtId="0" fontId="57" fillId="0" borderId="0" xfId="51" applyFont="1" applyFill="1" applyAlignment="1">
      <alignment horizontal="center"/>
    </xf>
    <xf numFmtId="0" fontId="50" fillId="0" borderId="10" xfId="51" applyFont="1" applyFill="1" applyBorder="1"/>
    <xf numFmtId="0" fontId="40" fillId="0" borderId="0" xfId="65"/>
    <xf numFmtId="0" fontId="40" fillId="0" borderId="0" xfId="65" applyAlignment="1"/>
    <xf numFmtId="0" fontId="40" fillId="0" borderId="0" xfId="65" applyFont="1" applyAlignment="1">
      <alignment horizontal="right"/>
    </xf>
    <xf numFmtId="3" fontId="40" fillId="0" borderId="0" xfId="65" applyNumberFormat="1" applyFont="1"/>
    <xf numFmtId="0" fontId="47" fillId="0" borderId="0" xfId="65" applyFont="1" applyAlignment="1">
      <alignment horizontal="center"/>
    </xf>
    <xf numFmtId="0" fontId="47" fillId="0" borderId="0" xfId="65" applyFont="1" applyAlignment="1">
      <alignment horizontal="right"/>
    </xf>
    <xf numFmtId="3" fontId="40" fillId="0" borderId="0" xfId="65" applyNumberFormat="1"/>
    <xf numFmtId="0" fontId="40" fillId="0" borderId="10" xfId="65" applyBorder="1"/>
    <xf numFmtId="3" fontId="40" fillId="0" borderId="10" xfId="65" applyNumberFormat="1" applyBorder="1" applyAlignment="1">
      <alignment horizontal="center"/>
    </xf>
    <xf numFmtId="0" fontId="40" fillId="0" borderId="10" xfId="65" applyBorder="1" applyAlignment="1">
      <alignment horizontal="right"/>
    </xf>
    <xf numFmtId="0" fontId="47" fillId="0" borderId="10" xfId="65" applyFont="1" applyBorder="1"/>
    <xf numFmtId="3" fontId="40" fillId="0" borderId="10" xfId="65" applyNumberFormat="1" applyBorder="1"/>
    <xf numFmtId="0" fontId="40" fillId="0" borderId="10" xfId="65" applyFill="1" applyBorder="1"/>
    <xf numFmtId="0" fontId="46" fillId="0" borderId="10" xfId="65" applyFont="1" applyFill="1" applyBorder="1"/>
    <xf numFmtId="3" fontId="40" fillId="0" borderId="10" xfId="65" applyNumberFormat="1" applyFill="1" applyBorder="1"/>
    <xf numFmtId="3" fontId="46" fillId="0" borderId="10" xfId="65" applyNumberFormat="1" applyFont="1" applyFill="1" applyBorder="1"/>
    <xf numFmtId="3" fontId="40" fillId="0" borderId="0" xfId="65" applyNumberFormat="1" applyFill="1"/>
    <xf numFmtId="3" fontId="40" fillId="0" borderId="0" xfId="65" applyNumberFormat="1" applyFont="1" applyFill="1"/>
    <xf numFmtId="0" fontId="40" fillId="0" borderId="0" xfId="65" applyFill="1"/>
    <xf numFmtId="0" fontId="46" fillId="0" borderId="10" xfId="65" applyFont="1" applyFill="1" applyBorder="1" applyAlignment="1">
      <alignment wrapText="1"/>
    </xf>
    <xf numFmtId="0" fontId="40" fillId="0" borderId="10" xfId="65" applyFont="1" applyFill="1" applyBorder="1" applyAlignment="1">
      <alignment wrapText="1"/>
    </xf>
    <xf numFmtId="0" fontId="40" fillId="0" borderId="10" xfId="65" applyFont="1" applyFill="1" applyBorder="1"/>
    <xf numFmtId="3" fontId="40" fillId="0" borderId="10" xfId="65" applyNumberFormat="1" applyFont="1" applyFill="1" applyBorder="1"/>
    <xf numFmtId="0" fontId="40" fillId="0" borderId="0" xfId="65" applyFont="1" applyFill="1"/>
    <xf numFmtId="0" fontId="47" fillId="0" borderId="10" xfId="65" applyFont="1" applyFill="1" applyBorder="1"/>
    <xf numFmtId="3" fontId="47" fillId="0" borderId="10" xfId="65" applyNumberFormat="1" applyFont="1" applyFill="1" applyBorder="1"/>
    <xf numFmtId="0" fontId="47" fillId="0" borderId="0" xfId="65" applyFont="1" applyFill="1" applyBorder="1"/>
    <xf numFmtId="3" fontId="47" fillId="0" borderId="0" xfId="65" applyNumberFormat="1" applyFont="1" applyFill="1" applyBorder="1"/>
    <xf numFmtId="1" fontId="40" fillId="0" borderId="10" xfId="66" applyNumberFormat="1" applyFont="1" applyFill="1" applyBorder="1"/>
    <xf numFmtId="166" fontId="40" fillId="0" borderId="10" xfId="66" applyNumberFormat="1" applyFont="1" applyFill="1" applyBorder="1"/>
    <xf numFmtId="167" fontId="40" fillId="0" borderId="0" xfId="65" applyNumberFormat="1" applyFill="1"/>
    <xf numFmtId="0" fontId="40" fillId="0" borderId="0" xfId="65" applyFont="1"/>
    <xf numFmtId="0" fontId="59" fillId="0" borderId="0" xfId="65" applyFont="1"/>
    <xf numFmtId="0" fontId="58" fillId="0" borderId="0" xfId="65" applyFont="1"/>
    <xf numFmtId="0" fontId="40" fillId="0" borderId="54" xfId="65" applyBorder="1"/>
    <xf numFmtId="0" fontId="40" fillId="0" borderId="55" xfId="65" applyBorder="1"/>
    <xf numFmtId="0" fontId="40" fillId="0" borderId="56" xfId="65" applyBorder="1"/>
    <xf numFmtId="0" fontId="40" fillId="0" borderId="57" xfId="65" applyBorder="1" applyAlignment="1">
      <alignment wrapText="1"/>
    </xf>
    <xf numFmtId="0" fontId="40" fillId="0" borderId="57" xfId="65" applyFont="1" applyBorder="1" applyAlignment="1">
      <alignment horizontal="center" wrapText="1"/>
    </xf>
    <xf numFmtId="0" fontId="40" fillId="0" borderId="57" xfId="65" applyFont="1" applyBorder="1" applyAlignment="1">
      <alignment wrapText="1"/>
    </xf>
    <xf numFmtId="0" fontId="47" fillId="0" borderId="58" xfId="65" applyFont="1" applyBorder="1"/>
    <xf numFmtId="0" fontId="40" fillId="0" borderId="59" xfId="65" applyBorder="1" applyAlignment="1">
      <alignment wrapText="1"/>
    </xf>
    <xf numFmtId="0" fontId="40" fillId="0" borderId="56" xfId="65" applyBorder="1" applyAlignment="1">
      <alignment wrapText="1"/>
    </xf>
    <xf numFmtId="0" fontId="40" fillId="0" borderId="57" xfId="65" applyBorder="1"/>
    <xf numFmtId="0" fontId="40" fillId="0" borderId="60" xfId="65" applyFont="1" applyBorder="1"/>
    <xf numFmtId="0" fontId="60" fillId="0" borderId="61" xfId="65" applyFont="1" applyFill="1" applyBorder="1"/>
    <xf numFmtId="0" fontId="60" fillId="0" borderId="35" xfId="65" applyFont="1" applyFill="1" applyBorder="1"/>
    <xf numFmtId="0" fontId="60" fillId="0" borderId="13" xfId="65" applyFont="1" applyFill="1" applyBorder="1"/>
    <xf numFmtId="3" fontId="40" fillId="0" borderId="37" xfId="65" applyNumberFormat="1" applyFont="1" applyFill="1" applyBorder="1"/>
    <xf numFmtId="3" fontId="40" fillId="0" borderId="32" xfId="65" applyNumberFormat="1" applyFont="1" applyFill="1" applyBorder="1"/>
    <xf numFmtId="3" fontId="40" fillId="0" borderId="62" xfId="65" applyNumberFormat="1" applyFont="1" applyFill="1" applyBorder="1"/>
    <xf numFmtId="3" fontId="43" fillId="0" borderId="63" xfId="53" applyNumberFormat="1" applyFont="1" applyFill="1" applyBorder="1"/>
    <xf numFmtId="0" fontId="61" fillId="0" borderId="35" xfId="65" applyFont="1" applyFill="1" applyBorder="1"/>
    <xf numFmtId="0" fontId="61" fillId="0" borderId="13" xfId="65" applyFont="1" applyFill="1" applyBorder="1"/>
    <xf numFmtId="3" fontId="40" fillId="0" borderId="19" xfId="65" applyNumberFormat="1" applyFont="1" applyFill="1" applyBorder="1"/>
    <xf numFmtId="3" fontId="40" fillId="0" borderId="13" xfId="65" applyNumberFormat="1" applyFont="1" applyFill="1" applyBorder="1"/>
    <xf numFmtId="0" fontId="60" fillId="0" borderId="64" xfId="65" applyFont="1" applyFill="1" applyBorder="1"/>
    <xf numFmtId="0" fontId="60" fillId="0" borderId="65" xfId="65" applyFont="1" applyFill="1" applyBorder="1"/>
    <xf numFmtId="0" fontId="60" fillId="0" borderId="66" xfId="65" applyFont="1" applyFill="1" applyBorder="1"/>
    <xf numFmtId="3" fontId="40" fillId="0" borderId="67" xfId="65" applyNumberFormat="1" applyFont="1" applyFill="1" applyBorder="1"/>
    <xf numFmtId="3" fontId="40" fillId="0" borderId="68" xfId="65" applyNumberFormat="1" applyFont="1" applyFill="1" applyBorder="1"/>
    <xf numFmtId="3" fontId="40" fillId="0" borderId="69" xfId="65" applyNumberFormat="1" applyFont="1" applyFill="1" applyBorder="1"/>
    <xf numFmtId="3" fontId="40" fillId="0" borderId="66" xfId="65" applyNumberFormat="1" applyFont="1" applyFill="1" applyBorder="1"/>
    <xf numFmtId="3" fontId="40" fillId="0" borderId="70" xfId="65" applyNumberFormat="1" applyFont="1" applyFill="1" applyBorder="1"/>
    <xf numFmtId="3" fontId="40" fillId="0" borderId="74" xfId="65" applyNumberFormat="1" applyFont="1" applyFill="1" applyBorder="1"/>
    <xf numFmtId="3" fontId="40" fillId="0" borderId="75" xfId="65" applyNumberFormat="1" applyFont="1" applyFill="1" applyBorder="1"/>
    <xf numFmtId="3" fontId="40" fillId="0" borderId="73" xfId="65" applyNumberFormat="1" applyFont="1" applyFill="1" applyBorder="1"/>
    <xf numFmtId="3" fontId="41" fillId="0" borderId="0" xfId="0" applyNumberFormat="1" applyFont="1" applyAlignment="1">
      <alignment horizontal="right"/>
    </xf>
    <xf numFmtId="0" fontId="57" fillId="0" borderId="0" xfId="0" applyFont="1"/>
    <xf numFmtId="0" fontId="41" fillId="0" borderId="0" xfId="0" applyFont="1" applyAlignment="1">
      <alignment horizontal="center"/>
    </xf>
    <xf numFmtId="3" fontId="41" fillId="0" borderId="0" xfId="0" applyNumberFormat="1" applyFont="1" applyAlignment="1">
      <alignment horizontal="center"/>
    </xf>
    <xf numFmtId="3" fontId="41" fillId="0" borderId="0" xfId="0" applyNumberFormat="1" applyFont="1"/>
    <xf numFmtId="3" fontId="57" fillId="0" borderId="0" xfId="0" applyNumberFormat="1" applyFont="1"/>
    <xf numFmtId="0" fontId="41" fillId="0" borderId="0" xfId="0" quotePrefix="1" applyFont="1"/>
    <xf numFmtId="0" fontId="41" fillId="0" borderId="37" xfId="51" applyFont="1" applyFill="1" applyBorder="1" applyAlignment="1">
      <alignment wrapText="1"/>
    </xf>
    <xf numFmtId="0" fontId="41" fillId="0" borderId="10" xfId="51" applyFont="1" applyFill="1" applyBorder="1" applyAlignment="1">
      <alignment horizontal="left" wrapText="1"/>
    </xf>
    <xf numFmtId="3" fontId="41" fillId="0" borderId="10" xfId="51" applyNumberFormat="1" applyFont="1" applyFill="1" applyBorder="1" applyAlignment="1">
      <alignment wrapText="1"/>
    </xf>
    <xf numFmtId="0" fontId="2" fillId="0" borderId="0" xfId="51" applyFont="1" applyFill="1" applyAlignment="1">
      <alignment horizontal="right"/>
    </xf>
    <xf numFmtId="0" fontId="2" fillId="0" borderId="0" xfId="51" applyFill="1" applyAlignment="1">
      <alignment horizontal="right"/>
    </xf>
    <xf numFmtId="0" fontId="57" fillId="0" borderId="0" xfId="51" applyFont="1" applyFill="1" applyAlignment="1">
      <alignment horizontal="centerContinuous"/>
    </xf>
    <xf numFmtId="0" fontId="57" fillId="0" borderId="37" xfId="51" applyFont="1" applyFill="1" applyBorder="1" applyAlignment="1"/>
    <xf numFmtId="0" fontId="57" fillId="0" borderId="10" xfId="51" applyFont="1" applyFill="1" applyBorder="1" applyAlignment="1">
      <alignment horizontal="center"/>
    </xf>
    <xf numFmtId="0" fontId="57" fillId="0" borderId="10" xfId="51" applyFont="1" applyFill="1" applyBorder="1" applyAlignment="1">
      <alignment horizontal="center" wrapText="1"/>
    </xf>
    <xf numFmtId="0" fontId="41" fillId="0" borderId="37" xfId="51" applyFont="1" applyFill="1" applyBorder="1" applyAlignment="1"/>
    <xf numFmtId="0" fontId="41" fillId="0" borderId="10" xfId="51" applyFont="1" applyFill="1" applyBorder="1" applyAlignment="1">
      <alignment horizontal="left"/>
    </xf>
    <xf numFmtId="3" fontId="41" fillId="0" borderId="10" xfId="51" applyNumberFormat="1" applyFont="1" applyFill="1" applyBorder="1" applyAlignment="1"/>
    <xf numFmtId="0" fontId="51" fillId="0" borderId="0" xfId="51" applyFont="1" applyFill="1" applyAlignment="1">
      <alignment wrapText="1"/>
    </xf>
    <xf numFmtId="0" fontId="2" fillId="0" borderId="0" xfId="51" applyFont="1" applyFill="1" applyAlignment="1"/>
    <xf numFmtId="0" fontId="2" fillId="0" borderId="10" xfId="51" applyFill="1" applyBorder="1"/>
    <xf numFmtId="0" fontId="2" fillId="0" borderId="10" xfId="51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quotePrefix="1" applyFill="1" applyBorder="1" applyAlignment="1">
      <alignment wrapText="1"/>
    </xf>
    <xf numFmtId="0" fontId="41" fillId="0" borderId="0" xfId="0" applyFont="1" applyAlignment="1">
      <alignment horizontal="right"/>
    </xf>
    <xf numFmtId="0" fontId="62" fillId="0" borderId="0" xfId="0" applyFont="1"/>
    <xf numFmtId="3" fontId="41" fillId="0" borderId="0" xfId="0" applyNumberFormat="1" applyFont="1" applyFill="1"/>
    <xf numFmtId="3" fontId="35" fillId="0" borderId="35" xfId="53" applyNumberFormat="1" applyFont="1" applyFill="1" applyBorder="1"/>
    <xf numFmtId="0" fontId="2" fillId="0" borderId="0" xfId="52" applyAlignment="1"/>
    <xf numFmtId="0" fontId="2" fillId="0" borderId="0" xfId="51" applyFill="1" applyAlignment="1">
      <alignment horizontal="left" wrapText="1"/>
    </xf>
    <xf numFmtId="0" fontId="51" fillId="0" borderId="0" xfId="51" applyFont="1" applyFill="1" applyAlignment="1">
      <alignment horizontal="left" wrapText="1"/>
    </xf>
    <xf numFmtId="1" fontId="34" fillId="0" borderId="38" xfId="53" applyNumberFormat="1" applyFont="1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34" fillId="0" borderId="32" xfId="53" applyFont="1" applyFill="1" applyBorder="1" applyAlignment="1"/>
    <xf numFmtId="0" fontId="0" fillId="0" borderId="35" xfId="0" applyFill="1" applyBorder="1" applyAlignment="1"/>
    <xf numFmtId="0" fontId="0" fillId="0" borderId="36" xfId="0" applyFill="1" applyBorder="1" applyAlignment="1"/>
    <xf numFmtId="0" fontId="27" fillId="0" borderId="0" xfId="53" applyFont="1" applyBorder="1" applyAlignment="1">
      <alignment horizontal="right"/>
    </xf>
    <xf numFmtId="0" fontId="31" fillId="0" borderId="0" xfId="52" applyFont="1" applyAlignment="1"/>
    <xf numFmtId="0" fontId="2" fillId="0" borderId="0" xfId="52" applyAlignment="1"/>
    <xf numFmtId="0" fontId="29" fillId="0" borderId="0" xfId="53" applyFont="1" applyBorder="1" applyAlignment="1">
      <alignment horizontal="center" wrapText="1"/>
    </xf>
    <xf numFmtId="0" fontId="22" fillId="0" borderId="0" xfId="59" applyFont="1" applyFill="1" applyAlignment="1">
      <alignment horizontal="center"/>
    </xf>
    <xf numFmtId="0" fontId="22" fillId="0" borderId="10" xfId="60" applyFont="1" applyFill="1" applyBorder="1" applyAlignment="1">
      <alignment horizontal="center"/>
    </xf>
    <xf numFmtId="0" fontId="21" fillId="0" borderId="10" xfId="60" applyFont="1" applyFill="1" applyBorder="1" applyAlignment="1">
      <alignment horizontal="center"/>
    </xf>
    <xf numFmtId="0" fontId="44" fillId="0" borderId="0" xfId="61" applyFont="1" applyAlignment="1">
      <alignment horizontal="center" wrapText="1"/>
    </xf>
    <xf numFmtId="0" fontId="42" fillId="0" borderId="0" xfId="0" applyFont="1" applyAlignment="1">
      <alignment horizontal="center" wrapText="1"/>
    </xf>
    <xf numFmtId="0" fontId="44" fillId="0" borderId="0" xfId="61" applyFont="1" applyFill="1" applyAlignment="1">
      <alignment horizontal="center" vertical="center" wrapText="1"/>
    </xf>
    <xf numFmtId="0" fontId="42" fillId="0" borderId="0" xfId="0" applyFont="1" applyFill="1" applyAlignment="1"/>
    <xf numFmtId="0" fontId="47" fillId="0" borderId="0" xfId="51" applyFont="1" applyAlignment="1">
      <alignment horizontal="center"/>
    </xf>
    <xf numFmtId="0" fontId="47" fillId="0" borderId="0" xfId="51" applyFont="1" applyFill="1" applyAlignment="1">
      <alignment horizontal="center"/>
    </xf>
    <xf numFmtId="0" fontId="47" fillId="0" borderId="43" xfId="51" applyFont="1" applyFill="1" applyBorder="1" applyAlignment="1">
      <alignment horizontal="center" vertical="center"/>
    </xf>
    <xf numFmtId="0" fontId="47" fillId="0" borderId="12" xfId="51" applyFont="1" applyFill="1" applyBorder="1" applyAlignment="1">
      <alignment horizontal="center" vertical="center"/>
    </xf>
    <xf numFmtId="0" fontId="47" fillId="0" borderId="43" xfId="51" applyFont="1" applyFill="1" applyBorder="1" applyAlignment="1">
      <alignment horizontal="center" vertical="center" wrapText="1"/>
    </xf>
    <xf numFmtId="0" fontId="47" fillId="0" borderId="12" xfId="51" applyFont="1" applyFill="1" applyBorder="1" applyAlignment="1">
      <alignment horizontal="center" vertical="center" wrapText="1"/>
    </xf>
    <xf numFmtId="0" fontId="48" fillId="0" borderId="10" xfId="51" applyFont="1" applyBorder="1" applyAlignment="1">
      <alignment horizontal="center"/>
    </xf>
    <xf numFmtId="3" fontId="47" fillId="0" borderId="43" xfId="51" applyNumberFormat="1" applyFont="1" applyFill="1" applyBorder="1" applyAlignment="1">
      <alignment horizontal="center" vertical="center"/>
    </xf>
    <xf numFmtId="3" fontId="47" fillId="0" borderId="12" xfId="51" applyNumberFormat="1" applyFont="1" applyFill="1" applyBorder="1" applyAlignment="1">
      <alignment horizontal="center" vertical="center"/>
    </xf>
    <xf numFmtId="0" fontId="48" fillId="0" borderId="0" xfId="63" applyFont="1" applyAlignment="1">
      <alignment horizontal="center"/>
    </xf>
    <xf numFmtId="0" fontId="50" fillId="0" borderId="0" xfId="0" applyFont="1" applyFill="1" applyAlignment="1">
      <alignment wrapText="1"/>
    </xf>
    <xf numFmtId="0" fontId="26" fillId="0" borderId="0" xfId="63" applyFont="1" applyFill="1" applyBorder="1" applyAlignment="1">
      <alignment horizontal="center"/>
    </xf>
    <xf numFmtId="0" fontId="29" fillId="0" borderId="44" xfId="63" applyFont="1" applyFill="1" applyBorder="1" applyAlignment="1">
      <alignment horizontal="center" vertical="center" wrapText="1"/>
    </xf>
    <xf numFmtId="0" fontId="29" fillId="0" borderId="46" xfId="63" applyFont="1" applyFill="1" applyBorder="1" applyAlignment="1">
      <alignment horizontal="center" vertical="center" wrapText="1"/>
    </xf>
    <xf numFmtId="49" fontId="29" fillId="0" borderId="44" xfId="63" applyNumberFormat="1" applyFont="1" applyFill="1" applyBorder="1" applyAlignment="1">
      <alignment horizontal="center" vertical="center" wrapText="1"/>
    </xf>
    <xf numFmtId="49" fontId="29" fillId="0" borderId="46" xfId="63" applyNumberFormat="1" applyFont="1" applyFill="1" applyBorder="1" applyAlignment="1">
      <alignment horizontal="center" vertical="center" wrapText="1"/>
    </xf>
    <xf numFmtId="0" fontId="29" fillId="0" borderId="44" xfId="63" applyFont="1" applyFill="1" applyBorder="1" applyAlignment="1">
      <alignment horizontal="center" wrapText="1"/>
    </xf>
    <xf numFmtId="0" fontId="29" fillId="0" borderId="46" xfId="63" applyFont="1" applyFill="1" applyBorder="1" applyAlignment="1">
      <alignment horizontal="center" wrapText="1"/>
    </xf>
    <xf numFmtId="0" fontId="29" fillId="0" borderId="44" xfId="63" applyNumberFormat="1" applyFont="1" applyFill="1" applyBorder="1" applyAlignment="1">
      <alignment horizontal="center" vertical="center" wrapText="1"/>
    </xf>
    <xf numFmtId="0" fontId="29" fillId="0" borderId="46" xfId="63" applyNumberFormat="1" applyFont="1" applyFill="1" applyBorder="1" applyAlignment="1">
      <alignment horizontal="center" vertical="center" wrapText="1"/>
    </xf>
    <xf numFmtId="0" fontId="29" fillId="0" borderId="45" xfId="63" applyNumberFormat="1" applyFont="1" applyFill="1" applyBorder="1" applyAlignment="1">
      <alignment horizontal="center" vertical="center" wrapText="1"/>
    </xf>
    <xf numFmtId="0" fontId="29" fillId="0" borderId="47" xfId="63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/>
    <xf numFmtId="0" fontId="0" fillId="0" borderId="0" xfId="0" applyAlignment="1"/>
    <xf numFmtId="0" fontId="29" fillId="0" borderId="34" xfId="63" applyFont="1" applyFill="1" applyBorder="1" applyAlignment="1">
      <alignment horizontal="right"/>
    </xf>
    <xf numFmtId="0" fontId="29" fillId="0" borderId="51" xfId="63" applyFont="1" applyFill="1" applyBorder="1" applyAlignment="1">
      <alignment horizontal="right"/>
    </xf>
    <xf numFmtId="0" fontId="29" fillId="0" borderId="52" xfId="63" applyFont="1" applyFill="1" applyBorder="1" applyAlignment="1">
      <alignment horizontal="right"/>
    </xf>
    <xf numFmtId="0" fontId="29" fillId="0" borderId="16" xfId="63" applyFont="1" applyFill="1" applyBorder="1" applyAlignment="1">
      <alignment horizontal="center" vertical="center" wrapText="1"/>
    </xf>
    <xf numFmtId="0" fontId="29" fillId="0" borderId="22" xfId="63" applyFont="1" applyFill="1" applyBorder="1" applyAlignment="1">
      <alignment horizontal="center" vertical="center" wrapText="1"/>
    </xf>
    <xf numFmtId="49" fontId="29" fillId="0" borderId="33" xfId="63" applyNumberFormat="1" applyFont="1" applyFill="1" applyBorder="1" applyAlignment="1">
      <alignment horizontal="center" vertical="center" wrapText="1"/>
    </xf>
    <xf numFmtId="49" fontId="29" fillId="0" borderId="42" xfId="63" applyNumberFormat="1" applyFont="1" applyFill="1" applyBorder="1" applyAlignment="1">
      <alignment horizontal="center" vertical="center" wrapText="1"/>
    </xf>
    <xf numFmtId="0" fontId="29" fillId="0" borderId="33" xfId="63" applyNumberFormat="1" applyFont="1" applyFill="1" applyBorder="1" applyAlignment="1">
      <alignment horizontal="center" vertical="center" wrapText="1"/>
    </xf>
    <xf numFmtId="0" fontId="29" fillId="0" borderId="42" xfId="63" applyNumberFormat="1" applyFont="1" applyFill="1" applyBorder="1" applyAlignment="1">
      <alignment horizontal="center" vertical="center" wrapText="1"/>
    </xf>
    <xf numFmtId="0" fontId="29" fillId="0" borderId="17" xfId="63" applyNumberFormat="1" applyFont="1" applyFill="1" applyBorder="1" applyAlignment="1">
      <alignment horizontal="center" vertical="center" wrapText="1"/>
    </xf>
    <xf numFmtId="0" fontId="29" fillId="0" borderId="24" xfId="63" applyNumberFormat="1" applyFont="1" applyFill="1" applyBorder="1" applyAlignment="1">
      <alignment horizontal="center" vertical="center" wrapText="1"/>
    </xf>
    <xf numFmtId="0" fontId="54" fillId="0" borderId="0" xfId="64" applyFont="1" applyAlignment="1">
      <alignment horizontal="center"/>
    </xf>
    <xf numFmtId="0" fontId="2" fillId="0" borderId="0" xfId="51" applyFill="1" applyAlignment="1">
      <alignment horizontal="left" wrapText="1"/>
    </xf>
    <xf numFmtId="0" fontId="2" fillId="0" borderId="0" xfId="51" applyFont="1" applyFill="1" applyAlignment="1">
      <alignment horizontal="left" wrapText="1"/>
    </xf>
    <xf numFmtId="0" fontId="51" fillId="0" borderId="0" xfId="51" applyFont="1" applyFill="1" applyAlignment="1">
      <alignment horizontal="left" wrapText="1"/>
    </xf>
    <xf numFmtId="0" fontId="47" fillId="0" borderId="0" xfId="65" applyFont="1" applyAlignment="1">
      <alignment horizontal="center"/>
    </xf>
    <xf numFmtId="0" fontId="40" fillId="0" borderId="0" xfId="65" applyFont="1" applyAlignment="1">
      <alignment horizontal="right"/>
    </xf>
    <xf numFmtId="0" fontId="58" fillId="0" borderId="0" xfId="65" applyFont="1" applyAlignment="1">
      <alignment horizontal="center"/>
    </xf>
    <xf numFmtId="0" fontId="48" fillId="0" borderId="71" xfId="65" applyFont="1" applyFill="1" applyBorder="1"/>
    <xf numFmtId="0" fontId="48" fillId="0" borderId="72" xfId="65" applyFont="1" applyFill="1" applyBorder="1"/>
    <xf numFmtId="0" fontId="48" fillId="0" borderId="73" xfId="65" applyFont="1" applyFill="1" applyBorder="1"/>
    <xf numFmtId="0" fontId="41" fillId="0" borderId="0" xfId="0" applyFont="1" applyAlignment="1">
      <alignment horizontal="right"/>
    </xf>
    <xf numFmtId="0" fontId="57" fillId="0" borderId="0" xfId="0" applyFont="1" applyAlignment="1">
      <alignment horizontal="center"/>
    </xf>
    <xf numFmtId="0" fontId="26" fillId="0" borderId="37" xfId="53" applyFont="1" applyFill="1" applyBorder="1" applyAlignment="1">
      <alignment horizontal="center" vertical="center" wrapText="1"/>
    </xf>
    <xf numFmtId="0" fontId="26" fillId="0" borderId="13" xfId="53" applyFont="1" applyFill="1" applyBorder="1" applyAlignment="1">
      <alignment horizontal="center" vertical="center" wrapText="1"/>
    </xf>
    <xf numFmtId="0" fontId="28" fillId="0" borderId="37" xfId="53" applyFont="1" applyFill="1" applyBorder="1" applyAlignment="1">
      <alignment horizontal="center" vertical="center" wrapText="1"/>
    </xf>
    <xf numFmtId="0" fontId="28" fillId="0" borderId="13" xfId="53" applyFont="1" applyFill="1" applyBorder="1" applyAlignment="1">
      <alignment horizontal="center" vertical="center" wrapText="1"/>
    </xf>
    <xf numFmtId="0" fontId="2" fillId="0" borderId="10" xfId="51" applyFont="1" applyFill="1" applyBorder="1" applyAlignment="1">
      <alignment wrapText="1"/>
    </xf>
    <xf numFmtId="3" fontId="32" fillId="0" borderId="35" xfId="53" applyNumberFormat="1" applyFont="1" applyFill="1" applyBorder="1" applyAlignment="1">
      <alignment wrapText="1"/>
    </xf>
    <xf numFmtId="0" fontId="2" fillId="0" borderId="10" xfId="0" quotePrefix="1" applyFont="1" applyFill="1" applyBorder="1" applyAlignment="1">
      <alignment wrapText="1"/>
    </xf>
  </cellXfs>
  <cellStyles count="67">
    <cellStyle name="20% - 1. jelölőszín" xfId="1" builtinId="30" customBuiltin="1"/>
    <cellStyle name="20% - 1. jelölőszín 2" xfId="2"/>
    <cellStyle name="20% - 2. jelölőszín" xfId="3" builtinId="34" customBuiltin="1"/>
    <cellStyle name="20% - 2. jelölőszín 2" xfId="4"/>
    <cellStyle name="20% - 3. jelölőszín" xfId="5" builtinId="38" customBuiltin="1"/>
    <cellStyle name="20% - 3. jelölőszín 2" xfId="6"/>
    <cellStyle name="20% - 4. jelölőszín" xfId="7" builtinId="42" customBuiltin="1"/>
    <cellStyle name="20% - 4. jelölőszín 2" xfId="8"/>
    <cellStyle name="20% - 5. jelölőszín" xfId="9" builtinId="46" customBuiltin="1"/>
    <cellStyle name="20% - 5. jelölőszín 2" xfId="10"/>
    <cellStyle name="20% - 6. jelölőszín" xfId="11" builtinId="50" customBuiltin="1"/>
    <cellStyle name="20% - 6. jelölőszín 2" xfId="12"/>
    <cellStyle name="40% - 1. jelölőszín" xfId="13" builtinId="31" customBuiltin="1"/>
    <cellStyle name="40% - 1. jelölőszín 2" xfId="14"/>
    <cellStyle name="40% - 2. jelölőszín" xfId="15" builtinId="35" customBuiltin="1"/>
    <cellStyle name="40% - 2. jelölőszín 2" xfId="16"/>
    <cellStyle name="40% - 3. jelölőszín" xfId="17" builtinId="39" customBuiltin="1"/>
    <cellStyle name="40% - 3. jelölőszín 2" xfId="18"/>
    <cellStyle name="40% - 4. jelölőszín" xfId="19" builtinId="43" customBuiltin="1"/>
    <cellStyle name="40% - 4. jelölőszín 2" xfId="20"/>
    <cellStyle name="40% - 5. jelölőszín" xfId="21" builtinId="47" customBuiltin="1"/>
    <cellStyle name="40% - 5. jelölőszín 2" xfId="22"/>
    <cellStyle name="40% - 6. jelölőszín" xfId="23" builtinId="51" customBuiltin="1"/>
    <cellStyle name="40% - 6. jelölőszín 2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(1)" xfId="41" builtinId="29" customBuiltin="1"/>
    <cellStyle name="Jelölőszín (2)" xfId="42" builtinId="33" customBuiltin="1"/>
    <cellStyle name="Jelölőszín (3)" xfId="43" builtinId="37" customBuiltin="1"/>
    <cellStyle name="Jelölőszín (4)" xfId="44" builtinId="41" customBuiltin="1"/>
    <cellStyle name="Jelölőszín (5)" xfId="45" builtinId="45" customBuiltin="1"/>
    <cellStyle name="Jelölőszín (6)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/>
    <cellStyle name="Normál 2 2" xfId="51"/>
    <cellStyle name="Normál 3" xfId="52"/>
    <cellStyle name="Normál_2005. 4. számú melléklet" xfId="61"/>
    <cellStyle name="Normál_2005. 6.számú melléklet" xfId="64"/>
    <cellStyle name="Normál_2006 Zárszámadási rendelet 1,2,3,4,5,6,8,9,10,11,12,13,14,15 sz. mellékletei" xfId="62"/>
    <cellStyle name="Normál_2009. ktv.rendelet" xfId="53"/>
    <cellStyle name="Normál_3. sz. melléklet létszám" xfId="59"/>
    <cellStyle name="Normál_koltsegvetes_melleklet" xfId="60"/>
    <cellStyle name="Normál_költségvetési rendelet 3 4 5 5b 5c 6 9 9a 11 16a 16b mellékletei" xfId="65"/>
    <cellStyle name="Normál_költségvetési rendelet 3,4,5,5b,5c,6,9,9a,11,16a,16b mellékletei-2008-3" xfId="63"/>
    <cellStyle name="Normal_KTRSZJ" xfId="54"/>
    <cellStyle name="Összesen" xfId="55" builtinId="25" customBuiltin="1"/>
    <cellStyle name="Rossz" xfId="56" builtinId="27" customBuiltin="1"/>
    <cellStyle name="Semleges" xfId="57" builtinId="28" customBuiltin="1"/>
    <cellStyle name="Számítás" xfId="58" builtinId="22" customBuiltin="1"/>
    <cellStyle name="Százalék 2" xfId="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1"/>
  <sheetViews>
    <sheetView tabSelected="1" view="pageBreakPreview" zoomScaleNormal="75" zoomScaleSheetLayoutView="100" workbookViewId="0">
      <pane ySplit="8" topLeftCell="A9" activePane="bottomLeft" state="frozen"/>
      <selection pane="bottomLeft" activeCell="H6" sqref="H6:K6"/>
    </sheetView>
  </sheetViews>
  <sheetFormatPr defaultRowHeight="16.5" x14ac:dyDescent="0.25"/>
  <cols>
    <col min="1" max="1" width="5.42578125" style="7" customWidth="1"/>
    <col min="2" max="2" width="7.28515625" style="8" customWidth="1"/>
    <col min="3" max="3" width="61.28515625" style="37" customWidth="1"/>
    <col min="4" max="4" width="10.5703125" style="10" customWidth="1"/>
    <col min="5" max="5" width="10.42578125" style="10" customWidth="1"/>
    <col min="6" max="7" width="9.140625" style="10"/>
    <col min="8" max="8" width="10.5703125" style="10" customWidth="1"/>
    <col min="9" max="9" width="10.42578125" style="10" customWidth="1"/>
    <col min="10" max="11" width="9.140625" style="10"/>
    <col min="12" max="16384" width="9.140625" style="9"/>
  </cols>
  <sheetData>
    <row r="1" spans="1:11" s="12" customFormat="1" x14ac:dyDescent="0.25">
      <c r="A1" s="112"/>
      <c r="B1" s="124"/>
      <c r="C1" s="24"/>
      <c r="D1" s="112"/>
      <c r="E1" s="112"/>
      <c r="F1" s="112"/>
      <c r="G1" s="110"/>
      <c r="H1" s="112"/>
      <c r="I1" s="112"/>
      <c r="J1" s="112"/>
      <c r="K1" s="110" t="s">
        <v>968</v>
      </c>
    </row>
    <row r="2" spans="1:11" s="12" customFormat="1" x14ac:dyDescent="0.25">
      <c r="A2" s="112"/>
      <c r="B2" s="124"/>
      <c r="C2" s="24"/>
      <c r="D2" s="112"/>
      <c r="E2" s="112"/>
      <c r="F2" s="112"/>
      <c r="G2" s="116"/>
      <c r="H2" s="112"/>
      <c r="I2" s="112"/>
      <c r="J2" s="112"/>
      <c r="K2" s="116"/>
    </row>
    <row r="3" spans="1:11" s="10" customFormat="1" x14ac:dyDescent="0.25">
      <c r="A3" s="111"/>
      <c r="B3" s="121"/>
      <c r="C3" s="121"/>
      <c r="D3" s="112"/>
      <c r="E3" s="112"/>
      <c r="F3" s="112"/>
      <c r="G3" s="112"/>
      <c r="H3" s="112"/>
      <c r="I3" s="112"/>
      <c r="J3" s="112"/>
      <c r="K3" s="112"/>
    </row>
    <row r="4" spans="1:11" s="10" customFormat="1" x14ac:dyDescent="0.25">
      <c r="A4" s="25"/>
      <c r="B4" s="25"/>
      <c r="C4" s="25" t="s">
        <v>26</v>
      </c>
      <c r="D4" s="112"/>
      <c r="E4" s="112"/>
      <c r="F4" s="112"/>
      <c r="G4" s="112"/>
      <c r="H4" s="112"/>
      <c r="I4" s="112"/>
      <c r="J4" s="112"/>
      <c r="K4" s="112"/>
    </row>
    <row r="5" spans="1:11" s="10" customFormat="1" ht="17.25" thickBot="1" x14ac:dyDescent="0.3">
      <c r="A5" s="26"/>
      <c r="B5" s="26"/>
      <c r="C5" s="26" t="s">
        <v>368</v>
      </c>
      <c r="D5" s="113"/>
      <c r="E5" s="113"/>
      <c r="F5" s="113"/>
      <c r="G5" s="113"/>
      <c r="H5" s="113"/>
      <c r="I5" s="113"/>
      <c r="J5" s="113"/>
      <c r="K5" s="113"/>
    </row>
    <row r="6" spans="1:11" s="10" customFormat="1" ht="17.25" thickBot="1" x14ac:dyDescent="0.3">
      <c r="A6" s="27"/>
      <c r="B6" s="28"/>
      <c r="C6" s="29"/>
      <c r="D6" s="513" t="s">
        <v>367</v>
      </c>
      <c r="E6" s="514"/>
      <c r="F6" s="514"/>
      <c r="G6" s="515"/>
      <c r="H6" s="513" t="s">
        <v>1016</v>
      </c>
      <c r="I6" s="514"/>
      <c r="J6" s="514"/>
      <c r="K6" s="515"/>
    </row>
    <row r="7" spans="1:11" s="10" customFormat="1" ht="45.75" thickBot="1" x14ac:dyDescent="0.3">
      <c r="A7" s="55"/>
      <c r="B7" s="84"/>
      <c r="C7" s="85"/>
      <c r="D7" s="86" t="s">
        <v>50</v>
      </c>
      <c r="E7" s="87" t="s">
        <v>71</v>
      </c>
      <c r="F7" s="88" t="s">
        <v>72</v>
      </c>
      <c r="G7" s="89" t="s">
        <v>73</v>
      </c>
      <c r="H7" s="86" t="s">
        <v>50</v>
      </c>
      <c r="I7" s="87" t="s">
        <v>71</v>
      </c>
      <c r="J7" s="88" t="s">
        <v>72</v>
      </c>
      <c r="K7" s="89" t="s">
        <v>73</v>
      </c>
    </row>
    <row r="8" spans="1:11" s="10" customFormat="1" x14ac:dyDescent="0.25">
      <c r="A8" s="81" t="s">
        <v>27</v>
      </c>
      <c r="B8" s="82" t="s">
        <v>28</v>
      </c>
      <c r="C8" s="83" t="s">
        <v>29</v>
      </c>
      <c r="D8" s="139"/>
      <c r="E8" s="104"/>
      <c r="F8" s="104"/>
      <c r="G8" s="177"/>
      <c r="H8" s="139"/>
      <c r="I8" s="104"/>
      <c r="J8" s="104"/>
      <c r="K8" s="177"/>
    </row>
    <row r="9" spans="1:11" s="10" customFormat="1" x14ac:dyDescent="0.25">
      <c r="A9" s="30"/>
      <c r="B9" s="31"/>
      <c r="C9" s="32"/>
      <c r="D9" s="30"/>
      <c r="E9" s="37"/>
      <c r="F9" s="37"/>
      <c r="G9" s="38"/>
      <c r="H9" s="30"/>
      <c r="I9" s="37"/>
      <c r="J9" s="37"/>
      <c r="K9" s="38"/>
    </row>
    <row r="10" spans="1:11" s="10" customFormat="1" x14ac:dyDescent="0.25">
      <c r="A10" s="33">
        <v>101</v>
      </c>
      <c r="B10" s="31"/>
      <c r="C10" s="35" t="s">
        <v>75</v>
      </c>
      <c r="D10" s="33"/>
      <c r="E10" s="40"/>
      <c r="F10" s="40"/>
      <c r="G10" s="159"/>
      <c r="H10" s="33"/>
      <c r="I10" s="40"/>
      <c r="J10" s="40"/>
      <c r="K10" s="159"/>
    </row>
    <row r="11" spans="1:11" s="10" customFormat="1" x14ac:dyDescent="0.25">
      <c r="A11" s="33"/>
      <c r="B11" s="31" t="s">
        <v>30</v>
      </c>
      <c r="C11" s="32" t="s">
        <v>185</v>
      </c>
      <c r="D11" s="30">
        <v>0</v>
      </c>
      <c r="E11" s="37">
        <v>0</v>
      </c>
      <c r="F11" s="37">
        <v>0</v>
      </c>
      <c r="G11" s="38">
        <v>0</v>
      </c>
      <c r="H11" s="30">
        <v>0</v>
      </c>
      <c r="I11" s="37">
        <v>0</v>
      </c>
      <c r="J11" s="37">
        <v>0</v>
      </c>
      <c r="K11" s="38">
        <v>0</v>
      </c>
    </row>
    <row r="12" spans="1:11" s="10" customFormat="1" x14ac:dyDescent="0.25">
      <c r="A12" s="33"/>
      <c r="B12" s="31" t="s">
        <v>109</v>
      </c>
      <c r="C12" s="32" t="s">
        <v>62</v>
      </c>
      <c r="D12" s="41"/>
      <c r="E12" s="36"/>
      <c r="F12" s="36"/>
      <c r="G12" s="156"/>
      <c r="H12" s="41"/>
      <c r="I12" s="36"/>
      <c r="J12" s="36"/>
      <c r="K12" s="156"/>
    </row>
    <row r="13" spans="1:11" s="10" customFormat="1" x14ac:dyDescent="0.25">
      <c r="A13" s="33"/>
      <c r="B13" s="31"/>
      <c r="C13" s="32" t="s">
        <v>91</v>
      </c>
      <c r="D13" s="132"/>
      <c r="E13" s="36"/>
      <c r="F13" s="36"/>
      <c r="G13" s="165"/>
      <c r="H13" s="132"/>
      <c r="I13" s="36"/>
      <c r="J13" s="36"/>
      <c r="K13" s="165"/>
    </row>
    <row r="14" spans="1:11" s="10" customFormat="1" x14ac:dyDescent="0.25">
      <c r="A14" s="33"/>
      <c r="B14" s="31"/>
      <c r="C14" s="32" t="s">
        <v>428</v>
      </c>
      <c r="D14" s="132"/>
      <c r="E14" s="36"/>
      <c r="F14" s="36"/>
      <c r="G14" s="165"/>
      <c r="H14" s="132">
        <v>56</v>
      </c>
      <c r="I14" s="36">
        <v>56</v>
      </c>
      <c r="J14" s="36"/>
      <c r="K14" s="165"/>
    </row>
    <row r="15" spans="1:11" s="10" customFormat="1" x14ac:dyDescent="0.25">
      <c r="A15" s="33"/>
      <c r="B15" s="31"/>
      <c r="C15" s="44" t="s">
        <v>51</v>
      </c>
      <c r="D15" s="134"/>
      <c r="E15" s="46"/>
      <c r="F15" s="46"/>
      <c r="G15" s="160"/>
      <c r="H15" s="134">
        <f>SUM(H14)</f>
        <v>56</v>
      </c>
      <c r="I15" s="46">
        <f>SUM(I14)</f>
        <v>56</v>
      </c>
      <c r="J15" s="46"/>
      <c r="K15" s="160"/>
    </row>
    <row r="16" spans="1:11" s="10" customFormat="1" x14ac:dyDescent="0.25">
      <c r="A16" s="30"/>
      <c r="B16" s="31"/>
      <c r="C16" s="35" t="s">
        <v>32</v>
      </c>
      <c r="D16" s="135">
        <f>D11+D12</f>
        <v>0</v>
      </c>
      <c r="E16" s="39">
        <f t="shared" ref="E16:G16" si="0">E11+E12</f>
        <v>0</v>
      </c>
      <c r="F16" s="39">
        <f t="shared" si="0"/>
        <v>0</v>
      </c>
      <c r="G16" s="162">
        <f t="shared" si="0"/>
        <v>0</v>
      </c>
      <c r="H16" s="135">
        <f>H11+H15</f>
        <v>56</v>
      </c>
      <c r="I16" s="39">
        <f t="shared" ref="I16:K16" si="1">I11+I15</f>
        <v>56</v>
      </c>
      <c r="J16" s="39">
        <f t="shared" si="1"/>
        <v>0</v>
      </c>
      <c r="K16" s="151">
        <f t="shared" si="1"/>
        <v>0</v>
      </c>
    </row>
    <row r="17" spans="1:15" s="21" customFormat="1" x14ac:dyDescent="0.25">
      <c r="A17" s="30"/>
      <c r="B17" s="34"/>
      <c r="C17" s="32"/>
      <c r="D17" s="30"/>
      <c r="E17" s="37"/>
      <c r="F17" s="37"/>
      <c r="G17" s="38"/>
      <c r="H17" s="30"/>
      <c r="I17" s="37"/>
      <c r="J17" s="37"/>
      <c r="K17" s="38"/>
      <c r="N17" s="10"/>
      <c r="O17" s="10"/>
    </row>
    <row r="18" spans="1:15" s="10" customFormat="1" x14ac:dyDescent="0.25">
      <c r="A18" s="33">
        <v>102</v>
      </c>
      <c r="B18" s="31"/>
      <c r="C18" s="35" t="s">
        <v>76</v>
      </c>
      <c r="D18" s="33"/>
      <c r="E18" s="40"/>
      <c r="F18" s="40"/>
      <c r="G18" s="159"/>
      <c r="H18" s="33"/>
      <c r="I18" s="40"/>
      <c r="J18" s="40"/>
      <c r="K18" s="159"/>
    </row>
    <row r="19" spans="1:15" s="10" customFormat="1" x14ac:dyDescent="0.25">
      <c r="A19" s="33"/>
      <c r="B19" s="31" t="s">
        <v>30</v>
      </c>
      <c r="C19" s="32" t="s">
        <v>185</v>
      </c>
      <c r="D19" s="41"/>
      <c r="E19" s="36"/>
      <c r="F19" s="36"/>
      <c r="G19" s="156"/>
      <c r="H19" s="41"/>
      <c r="I19" s="36"/>
      <c r="J19" s="36"/>
      <c r="K19" s="156"/>
    </row>
    <row r="20" spans="1:15" s="10" customFormat="1" x14ac:dyDescent="0.25">
      <c r="A20" s="33"/>
      <c r="B20" s="31"/>
      <c r="C20" s="32" t="s">
        <v>23</v>
      </c>
      <c r="D20" s="41">
        <v>3000</v>
      </c>
      <c r="E20" s="36">
        <v>3000</v>
      </c>
      <c r="F20" s="36"/>
      <c r="G20" s="156"/>
      <c r="H20" s="41">
        <v>3000</v>
      </c>
      <c r="I20" s="36">
        <v>3000</v>
      </c>
      <c r="J20" s="36"/>
      <c r="K20" s="156"/>
    </row>
    <row r="21" spans="1:15" s="10" customFormat="1" x14ac:dyDescent="0.25">
      <c r="A21" s="33"/>
      <c r="B21" s="31"/>
      <c r="C21" s="32" t="s">
        <v>102</v>
      </c>
      <c r="D21" s="41">
        <v>4500</v>
      </c>
      <c r="E21" s="36">
        <v>4500</v>
      </c>
      <c r="F21" s="36"/>
      <c r="G21" s="156"/>
      <c r="H21" s="41">
        <v>4500</v>
      </c>
      <c r="I21" s="36">
        <v>4500</v>
      </c>
      <c r="J21" s="36"/>
      <c r="K21" s="156"/>
    </row>
    <row r="22" spans="1:15" s="10" customFormat="1" x14ac:dyDescent="0.25">
      <c r="A22" s="33"/>
      <c r="B22" s="31"/>
      <c r="C22" s="44" t="s">
        <v>51</v>
      </c>
      <c r="D22" s="45">
        <f t="shared" ref="D22:K22" si="2">SUM(D20:D21)</f>
        <v>7500</v>
      </c>
      <c r="E22" s="46">
        <f t="shared" si="2"/>
        <v>7500</v>
      </c>
      <c r="F22" s="46">
        <f t="shared" si="2"/>
        <v>0</v>
      </c>
      <c r="G22" s="157">
        <f t="shared" si="2"/>
        <v>0</v>
      </c>
      <c r="H22" s="45">
        <f t="shared" si="2"/>
        <v>7500</v>
      </c>
      <c r="I22" s="46">
        <f t="shared" si="2"/>
        <v>7500</v>
      </c>
      <c r="J22" s="46">
        <f t="shared" si="2"/>
        <v>0</v>
      </c>
      <c r="K22" s="157">
        <f t="shared" si="2"/>
        <v>0</v>
      </c>
    </row>
    <row r="23" spans="1:15" s="10" customFormat="1" x14ac:dyDescent="0.25">
      <c r="A23" s="33"/>
      <c r="B23" s="31" t="s">
        <v>109</v>
      </c>
      <c r="C23" s="32" t="s">
        <v>62</v>
      </c>
      <c r="D23" s="41">
        <v>0</v>
      </c>
      <c r="E23" s="36">
        <v>0</v>
      </c>
      <c r="F23" s="36">
        <v>0</v>
      </c>
      <c r="G23" s="156">
        <v>0</v>
      </c>
      <c r="H23" s="41">
        <v>0</v>
      </c>
      <c r="I23" s="36">
        <v>0</v>
      </c>
      <c r="J23" s="36">
        <v>0</v>
      </c>
      <c r="K23" s="156">
        <v>0</v>
      </c>
    </row>
    <row r="24" spans="1:15" s="10" customFormat="1" x14ac:dyDescent="0.25">
      <c r="A24" s="33"/>
      <c r="B24" s="31"/>
      <c r="C24" s="32" t="s">
        <v>91</v>
      </c>
      <c r="D24" s="132"/>
      <c r="E24" s="36"/>
      <c r="F24" s="36"/>
      <c r="G24" s="165"/>
      <c r="H24" s="132"/>
      <c r="I24" s="36"/>
      <c r="J24" s="36"/>
      <c r="K24" s="165"/>
    </row>
    <row r="25" spans="1:15" s="10" customFormat="1" x14ac:dyDescent="0.25">
      <c r="A25" s="33"/>
      <c r="B25" s="31"/>
      <c r="C25" s="32" t="s">
        <v>428</v>
      </c>
      <c r="D25" s="132"/>
      <c r="E25" s="36"/>
      <c r="F25" s="36"/>
      <c r="G25" s="165"/>
      <c r="H25" s="132">
        <v>500</v>
      </c>
      <c r="I25" s="36">
        <v>500</v>
      </c>
      <c r="J25" s="36"/>
      <c r="K25" s="165"/>
    </row>
    <row r="26" spans="1:15" s="10" customFormat="1" x14ac:dyDescent="0.25">
      <c r="A26" s="33"/>
      <c r="B26" s="31"/>
      <c r="C26" s="44" t="s">
        <v>51</v>
      </c>
      <c r="D26" s="134"/>
      <c r="E26" s="46"/>
      <c r="F26" s="46"/>
      <c r="G26" s="160"/>
      <c r="H26" s="134">
        <f>SUM(H25)</f>
        <v>500</v>
      </c>
      <c r="I26" s="46">
        <f>SUM(I25)</f>
        <v>500</v>
      </c>
      <c r="J26" s="46"/>
      <c r="K26" s="160"/>
    </row>
    <row r="27" spans="1:15" s="10" customFormat="1" x14ac:dyDescent="0.25">
      <c r="A27" s="30"/>
      <c r="B27" s="31"/>
      <c r="C27" s="35" t="s">
        <v>55</v>
      </c>
      <c r="D27" s="135">
        <f>D22+D23</f>
        <v>7500</v>
      </c>
      <c r="E27" s="39">
        <f t="shared" ref="E27:G27" si="3">E22+E23</f>
        <v>7500</v>
      </c>
      <c r="F27" s="39">
        <f t="shared" si="3"/>
        <v>0</v>
      </c>
      <c r="G27" s="151">
        <f t="shared" si="3"/>
        <v>0</v>
      </c>
      <c r="H27" s="135">
        <f>H22+H26</f>
        <v>8000</v>
      </c>
      <c r="I27" s="39">
        <f t="shared" ref="I27:K27" si="4">I22+I26</f>
        <v>8000</v>
      </c>
      <c r="J27" s="39">
        <f t="shared" si="4"/>
        <v>0</v>
      </c>
      <c r="K27" s="151">
        <f t="shared" si="4"/>
        <v>0</v>
      </c>
    </row>
    <row r="28" spans="1:15" s="21" customFormat="1" x14ac:dyDescent="0.25">
      <c r="A28" s="33"/>
      <c r="B28" s="34"/>
      <c r="C28" s="32"/>
      <c r="D28" s="30"/>
      <c r="E28" s="37"/>
      <c r="F28" s="37"/>
      <c r="G28" s="38"/>
      <c r="H28" s="30"/>
      <c r="I28" s="37"/>
      <c r="J28" s="37"/>
      <c r="K28" s="38"/>
      <c r="N28" s="10"/>
      <c r="O28" s="10"/>
    </row>
    <row r="29" spans="1:15" s="10" customFormat="1" x14ac:dyDescent="0.25">
      <c r="A29" s="33">
        <v>103</v>
      </c>
      <c r="B29" s="31"/>
      <c r="C29" s="35" t="s">
        <v>79</v>
      </c>
      <c r="D29" s="33"/>
      <c r="E29" s="40"/>
      <c r="F29" s="40"/>
      <c r="G29" s="159"/>
      <c r="H29" s="33"/>
      <c r="I29" s="40"/>
      <c r="J29" s="40"/>
      <c r="K29" s="159"/>
    </row>
    <row r="30" spans="1:15" s="10" customFormat="1" x14ac:dyDescent="0.25">
      <c r="A30" s="33"/>
      <c r="B30" s="31" t="s">
        <v>30</v>
      </c>
      <c r="C30" s="32" t="s">
        <v>185</v>
      </c>
      <c r="D30" s="41">
        <v>80000</v>
      </c>
      <c r="E30" s="36">
        <v>80000</v>
      </c>
      <c r="F30" s="36"/>
      <c r="G30" s="156"/>
      <c r="H30" s="41">
        <v>80000</v>
      </c>
      <c r="I30" s="36">
        <v>80000</v>
      </c>
      <c r="J30" s="36"/>
      <c r="K30" s="156"/>
    </row>
    <row r="31" spans="1:15" s="10" customFormat="1" x14ac:dyDescent="0.25">
      <c r="A31" s="33"/>
      <c r="B31" s="31" t="s">
        <v>109</v>
      </c>
      <c r="C31" s="32" t="s">
        <v>62</v>
      </c>
      <c r="D31" s="41">
        <v>0</v>
      </c>
      <c r="E31" s="36">
        <v>0</v>
      </c>
      <c r="F31" s="36">
        <v>0</v>
      </c>
      <c r="G31" s="156">
        <v>0</v>
      </c>
      <c r="H31" s="41">
        <v>0</v>
      </c>
      <c r="I31" s="36">
        <v>0</v>
      </c>
      <c r="J31" s="36">
        <v>0</v>
      </c>
      <c r="K31" s="156">
        <v>0</v>
      </c>
    </row>
    <row r="32" spans="1:15" s="10" customFormat="1" x14ac:dyDescent="0.25">
      <c r="A32" s="33"/>
      <c r="B32" s="31"/>
      <c r="C32" s="32" t="s">
        <v>91</v>
      </c>
      <c r="D32" s="132"/>
      <c r="E32" s="36"/>
      <c r="F32" s="36"/>
      <c r="G32" s="165"/>
      <c r="H32" s="132"/>
      <c r="I32" s="36"/>
      <c r="J32" s="36"/>
      <c r="K32" s="165"/>
    </row>
    <row r="33" spans="1:15" s="10" customFormat="1" x14ac:dyDescent="0.25">
      <c r="A33" s="33"/>
      <c r="B33" s="31"/>
      <c r="C33" s="32" t="s">
        <v>428</v>
      </c>
      <c r="D33" s="132"/>
      <c r="E33" s="36"/>
      <c r="F33" s="36"/>
      <c r="G33" s="165"/>
      <c r="H33" s="132">
        <v>1111</v>
      </c>
      <c r="I33" s="36">
        <v>1111</v>
      </c>
      <c r="J33" s="36"/>
      <c r="K33" s="165"/>
    </row>
    <row r="34" spans="1:15" s="10" customFormat="1" x14ac:dyDescent="0.25">
      <c r="A34" s="33"/>
      <c r="B34" s="31"/>
      <c r="C34" s="44" t="s">
        <v>51</v>
      </c>
      <c r="D34" s="134"/>
      <c r="E34" s="46"/>
      <c r="F34" s="46"/>
      <c r="G34" s="160"/>
      <c r="H34" s="134">
        <f>SUM(H33)</f>
        <v>1111</v>
      </c>
      <c r="I34" s="46">
        <f>SUM(I33)</f>
        <v>1111</v>
      </c>
      <c r="J34" s="46"/>
      <c r="K34" s="160"/>
    </row>
    <row r="35" spans="1:15" s="10" customFormat="1" x14ac:dyDescent="0.25">
      <c r="A35" s="30"/>
      <c r="B35" s="31"/>
      <c r="C35" s="35" t="s">
        <v>43</v>
      </c>
      <c r="D35" s="135">
        <f>D30+D31</f>
        <v>80000</v>
      </c>
      <c r="E35" s="39">
        <f t="shared" ref="E35:G35" si="5">E30+E31</f>
        <v>80000</v>
      </c>
      <c r="F35" s="39">
        <f t="shared" si="5"/>
        <v>0</v>
      </c>
      <c r="G35" s="151">
        <f t="shared" si="5"/>
        <v>0</v>
      </c>
      <c r="H35" s="135">
        <f>H30+H34</f>
        <v>81111</v>
      </c>
      <c r="I35" s="39">
        <f t="shared" ref="I35:K35" si="6">I30+I34</f>
        <v>81111</v>
      </c>
      <c r="J35" s="39">
        <f t="shared" si="6"/>
        <v>0</v>
      </c>
      <c r="K35" s="151">
        <f t="shared" si="6"/>
        <v>0</v>
      </c>
    </row>
    <row r="36" spans="1:15" s="21" customFormat="1" x14ac:dyDescent="0.25">
      <c r="A36" s="30"/>
      <c r="B36" s="34"/>
      <c r="C36" s="32" t="s">
        <v>25</v>
      </c>
      <c r="D36" s="30"/>
      <c r="E36" s="37"/>
      <c r="F36" s="37"/>
      <c r="G36" s="38"/>
      <c r="H36" s="30"/>
      <c r="I36" s="37"/>
      <c r="J36" s="37"/>
      <c r="K36" s="38"/>
      <c r="N36" s="10"/>
      <c r="O36" s="10"/>
    </row>
    <row r="37" spans="1:15" s="10" customFormat="1" x14ac:dyDescent="0.25">
      <c r="A37" s="33">
        <v>104</v>
      </c>
      <c r="B37" s="31"/>
      <c r="C37" s="35" t="s">
        <v>77</v>
      </c>
      <c r="D37" s="33"/>
      <c r="E37" s="40"/>
      <c r="F37" s="40"/>
      <c r="G37" s="159"/>
      <c r="H37" s="33"/>
      <c r="I37" s="40"/>
      <c r="J37" s="40"/>
      <c r="K37" s="159"/>
    </row>
    <row r="38" spans="1:15" s="10" customFormat="1" x14ac:dyDescent="0.25">
      <c r="A38" s="30"/>
      <c r="B38" s="31" t="s">
        <v>30</v>
      </c>
      <c r="C38" s="32" t="s">
        <v>185</v>
      </c>
      <c r="D38" s="41">
        <v>2000</v>
      </c>
      <c r="E38" s="36">
        <v>2000</v>
      </c>
      <c r="F38" s="36"/>
      <c r="G38" s="156"/>
      <c r="H38" s="41">
        <v>2000</v>
      </c>
      <c r="I38" s="36">
        <v>2000</v>
      </c>
      <c r="J38" s="36"/>
      <c r="K38" s="156"/>
    </row>
    <row r="39" spans="1:15" s="10" customFormat="1" x14ac:dyDescent="0.25">
      <c r="A39" s="33"/>
      <c r="B39" s="31" t="s">
        <v>109</v>
      </c>
      <c r="C39" s="32" t="s">
        <v>62</v>
      </c>
      <c r="D39" s="41">
        <v>0</v>
      </c>
      <c r="E39" s="36">
        <v>0</v>
      </c>
      <c r="F39" s="36">
        <v>0</v>
      </c>
      <c r="G39" s="156">
        <v>0</v>
      </c>
      <c r="H39" s="41">
        <v>0</v>
      </c>
      <c r="I39" s="36">
        <v>0</v>
      </c>
      <c r="J39" s="36">
        <v>0</v>
      </c>
      <c r="K39" s="156">
        <v>0</v>
      </c>
    </row>
    <row r="40" spans="1:15" s="10" customFormat="1" x14ac:dyDescent="0.25">
      <c r="A40" s="33"/>
      <c r="B40" s="31"/>
      <c r="C40" s="32" t="s">
        <v>91</v>
      </c>
      <c r="D40" s="132"/>
      <c r="E40" s="36"/>
      <c r="F40" s="36"/>
      <c r="G40" s="165"/>
      <c r="H40" s="132"/>
      <c r="I40" s="36"/>
      <c r="J40" s="36"/>
      <c r="K40" s="165"/>
    </row>
    <row r="41" spans="1:15" s="10" customFormat="1" x14ac:dyDescent="0.25">
      <c r="A41" s="33"/>
      <c r="B41" s="31"/>
      <c r="C41" s="32" t="s">
        <v>428</v>
      </c>
      <c r="D41" s="132"/>
      <c r="E41" s="36"/>
      <c r="F41" s="36"/>
      <c r="G41" s="165"/>
      <c r="H41" s="132">
        <v>725</v>
      </c>
      <c r="I41" s="36">
        <v>725</v>
      </c>
      <c r="J41" s="36"/>
      <c r="K41" s="165"/>
    </row>
    <row r="42" spans="1:15" s="10" customFormat="1" x14ac:dyDescent="0.25">
      <c r="A42" s="33"/>
      <c r="B42" s="31"/>
      <c r="C42" s="44" t="s">
        <v>51</v>
      </c>
      <c r="D42" s="134"/>
      <c r="E42" s="46"/>
      <c r="F42" s="46"/>
      <c r="G42" s="160"/>
      <c r="H42" s="134">
        <f>SUM(H41)</f>
        <v>725</v>
      </c>
      <c r="I42" s="46">
        <f>SUM(I41)</f>
        <v>725</v>
      </c>
      <c r="J42" s="46"/>
      <c r="K42" s="160"/>
    </row>
    <row r="43" spans="1:15" s="10" customFormat="1" x14ac:dyDescent="0.25">
      <c r="A43" s="30"/>
      <c r="B43" s="31"/>
      <c r="C43" s="35" t="s">
        <v>33</v>
      </c>
      <c r="D43" s="135">
        <f>D38+D39</f>
        <v>2000</v>
      </c>
      <c r="E43" s="39">
        <f t="shared" ref="E43:G43" si="7">E38+E39</f>
        <v>2000</v>
      </c>
      <c r="F43" s="39">
        <f t="shared" si="7"/>
        <v>0</v>
      </c>
      <c r="G43" s="151">
        <f t="shared" si="7"/>
        <v>0</v>
      </c>
      <c r="H43" s="135">
        <f>H38+H42</f>
        <v>2725</v>
      </c>
      <c r="I43" s="39">
        <f t="shared" ref="I43:K43" si="8">I38+I42</f>
        <v>2725</v>
      </c>
      <c r="J43" s="39">
        <f t="shared" si="8"/>
        <v>0</v>
      </c>
      <c r="K43" s="151">
        <f t="shared" si="8"/>
        <v>0</v>
      </c>
    </row>
    <row r="44" spans="1:15" s="10" customFormat="1" ht="17.25" customHeight="1" x14ac:dyDescent="0.25">
      <c r="A44" s="30"/>
      <c r="B44" s="31"/>
      <c r="C44" s="32"/>
      <c r="D44" s="30"/>
      <c r="E44" s="37"/>
      <c r="F44" s="37"/>
      <c r="G44" s="38"/>
      <c r="H44" s="30"/>
      <c r="I44" s="37"/>
      <c r="J44" s="37"/>
      <c r="K44" s="38"/>
    </row>
    <row r="45" spans="1:15" s="10" customFormat="1" ht="29.25" customHeight="1" x14ac:dyDescent="0.25">
      <c r="A45" s="33"/>
      <c r="B45" s="34"/>
      <c r="C45" s="35" t="s">
        <v>78</v>
      </c>
      <c r="D45" s="119">
        <f t="shared" ref="D45:K45" si="9">D16+D27+D35+D43</f>
        <v>89500</v>
      </c>
      <c r="E45" s="39">
        <f t="shared" si="9"/>
        <v>89500</v>
      </c>
      <c r="F45" s="39">
        <f t="shared" si="9"/>
        <v>0</v>
      </c>
      <c r="G45" s="155">
        <f t="shared" si="9"/>
        <v>0</v>
      </c>
      <c r="H45" s="119">
        <f t="shared" si="9"/>
        <v>91892</v>
      </c>
      <c r="I45" s="39">
        <f t="shared" si="9"/>
        <v>91892</v>
      </c>
      <c r="J45" s="39">
        <f t="shared" si="9"/>
        <v>0</v>
      </c>
      <c r="K45" s="155">
        <f t="shared" si="9"/>
        <v>0</v>
      </c>
    </row>
    <row r="46" spans="1:15" s="10" customFormat="1" x14ac:dyDescent="0.25">
      <c r="A46" s="30"/>
      <c r="B46" s="31"/>
      <c r="C46" s="32"/>
      <c r="D46" s="30"/>
      <c r="E46" s="37"/>
      <c r="F46" s="37"/>
      <c r="G46" s="38"/>
      <c r="H46" s="30"/>
      <c r="I46" s="37"/>
      <c r="J46" s="37"/>
      <c r="K46" s="38"/>
    </row>
    <row r="47" spans="1:15" s="10" customFormat="1" x14ac:dyDescent="0.25">
      <c r="A47" s="48">
        <v>105</v>
      </c>
      <c r="B47" s="49"/>
      <c r="C47" s="35" t="s">
        <v>80</v>
      </c>
      <c r="D47" s="119"/>
      <c r="E47" s="39"/>
      <c r="F47" s="39"/>
      <c r="G47" s="155"/>
      <c r="H47" s="119"/>
      <c r="I47" s="39"/>
      <c r="J47" s="39"/>
      <c r="K47" s="155"/>
    </row>
    <row r="48" spans="1:15" s="10" customFormat="1" x14ac:dyDescent="0.25">
      <c r="A48" s="33"/>
      <c r="B48" s="31" t="s">
        <v>30</v>
      </c>
      <c r="C48" s="32" t="s">
        <v>185</v>
      </c>
      <c r="D48" s="41"/>
      <c r="E48" s="36"/>
      <c r="F48" s="36"/>
      <c r="G48" s="156"/>
      <c r="H48" s="41"/>
      <c r="I48" s="36"/>
      <c r="J48" s="36"/>
      <c r="K48" s="156"/>
    </row>
    <row r="49" spans="1:15" s="10" customFormat="1" x14ac:dyDescent="0.25">
      <c r="A49" s="33"/>
      <c r="B49" s="31"/>
      <c r="C49" s="32" t="s">
        <v>186</v>
      </c>
      <c r="D49" s="41">
        <v>15000</v>
      </c>
      <c r="E49" s="36">
        <v>15000</v>
      </c>
      <c r="F49" s="36"/>
      <c r="G49" s="156"/>
      <c r="H49" s="41">
        <v>15000</v>
      </c>
      <c r="I49" s="36">
        <v>15000</v>
      </c>
      <c r="J49" s="36"/>
      <c r="K49" s="156"/>
    </row>
    <row r="50" spans="1:15" s="10" customFormat="1" x14ac:dyDescent="0.25">
      <c r="A50" s="33"/>
      <c r="B50" s="31"/>
      <c r="C50" s="32" t="s">
        <v>187</v>
      </c>
      <c r="D50" s="41">
        <v>0</v>
      </c>
      <c r="E50" s="36">
        <v>0</v>
      </c>
      <c r="F50" s="36"/>
      <c r="G50" s="156"/>
      <c r="H50" s="41">
        <v>0</v>
      </c>
      <c r="I50" s="36">
        <v>0</v>
      </c>
      <c r="J50" s="36"/>
      <c r="K50" s="156"/>
    </row>
    <row r="51" spans="1:15" s="22" customFormat="1" x14ac:dyDescent="0.25">
      <c r="A51" s="42"/>
      <c r="B51" s="43"/>
      <c r="C51" s="44" t="s">
        <v>51</v>
      </c>
      <c r="D51" s="45">
        <f t="shared" ref="D51:G51" si="10">SUM(D49:D50)</f>
        <v>15000</v>
      </c>
      <c r="E51" s="46">
        <f t="shared" si="10"/>
        <v>15000</v>
      </c>
      <c r="F51" s="46">
        <f t="shared" si="10"/>
        <v>0</v>
      </c>
      <c r="G51" s="157">
        <f t="shared" si="10"/>
        <v>0</v>
      </c>
      <c r="H51" s="45">
        <f t="shared" ref="H51:K51" si="11">SUM(H49:H50)</f>
        <v>15000</v>
      </c>
      <c r="I51" s="46">
        <f t="shared" si="11"/>
        <v>15000</v>
      </c>
      <c r="J51" s="46">
        <f t="shared" si="11"/>
        <v>0</v>
      </c>
      <c r="K51" s="157">
        <f t="shared" si="11"/>
        <v>0</v>
      </c>
      <c r="N51" s="10"/>
      <c r="O51" s="10"/>
    </row>
    <row r="52" spans="1:15" s="10" customFormat="1" x14ac:dyDescent="0.25">
      <c r="A52" s="33"/>
      <c r="B52" s="31" t="s">
        <v>109</v>
      </c>
      <c r="C52" s="32" t="s">
        <v>62</v>
      </c>
      <c r="D52" s="41"/>
      <c r="E52" s="36"/>
      <c r="F52" s="36"/>
      <c r="G52" s="156"/>
      <c r="H52" s="41"/>
      <c r="I52" s="36"/>
      <c r="J52" s="36"/>
      <c r="K52" s="156"/>
    </row>
    <row r="53" spans="1:15" s="10" customFormat="1" x14ac:dyDescent="0.25">
      <c r="A53" s="33"/>
      <c r="B53" s="31"/>
      <c r="C53" s="32" t="s">
        <v>91</v>
      </c>
      <c r="D53" s="41"/>
      <c r="E53" s="36"/>
      <c r="F53" s="36"/>
      <c r="G53" s="156"/>
      <c r="H53" s="41"/>
      <c r="I53" s="36"/>
      <c r="J53" s="36"/>
      <c r="K53" s="156"/>
    </row>
    <row r="54" spans="1:15" s="10" customFormat="1" x14ac:dyDescent="0.25">
      <c r="A54" s="33"/>
      <c r="B54" s="31"/>
      <c r="C54" s="32" t="s">
        <v>428</v>
      </c>
      <c r="D54" s="41">
        <v>7601</v>
      </c>
      <c r="E54" s="36">
        <v>7601</v>
      </c>
      <c r="F54" s="36"/>
      <c r="G54" s="156"/>
      <c r="H54" s="41">
        <v>7601</v>
      </c>
      <c r="I54" s="36">
        <v>7601</v>
      </c>
      <c r="J54" s="36"/>
      <c r="K54" s="156"/>
    </row>
    <row r="55" spans="1:15" s="22" customFormat="1" x14ac:dyDescent="0.25">
      <c r="A55" s="42"/>
      <c r="B55" s="43"/>
      <c r="C55" s="44" t="s">
        <v>51</v>
      </c>
      <c r="D55" s="134">
        <f t="shared" ref="D55:K55" si="12">SUM(D54:D54)</f>
        <v>7601</v>
      </c>
      <c r="E55" s="46">
        <f t="shared" si="12"/>
        <v>7601</v>
      </c>
      <c r="F55" s="46">
        <f t="shared" si="12"/>
        <v>0</v>
      </c>
      <c r="G55" s="160">
        <f t="shared" si="12"/>
        <v>0</v>
      </c>
      <c r="H55" s="134">
        <f t="shared" si="12"/>
        <v>7601</v>
      </c>
      <c r="I55" s="46">
        <f t="shared" si="12"/>
        <v>7601</v>
      </c>
      <c r="J55" s="46">
        <f t="shared" si="12"/>
        <v>0</v>
      </c>
      <c r="K55" s="160">
        <f t="shared" si="12"/>
        <v>0</v>
      </c>
      <c r="N55" s="10"/>
      <c r="O55" s="10"/>
    </row>
    <row r="56" spans="1:15" s="10" customFormat="1" x14ac:dyDescent="0.25">
      <c r="A56" s="33"/>
      <c r="B56" s="31"/>
      <c r="C56" s="35" t="s">
        <v>24</v>
      </c>
      <c r="D56" s="135">
        <f>D51+D55</f>
        <v>22601</v>
      </c>
      <c r="E56" s="39">
        <f t="shared" ref="E56:G56" si="13">E51+E55</f>
        <v>22601</v>
      </c>
      <c r="F56" s="39">
        <f t="shared" si="13"/>
        <v>0</v>
      </c>
      <c r="G56" s="230">
        <f t="shared" si="13"/>
        <v>0</v>
      </c>
      <c r="H56" s="135">
        <f>H51+H55</f>
        <v>22601</v>
      </c>
      <c r="I56" s="39">
        <f t="shared" ref="I56:K56" si="14">I51+I55</f>
        <v>22601</v>
      </c>
      <c r="J56" s="39">
        <f t="shared" si="14"/>
        <v>0</v>
      </c>
      <c r="K56" s="230">
        <f t="shared" si="14"/>
        <v>0</v>
      </c>
    </row>
    <row r="57" spans="1:15" s="10" customFormat="1" x14ac:dyDescent="0.25">
      <c r="A57" s="30"/>
      <c r="B57" s="31"/>
      <c r="C57" s="32"/>
      <c r="D57" s="30"/>
      <c r="E57" s="37"/>
      <c r="F57" s="37"/>
      <c r="G57" s="38"/>
      <c r="H57" s="30"/>
      <c r="I57" s="37"/>
      <c r="J57" s="37"/>
      <c r="K57" s="38"/>
    </row>
    <row r="58" spans="1:15" s="21" customFormat="1" x14ac:dyDescent="0.25">
      <c r="A58" s="33">
        <v>106</v>
      </c>
      <c r="B58" s="34"/>
      <c r="C58" s="92" t="s">
        <v>57</v>
      </c>
      <c r="D58" s="140"/>
      <c r="E58" s="102"/>
      <c r="F58" s="102"/>
      <c r="G58" s="178"/>
      <c r="H58" s="140"/>
      <c r="I58" s="102"/>
      <c r="J58" s="102"/>
      <c r="K58" s="178"/>
      <c r="N58" s="10"/>
      <c r="O58" s="10"/>
    </row>
    <row r="59" spans="1:15" s="10" customFormat="1" x14ac:dyDescent="0.25">
      <c r="A59" s="30"/>
      <c r="B59" s="31" t="s">
        <v>30</v>
      </c>
      <c r="C59" s="32" t="s">
        <v>185</v>
      </c>
      <c r="D59" s="122"/>
      <c r="E59" s="74"/>
      <c r="F59" s="74"/>
      <c r="G59" s="166"/>
      <c r="H59" s="122"/>
      <c r="I59" s="74"/>
      <c r="J59" s="74"/>
      <c r="K59" s="166"/>
    </row>
    <row r="60" spans="1:15" s="10" customFormat="1" ht="30" x14ac:dyDescent="0.25">
      <c r="A60" s="30"/>
      <c r="B60" s="31"/>
      <c r="C60" s="52" t="s">
        <v>188</v>
      </c>
      <c r="D60" s="122">
        <v>5000</v>
      </c>
      <c r="E60" s="74">
        <v>5000</v>
      </c>
      <c r="F60" s="74"/>
      <c r="G60" s="166"/>
      <c r="H60" s="122">
        <v>5000</v>
      </c>
      <c r="I60" s="74">
        <v>5000</v>
      </c>
      <c r="J60" s="74"/>
      <c r="K60" s="166"/>
    </row>
    <row r="61" spans="1:15" s="10" customFormat="1" ht="30" x14ac:dyDescent="0.25">
      <c r="A61" s="30"/>
      <c r="B61" s="31"/>
      <c r="C61" s="52" t="s">
        <v>189</v>
      </c>
      <c r="D61" s="122">
        <v>8000</v>
      </c>
      <c r="E61" s="74">
        <v>8000</v>
      </c>
      <c r="F61" s="74"/>
      <c r="G61" s="166"/>
      <c r="H61" s="122">
        <v>8000</v>
      </c>
      <c r="I61" s="74">
        <v>8000</v>
      </c>
      <c r="J61" s="74"/>
      <c r="K61" s="166"/>
    </row>
    <row r="62" spans="1:15" s="10" customFormat="1" x14ac:dyDescent="0.25">
      <c r="A62" s="30"/>
      <c r="B62" s="31"/>
      <c r="C62" s="52" t="s">
        <v>190</v>
      </c>
      <c r="D62" s="122">
        <v>2000</v>
      </c>
      <c r="E62" s="74">
        <v>2000</v>
      </c>
      <c r="F62" s="74"/>
      <c r="G62" s="166"/>
      <c r="H62" s="122">
        <v>2000</v>
      </c>
      <c r="I62" s="74">
        <v>2000</v>
      </c>
      <c r="J62" s="74"/>
      <c r="K62" s="166"/>
    </row>
    <row r="63" spans="1:15" s="22" customFormat="1" x14ac:dyDescent="0.25">
      <c r="A63" s="30"/>
      <c r="B63" s="43"/>
      <c r="C63" s="52" t="s">
        <v>191</v>
      </c>
      <c r="D63" s="122"/>
      <c r="E63" s="74"/>
      <c r="F63" s="74"/>
      <c r="G63" s="166"/>
      <c r="H63" s="122"/>
      <c r="I63" s="74"/>
      <c r="J63" s="74"/>
      <c r="K63" s="166"/>
      <c r="N63" s="10"/>
      <c r="O63" s="10"/>
    </row>
    <row r="64" spans="1:15" s="22" customFormat="1" x14ac:dyDescent="0.25">
      <c r="A64" s="30"/>
      <c r="B64" s="43"/>
      <c r="C64" s="125" t="s">
        <v>192</v>
      </c>
      <c r="D64" s="122">
        <v>15850</v>
      </c>
      <c r="E64" s="74">
        <v>15850</v>
      </c>
      <c r="F64" s="74"/>
      <c r="G64" s="166"/>
      <c r="H64" s="122">
        <v>20850</v>
      </c>
      <c r="I64" s="74">
        <v>20850</v>
      </c>
      <c r="J64" s="74"/>
      <c r="K64" s="166"/>
      <c r="N64" s="10"/>
      <c r="O64" s="10"/>
    </row>
    <row r="65" spans="1:15" s="22" customFormat="1" ht="30" x14ac:dyDescent="0.25">
      <c r="A65" s="30"/>
      <c r="B65" s="43"/>
      <c r="C65" s="125" t="s">
        <v>193</v>
      </c>
      <c r="D65" s="122">
        <v>9575</v>
      </c>
      <c r="E65" s="74">
        <v>9575</v>
      </c>
      <c r="F65" s="74"/>
      <c r="G65" s="166"/>
      <c r="H65" s="122">
        <v>9575</v>
      </c>
      <c r="I65" s="74">
        <v>9575</v>
      </c>
      <c r="J65" s="74"/>
      <c r="K65" s="166"/>
      <c r="N65" s="10"/>
      <c r="O65" s="10"/>
    </row>
    <row r="66" spans="1:15" s="22" customFormat="1" x14ac:dyDescent="0.25">
      <c r="A66" s="30"/>
      <c r="B66" s="43"/>
      <c r="C66" s="125" t="s">
        <v>194</v>
      </c>
      <c r="D66" s="122">
        <v>5000</v>
      </c>
      <c r="E66" s="74">
        <v>5000</v>
      </c>
      <c r="F66" s="74"/>
      <c r="G66" s="166"/>
      <c r="H66" s="122">
        <v>7553</v>
      </c>
      <c r="I66" s="74">
        <v>7553</v>
      </c>
      <c r="J66" s="74"/>
      <c r="K66" s="166"/>
      <c r="N66" s="10"/>
      <c r="O66" s="10"/>
    </row>
    <row r="67" spans="1:15" s="22" customFormat="1" x14ac:dyDescent="0.25">
      <c r="A67" s="30"/>
      <c r="B67" s="43"/>
      <c r="C67" s="125" t="s">
        <v>195</v>
      </c>
      <c r="D67" s="122">
        <v>3000</v>
      </c>
      <c r="E67" s="74">
        <v>3000</v>
      </c>
      <c r="F67" s="74"/>
      <c r="G67" s="166"/>
      <c r="H67" s="122">
        <v>3000</v>
      </c>
      <c r="I67" s="74">
        <v>3000</v>
      </c>
      <c r="J67" s="74"/>
      <c r="K67" s="166"/>
      <c r="N67" s="10"/>
      <c r="O67" s="10"/>
    </row>
    <row r="68" spans="1:15" s="22" customFormat="1" x14ac:dyDescent="0.25">
      <c r="A68" s="30"/>
      <c r="B68" s="43"/>
      <c r="C68" s="125" t="s">
        <v>196</v>
      </c>
      <c r="D68" s="122"/>
      <c r="E68" s="74"/>
      <c r="F68" s="74"/>
      <c r="G68" s="166"/>
      <c r="H68" s="122"/>
      <c r="I68" s="74"/>
      <c r="J68" s="74"/>
      <c r="K68" s="166"/>
      <c r="N68" s="10"/>
      <c r="O68" s="10"/>
    </row>
    <row r="69" spans="1:15" s="22" customFormat="1" x14ac:dyDescent="0.25">
      <c r="A69" s="30"/>
      <c r="B69" s="43"/>
      <c r="C69" s="125" t="s">
        <v>197</v>
      </c>
      <c r="D69" s="122">
        <v>8000</v>
      </c>
      <c r="E69" s="74"/>
      <c r="F69" s="74">
        <v>8000</v>
      </c>
      <c r="G69" s="166"/>
      <c r="H69" s="122">
        <v>8000</v>
      </c>
      <c r="I69" s="74"/>
      <c r="J69" s="74">
        <v>8000</v>
      </c>
      <c r="K69" s="166"/>
      <c r="N69" s="10"/>
      <c r="O69" s="10"/>
    </row>
    <row r="70" spans="1:15" s="22" customFormat="1" x14ac:dyDescent="0.25">
      <c r="A70" s="30"/>
      <c r="B70" s="43"/>
      <c r="C70" s="125" t="s">
        <v>198</v>
      </c>
      <c r="D70" s="122">
        <v>150</v>
      </c>
      <c r="E70" s="74"/>
      <c r="F70" s="74">
        <v>150</v>
      </c>
      <c r="G70" s="166"/>
      <c r="H70" s="122">
        <v>150</v>
      </c>
      <c r="I70" s="74"/>
      <c r="J70" s="74">
        <v>150</v>
      </c>
      <c r="K70" s="166"/>
      <c r="N70" s="10"/>
      <c r="O70" s="10"/>
    </row>
    <row r="71" spans="1:15" s="22" customFormat="1" x14ac:dyDescent="0.25">
      <c r="A71" s="30"/>
      <c r="B71" s="43"/>
      <c r="C71" s="125" t="s">
        <v>199</v>
      </c>
      <c r="D71" s="133">
        <v>1524</v>
      </c>
      <c r="E71" s="74">
        <v>1524</v>
      </c>
      <c r="F71" s="74"/>
      <c r="G71" s="167"/>
      <c r="H71" s="133">
        <v>1524</v>
      </c>
      <c r="I71" s="74">
        <v>1524</v>
      </c>
      <c r="J71" s="74"/>
      <c r="K71" s="167"/>
      <c r="N71" s="10"/>
      <c r="O71" s="10"/>
    </row>
    <row r="72" spans="1:15" s="22" customFormat="1" x14ac:dyDescent="0.25">
      <c r="A72" s="30"/>
      <c r="B72" s="43"/>
      <c r="C72" s="125" t="s">
        <v>200</v>
      </c>
      <c r="D72" s="133">
        <v>10000</v>
      </c>
      <c r="E72" s="74">
        <v>10000</v>
      </c>
      <c r="F72" s="74"/>
      <c r="G72" s="167"/>
      <c r="H72" s="133">
        <v>10000</v>
      </c>
      <c r="I72" s="74">
        <v>10000</v>
      </c>
      <c r="J72" s="74"/>
      <c r="K72" s="167"/>
      <c r="N72" s="10"/>
      <c r="O72" s="10"/>
    </row>
    <row r="73" spans="1:15" s="22" customFormat="1" x14ac:dyDescent="0.25">
      <c r="A73" s="30"/>
      <c r="B73" s="43"/>
      <c r="C73" s="125" t="s">
        <v>981</v>
      </c>
      <c r="D73" s="133"/>
      <c r="E73" s="74"/>
      <c r="F73" s="74"/>
      <c r="G73" s="167"/>
      <c r="H73" s="133">
        <v>210</v>
      </c>
      <c r="I73" s="74">
        <v>210</v>
      </c>
      <c r="J73" s="74"/>
      <c r="K73" s="167"/>
      <c r="N73" s="10"/>
      <c r="O73" s="10"/>
    </row>
    <row r="74" spans="1:15" s="10" customFormat="1" x14ac:dyDescent="0.25">
      <c r="A74" s="30"/>
      <c r="B74" s="31"/>
      <c r="C74" s="94" t="s">
        <v>63</v>
      </c>
      <c r="D74" s="150">
        <f>SUM(D60:D72)</f>
        <v>68099</v>
      </c>
      <c r="E74" s="105">
        <f t="shared" ref="E74:G74" si="15">SUM(E60:E72)</f>
        <v>59949</v>
      </c>
      <c r="F74" s="105">
        <f t="shared" si="15"/>
        <v>8150</v>
      </c>
      <c r="G74" s="181">
        <f t="shared" si="15"/>
        <v>0</v>
      </c>
      <c r="H74" s="150">
        <f>SUM(H60:H73)</f>
        <v>75862</v>
      </c>
      <c r="I74" s="105">
        <f>SUM(I60:I73)</f>
        <v>67712</v>
      </c>
      <c r="J74" s="105">
        <f>SUM(J60:J73)</f>
        <v>8150</v>
      </c>
      <c r="K74" s="181">
        <f>SUM(K60:K73)</f>
        <v>0</v>
      </c>
    </row>
    <row r="75" spans="1:15" s="10" customFormat="1" x14ac:dyDescent="0.25">
      <c r="A75" s="30"/>
      <c r="B75" s="31"/>
      <c r="C75" s="52"/>
      <c r="D75" s="142"/>
      <c r="E75" s="100"/>
      <c r="F75" s="100"/>
      <c r="G75" s="180"/>
      <c r="H75" s="142"/>
      <c r="I75" s="100"/>
      <c r="J75" s="100"/>
      <c r="K75" s="180"/>
    </row>
    <row r="76" spans="1:15" s="10" customFormat="1" x14ac:dyDescent="0.25">
      <c r="A76" s="30"/>
      <c r="B76" s="31" t="s">
        <v>36</v>
      </c>
      <c r="C76" s="52" t="s">
        <v>97</v>
      </c>
      <c r="D76" s="142"/>
      <c r="E76" s="100"/>
      <c r="F76" s="100"/>
      <c r="G76" s="180"/>
      <c r="H76" s="142"/>
      <c r="I76" s="100"/>
      <c r="J76" s="100"/>
      <c r="K76" s="180"/>
    </row>
    <row r="77" spans="1:15" s="10" customFormat="1" x14ac:dyDescent="0.25">
      <c r="A77" s="30"/>
      <c r="B77" s="31"/>
      <c r="C77" s="52" t="s">
        <v>104</v>
      </c>
      <c r="D77" s="122"/>
      <c r="E77" s="74"/>
      <c r="F77" s="74"/>
      <c r="G77" s="166"/>
      <c r="H77" s="122"/>
      <c r="I77" s="74"/>
      <c r="J77" s="74"/>
      <c r="K77" s="166"/>
    </row>
    <row r="78" spans="1:15" s="10" customFormat="1" x14ac:dyDescent="0.25">
      <c r="A78" s="30"/>
      <c r="B78" s="31"/>
      <c r="C78" s="52" t="s">
        <v>115</v>
      </c>
      <c r="D78" s="122">
        <v>70000</v>
      </c>
      <c r="E78" s="74">
        <v>70000</v>
      </c>
      <c r="F78" s="74"/>
      <c r="G78" s="166"/>
      <c r="H78" s="122">
        <v>70000</v>
      </c>
      <c r="I78" s="74">
        <v>70000</v>
      </c>
      <c r="J78" s="74"/>
      <c r="K78" s="166"/>
    </row>
    <row r="79" spans="1:15" s="10" customFormat="1" x14ac:dyDescent="0.25">
      <c r="A79" s="30"/>
      <c r="B79" s="31"/>
      <c r="C79" s="52" t="s">
        <v>113</v>
      </c>
      <c r="D79" s="122">
        <v>133000</v>
      </c>
      <c r="E79" s="74">
        <v>133000</v>
      </c>
      <c r="F79" s="74"/>
      <c r="G79" s="166"/>
      <c r="H79" s="122">
        <v>133000</v>
      </c>
      <c r="I79" s="74">
        <v>133000</v>
      </c>
      <c r="J79" s="74"/>
      <c r="K79" s="166"/>
    </row>
    <row r="80" spans="1:15" s="10" customFormat="1" x14ac:dyDescent="0.25">
      <c r="A80" s="42"/>
      <c r="B80" s="31"/>
      <c r="C80" s="52" t="s">
        <v>114</v>
      </c>
      <c r="D80" s="122">
        <v>15000</v>
      </c>
      <c r="E80" s="74">
        <v>15000</v>
      </c>
      <c r="F80" s="74"/>
      <c r="G80" s="166"/>
      <c r="H80" s="122">
        <v>15000</v>
      </c>
      <c r="I80" s="74">
        <v>15000</v>
      </c>
      <c r="J80" s="74"/>
      <c r="K80" s="166"/>
    </row>
    <row r="81" spans="1:15" s="22" customFormat="1" x14ac:dyDescent="0.25">
      <c r="A81" s="30"/>
      <c r="B81" s="43"/>
      <c r="C81" s="52" t="s">
        <v>116</v>
      </c>
      <c r="D81" s="122">
        <v>500000</v>
      </c>
      <c r="E81" s="74">
        <v>500000</v>
      </c>
      <c r="F81" s="74"/>
      <c r="G81" s="166"/>
      <c r="H81" s="122">
        <v>500000</v>
      </c>
      <c r="I81" s="74">
        <v>500000</v>
      </c>
      <c r="J81" s="74"/>
      <c r="K81" s="166"/>
      <c r="N81" s="10"/>
      <c r="O81" s="10"/>
    </row>
    <row r="82" spans="1:15" s="22" customFormat="1" x14ac:dyDescent="0.25">
      <c r="A82" s="30"/>
      <c r="B82" s="43"/>
      <c r="C82" s="52" t="s">
        <v>163</v>
      </c>
      <c r="D82" s="122">
        <v>23000</v>
      </c>
      <c r="E82" s="74">
        <v>23000</v>
      </c>
      <c r="F82" s="74"/>
      <c r="G82" s="166"/>
      <c r="H82" s="122">
        <v>23000</v>
      </c>
      <c r="I82" s="74">
        <v>23000</v>
      </c>
      <c r="J82" s="74"/>
      <c r="K82" s="166"/>
      <c r="N82" s="10"/>
      <c r="O82" s="10"/>
    </row>
    <row r="83" spans="1:15" s="10" customFormat="1" x14ac:dyDescent="0.25">
      <c r="A83" s="30"/>
      <c r="B83" s="31"/>
      <c r="C83" s="93" t="s">
        <v>51</v>
      </c>
      <c r="D83" s="150">
        <f t="shared" ref="D83:K83" si="16">SUM(D78:D82)</f>
        <v>741000</v>
      </c>
      <c r="E83" s="105">
        <f t="shared" si="16"/>
        <v>741000</v>
      </c>
      <c r="F83" s="105">
        <f t="shared" si="16"/>
        <v>0</v>
      </c>
      <c r="G83" s="179">
        <f t="shared" si="16"/>
        <v>0</v>
      </c>
      <c r="H83" s="150">
        <f t="shared" si="16"/>
        <v>741000</v>
      </c>
      <c r="I83" s="105">
        <f t="shared" si="16"/>
        <v>741000</v>
      </c>
      <c r="J83" s="105">
        <f t="shared" si="16"/>
        <v>0</v>
      </c>
      <c r="K83" s="179">
        <f t="shared" si="16"/>
        <v>0</v>
      </c>
    </row>
    <row r="84" spans="1:15" s="10" customFormat="1" x14ac:dyDescent="0.25">
      <c r="A84" s="30"/>
      <c r="B84" s="31"/>
      <c r="C84" s="52" t="s">
        <v>105</v>
      </c>
      <c r="D84" s="122"/>
      <c r="E84" s="74"/>
      <c r="F84" s="74"/>
      <c r="G84" s="166"/>
      <c r="H84" s="122"/>
      <c r="I84" s="74"/>
      <c r="J84" s="74"/>
      <c r="K84" s="166"/>
    </row>
    <row r="85" spans="1:15" s="10" customFormat="1" x14ac:dyDescent="0.25">
      <c r="A85" s="42"/>
      <c r="B85" s="31"/>
      <c r="C85" s="52" t="s">
        <v>117</v>
      </c>
      <c r="D85" s="122">
        <v>50000</v>
      </c>
      <c r="E85" s="74">
        <v>50000</v>
      </c>
      <c r="F85" s="74"/>
      <c r="G85" s="166"/>
      <c r="H85" s="122">
        <v>50000</v>
      </c>
      <c r="I85" s="74">
        <v>50000</v>
      </c>
      <c r="J85" s="74"/>
      <c r="K85" s="166"/>
    </row>
    <row r="86" spans="1:15" s="10" customFormat="1" x14ac:dyDescent="0.25">
      <c r="A86" s="30"/>
      <c r="B86" s="31"/>
      <c r="C86" s="93" t="s">
        <v>51</v>
      </c>
      <c r="D86" s="141">
        <f t="shared" ref="D86:K86" si="17">SUM(D85:D85)</f>
        <v>50000</v>
      </c>
      <c r="E86" s="105">
        <f t="shared" si="17"/>
        <v>50000</v>
      </c>
      <c r="F86" s="105">
        <f t="shared" si="17"/>
        <v>0</v>
      </c>
      <c r="G86" s="181">
        <f t="shared" si="17"/>
        <v>0</v>
      </c>
      <c r="H86" s="141">
        <f t="shared" si="17"/>
        <v>50000</v>
      </c>
      <c r="I86" s="105">
        <f t="shared" si="17"/>
        <v>50000</v>
      </c>
      <c r="J86" s="105">
        <f t="shared" si="17"/>
        <v>0</v>
      </c>
      <c r="K86" s="181">
        <f t="shared" si="17"/>
        <v>0</v>
      </c>
    </row>
    <row r="87" spans="1:15" s="22" customFormat="1" x14ac:dyDescent="0.25">
      <c r="A87" s="42"/>
      <c r="B87" s="43"/>
      <c r="C87" s="52" t="s">
        <v>106</v>
      </c>
      <c r="D87" s="122"/>
      <c r="E87" s="74"/>
      <c r="F87" s="74"/>
      <c r="G87" s="166"/>
      <c r="H87" s="122"/>
      <c r="I87" s="74"/>
      <c r="J87" s="74"/>
      <c r="K87" s="166"/>
      <c r="N87" s="10"/>
      <c r="O87" s="10"/>
    </row>
    <row r="88" spans="1:15" s="22" customFormat="1" x14ac:dyDescent="0.25">
      <c r="A88" s="42"/>
      <c r="B88" s="43"/>
      <c r="C88" s="125" t="s">
        <v>118</v>
      </c>
      <c r="D88" s="122">
        <v>9000</v>
      </c>
      <c r="E88" s="74">
        <v>9000</v>
      </c>
      <c r="F88" s="74"/>
      <c r="G88" s="166"/>
      <c r="H88" s="122">
        <v>9000</v>
      </c>
      <c r="I88" s="74">
        <v>9000</v>
      </c>
      <c r="J88" s="74"/>
      <c r="K88" s="166"/>
      <c r="N88" s="10"/>
      <c r="O88" s="10"/>
    </row>
    <row r="89" spans="1:15" s="22" customFormat="1" x14ac:dyDescent="0.25">
      <c r="A89" s="42"/>
      <c r="B89" s="43"/>
      <c r="C89" s="125" t="s">
        <v>119</v>
      </c>
      <c r="D89" s="122">
        <v>300</v>
      </c>
      <c r="E89" s="74">
        <v>300</v>
      </c>
      <c r="F89" s="74"/>
      <c r="G89" s="166"/>
      <c r="H89" s="122">
        <v>300</v>
      </c>
      <c r="I89" s="74">
        <v>300</v>
      </c>
      <c r="J89" s="74"/>
      <c r="K89" s="166"/>
      <c r="N89" s="10"/>
      <c r="O89" s="10"/>
    </row>
    <row r="90" spans="1:15" s="22" customFormat="1" x14ac:dyDescent="0.25">
      <c r="A90" s="42"/>
      <c r="B90" s="43"/>
      <c r="C90" s="125" t="s">
        <v>120</v>
      </c>
      <c r="D90" s="122">
        <v>5000</v>
      </c>
      <c r="E90" s="74">
        <v>5000</v>
      </c>
      <c r="F90" s="74"/>
      <c r="G90" s="166"/>
      <c r="H90" s="122">
        <v>5000</v>
      </c>
      <c r="I90" s="74">
        <v>5000</v>
      </c>
      <c r="J90" s="74"/>
      <c r="K90" s="166"/>
      <c r="N90" s="10"/>
      <c r="O90" s="10"/>
    </row>
    <row r="91" spans="1:15" s="22" customFormat="1" x14ac:dyDescent="0.25">
      <c r="A91" s="47"/>
      <c r="B91" s="43"/>
      <c r="C91" s="93" t="s">
        <v>51</v>
      </c>
      <c r="D91" s="141">
        <f t="shared" ref="D91:K91" si="18">SUM(D88:D90)</f>
        <v>14300</v>
      </c>
      <c r="E91" s="105">
        <f t="shared" si="18"/>
        <v>14300</v>
      </c>
      <c r="F91" s="105">
        <f t="shared" si="18"/>
        <v>0</v>
      </c>
      <c r="G91" s="181">
        <f t="shared" si="18"/>
        <v>0</v>
      </c>
      <c r="H91" s="141">
        <f t="shared" si="18"/>
        <v>14300</v>
      </c>
      <c r="I91" s="105">
        <f t="shared" si="18"/>
        <v>14300</v>
      </c>
      <c r="J91" s="105">
        <f t="shared" si="18"/>
        <v>0</v>
      </c>
      <c r="K91" s="181">
        <f t="shared" si="18"/>
        <v>0</v>
      </c>
      <c r="N91" s="10"/>
      <c r="O91" s="10"/>
    </row>
    <row r="92" spans="1:15" s="22" customFormat="1" x14ac:dyDescent="0.25">
      <c r="A92" s="47"/>
      <c r="B92" s="43"/>
      <c r="C92" s="93"/>
      <c r="D92" s="141"/>
      <c r="E92" s="105"/>
      <c r="F92" s="105"/>
      <c r="G92" s="181"/>
      <c r="H92" s="141"/>
      <c r="I92" s="105"/>
      <c r="J92" s="105"/>
      <c r="K92" s="181"/>
      <c r="N92" s="10"/>
      <c r="O92" s="10"/>
    </row>
    <row r="93" spans="1:15" s="10" customFormat="1" x14ac:dyDescent="0.25">
      <c r="A93" s="30"/>
      <c r="B93" s="31"/>
      <c r="C93" s="94" t="s">
        <v>64</v>
      </c>
      <c r="D93" s="143">
        <f t="shared" ref="D93:K93" si="19">D83+D86+D91</f>
        <v>805300</v>
      </c>
      <c r="E93" s="106">
        <f t="shared" si="19"/>
        <v>805300</v>
      </c>
      <c r="F93" s="106">
        <f t="shared" si="19"/>
        <v>0</v>
      </c>
      <c r="G93" s="182">
        <f t="shared" si="19"/>
        <v>0</v>
      </c>
      <c r="H93" s="143">
        <f t="shared" si="19"/>
        <v>805300</v>
      </c>
      <c r="I93" s="106">
        <f t="shared" si="19"/>
        <v>805300</v>
      </c>
      <c r="J93" s="106">
        <f t="shared" si="19"/>
        <v>0</v>
      </c>
      <c r="K93" s="182">
        <f t="shared" si="19"/>
        <v>0</v>
      </c>
    </row>
    <row r="94" spans="1:15" s="10" customFormat="1" x14ac:dyDescent="0.25">
      <c r="A94" s="30"/>
      <c r="B94" s="8"/>
      <c r="C94" s="52"/>
      <c r="D94" s="142"/>
      <c r="E94" s="100"/>
      <c r="F94" s="100"/>
      <c r="G94" s="180"/>
      <c r="H94" s="142"/>
      <c r="I94" s="100"/>
      <c r="J94" s="100"/>
      <c r="K94" s="180"/>
    </row>
    <row r="95" spans="1:15" s="10" customFormat="1" x14ac:dyDescent="0.25">
      <c r="A95" s="30"/>
      <c r="B95" s="31" t="s">
        <v>37</v>
      </c>
      <c r="C95" s="52" t="s">
        <v>53</v>
      </c>
      <c r="D95" s="142"/>
      <c r="E95" s="100"/>
      <c r="F95" s="100"/>
      <c r="G95" s="180"/>
      <c r="H95" s="142"/>
      <c r="I95" s="100"/>
      <c r="J95" s="100"/>
      <c r="K95" s="180"/>
    </row>
    <row r="96" spans="1:15" s="10" customFormat="1" ht="30" x14ac:dyDescent="0.25">
      <c r="A96" s="30"/>
      <c r="B96" s="31"/>
      <c r="C96" s="52" t="s">
        <v>61</v>
      </c>
      <c r="D96" s="41"/>
      <c r="E96" s="36"/>
      <c r="F96" s="36"/>
      <c r="G96" s="156"/>
      <c r="H96" s="41"/>
      <c r="I96" s="36"/>
      <c r="J96" s="36"/>
      <c r="K96" s="156"/>
    </row>
    <row r="97" spans="1:11" s="10" customFormat="1" x14ac:dyDescent="0.25">
      <c r="A97" s="30"/>
      <c r="B97" s="31"/>
      <c r="C97" s="52" t="s">
        <v>98</v>
      </c>
      <c r="D97" s="41">
        <v>338186</v>
      </c>
      <c r="E97" s="36">
        <v>338186</v>
      </c>
      <c r="F97" s="36"/>
      <c r="G97" s="156"/>
      <c r="H97" s="41">
        <v>338186</v>
      </c>
      <c r="I97" s="36">
        <v>338186</v>
      </c>
      <c r="J97" s="36"/>
      <c r="K97" s="156"/>
    </row>
    <row r="98" spans="1:11" s="10" customFormat="1" x14ac:dyDescent="0.25">
      <c r="A98" s="30"/>
      <c r="B98" s="31"/>
      <c r="C98" s="52" t="s">
        <v>164</v>
      </c>
      <c r="D98" s="41">
        <v>1335</v>
      </c>
      <c r="E98" s="36">
        <v>1335</v>
      </c>
      <c r="F98" s="36"/>
      <c r="G98" s="156"/>
      <c r="H98" s="41">
        <v>1335</v>
      </c>
      <c r="I98" s="36">
        <v>1335</v>
      </c>
      <c r="J98" s="36"/>
      <c r="K98" s="156"/>
    </row>
    <row r="99" spans="1:11" s="10" customFormat="1" x14ac:dyDescent="0.25">
      <c r="A99" s="30"/>
      <c r="B99" s="31"/>
      <c r="C99" s="52" t="s">
        <v>99</v>
      </c>
      <c r="D99" s="41">
        <v>225335</v>
      </c>
      <c r="E99" s="36">
        <v>225335</v>
      </c>
      <c r="F99" s="36"/>
      <c r="G99" s="156"/>
      <c r="H99" s="41">
        <v>225335</v>
      </c>
      <c r="I99" s="36">
        <v>225335</v>
      </c>
      <c r="J99" s="36"/>
      <c r="K99" s="156"/>
    </row>
    <row r="100" spans="1:11" s="10" customFormat="1" ht="30" x14ac:dyDescent="0.25">
      <c r="A100" s="30"/>
      <c r="B100" s="31"/>
      <c r="C100" s="52" t="s">
        <v>101</v>
      </c>
      <c r="D100" s="41">
        <v>483796</v>
      </c>
      <c r="E100" s="36">
        <v>324494</v>
      </c>
      <c r="F100" s="36">
        <v>159302</v>
      </c>
      <c r="G100" s="156"/>
      <c r="H100" s="41">
        <v>483796</v>
      </c>
      <c r="I100" s="36">
        <v>324494</v>
      </c>
      <c r="J100" s="36">
        <v>159302</v>
      </c>
      <c r="K100" s="156"/>
    </row>
    <row r="101" spans="1:11" s="10" customFormat="1" x14ac:dyDescent="0.25">
      <c r="A101" s="30"/>
      <c r="B101" s="31"/>
      <c r="C101" s="53" t="s">
        <v>982</v>
      </c>
      <c r="D101" s="41"/>
      <c r="E101" s="36"/>
      <c r="F101" s="36"/>
      <c r="G101" s="156"/>
      <c r="H101" s="41">
        <v>12640</v>
      </c>
      <c r="I101" s="36">
        <v>12640</v>
      </c>
      <c r="J101" s="36"/>
      <c r="K101" s="156"/>
    </row>
    <row r="102" spans="1:11" s="10" customFormat="1" x14ac:dyDescent="0.25">
      <c r="A102" s="30"/>
      <c r="B102" s="31"/>
      <c r="C102" s="53" t="s">
        <v>983</v>
      </c>
      <c r="D102" s="41"/>
      <c r="E102" s="36"/>
      <c r="F102" s="36"/>
      <c r="G102" s="156"/>
      <c r="H102" s="41">
        <v>953</v>
      </c>
      <c r="I102" s="36">
        <v>953</v>
      </c>
      <c r="J102" s="36"/>
      <c r="K102" s="156"/>
    </row>
    <row r="103" spans="1:11" s="10" customFormat="1" x14ac:dyDescent="0.25">
      <c r="A103" s="30"/>
      <c r="B103" s="31"/>
      <c r="C103" s="52" t="s">
        <v>100</v>
      </c>
      <c r="D103" s="41">
        <v>21642</v>
      </c>
      <c r="E103" s="36">
        <v>21642</v>
      </c>
      <c r="F103" s="36"/>
      <c r="G103" s="156"/>
      <c r="H103" s="41">
        <v>21642</v>
      </c>
      <c r="I103" s="36">
        <v>21642</v>
      </c>
      <c r="J103" s="36"/>
      <c r="K103" s="156"/>
    </row>
    <row r="104" spans="1:11" s="10" customFormat="1" x14ac:dyDescent="0.25">
      <c r="A104" s="30"/>
      <c r="B104" s="31"/>
      <c r="C104" s="52" t="s">
        <v>984</v>
      </c>
      <c r="D104" s="132"/>
      <c r="E104" s="36"/>
      <c r="F104" s="36"/>
      <c r="G104" s="165"/>
      <c r="H104" s="132">
        <v>328</v>
      </c>
      <c r="I104" s="36">
        <v>328</v>
      </c>
      <c r="J104" s="36"/>
      <c r="K104" s="165"/>
    </row>
    <row r="105" spans="1:11" s="10" customFormat="1" x14ac:dyDescent="0.25">
      <c r="A105" s="30"/>
      <c r="B105" s="31"/>
      <c r="C105" s="93" t="s">
        <v>51</v>
      </c>
      <c r="D105" s="134">
        <f>SUM(D96:D103)</f>
        <v>1070294</v>
      </c>
      <c r="E105" s="46">
        <f>SUM(E96:E103)</f>
        <v>910992</v>
      </c>
      <c r="F105" s="46">
        <f>SUM(F96:F103)</f>
        <v>159302</v>
      </c>
      <c r="G105" s="160">
        <f>SUM(G96:G103)</f>
        <v>0</v>
      </c>
      <c r="H105" s="134">
        <f>SUM(H96:H104)</f>
        <v>1084215</v>
      </c>
      <c r="I105" s="46">
        <f>SUM(I96:I104)</f>
        <v>924913</v>
      </c>
      <c r="J105" s="46">
        <f>SUM(J96:J103)</f>
        <v>159302</v>
      </c>
      <c r="K105" s="160">
        <f>SUM(K96:K103)</f>
        <v>0</v>
      </c>
    </row>
    <row r="106" spans="1:11" s="10" customFormat="1" x14ac:dyDescent="0.25">
      <c r="A106" s="30"/>
      <c r="B106" s="31"/>
      <c r="C106" s="52"/>
      <c r="D106" s="41"/>
      <c r="E106" s="36"/>
      <c r="F106" s="36"/>
      <c r="G106" s="156"/>
      <c r="H106" s="41"/>
      <c r="I106" s="36"/>
      <c r="J106" s="36"/>
      <c r="K106" s="156"/>
    </row>
    <row r="107" spans="1:11" s="10" customFormat="1" ht="30" x14ac:dyDescent="0.25">
      <c r="A107" s="30"/>
      <c r="B107" s="31"/>
      <c r="C107" s="52" t="s">
        <v>429</v>
      </c>
      <c r="D107" s="41"/>
      <c r="E107" s="36"/>
      <c r="F107" s="36"/>
      <c r="G107" s="156"/>
      <c r="H107" s="41"/>
      <c r="I107" s="36"/>
      <c r="J107" s="36"/>
      <c r="K107" s="156"/>
    </row>
    <row r="108" spans="1:11" s="10" customFormat="1" ht="30" x14ac:dyDescent="0.25">
      <c r="A108" s="30"/>
      <c r="B108" s="31"/>
      <c r="C108" s="52" t="s">
        <v>985</v>
      </c>
      <c r="D108" s="132"/>
      <c r="E108" s="36"/>
      <c r="F108" s="36"/>
      <c r="G108" s="165"/>
      <c r="H108" s="132">
        <v>2226</v>
      </c>
      <c r="I108" s="36">
        <v>2226</v>
      </c>
      <c r="J108" s="36"/>
      <c r="K108" s="165"/>
    </row>
    <row r="109" spans="1:11" s="10" customFormat="1" x14ac:dyDescent="0.25">
      <c r="A109" s="30"/>
      <c r="B109" s="31"/>
      <c r="C109" s="93" t="s">
        <v>51</v>
      </c>
      <c r="D109" s="134">
        <v>0</v>
      </c>
      <c r="E109" s="46">
        <v>0</v>
      </c>
      <c r="F109" s="46">
        <v>0</v>
      </c>
      <c r="G109" s="160">
        <v>0</v>
      </c>
      <c r="H109" s="134">
        <f>SUM(H108)</f>
        <v>2226</v>
      </c>
      <c r="I109" s="46">
        <f>SUM(I108)</f>
        <v>2226</v>
      </c>
      <c r="J109" s="46">
        <f>SUM(J108)</f>
        <v>0</v>
      </c>
      <c r="K109" s="160">
        <f>SUM(K108)</f>
        <v>0</v>
      </c>
    </row>
    <row r="110" spans="1:11" s="10" customFormat="1" x14ac:dyDescent="0.25">
      <c r="A110" s="30"/>
      <c r="B110" s="31"/>
      <c r="C110" s="93"/>
      <c r="D110" s="45"/>
      <c r="E110" s="46"/>
      <c r="F110" s="46"/>
      <c r="G110" s="157"/>
      <c r="H110" s="45"/>
      <c r="I110" s="46"/>
      <c r="J110" s="46"/>
      <c r="K110" s="157"/>
    </row>
    <row r="111" spans="1:11" s="10" customFormat="1" x14ac:dyDescent="0.25">
      <c r="A111" s="30"/>
      <c r="B111" s="31"/>
      <c r="C111" s="52" t="s">
        <v>430</v>
      </c>
      <c r="D111" s="41"/>
      <c r="E111" s="36"/>
      <c r="F111" s="36"/>
      <c r="G111" s="156"/>
      <c r="H111" s="41"/>
      <c r="I111" s="36"/>
      <c r="J111" s="36"/>
      <c r="K111" s="156"/>
    </row>
    <row r="112" spans="1:11" s="10" customFormat="1" x14ac:dyDescent="0.25">
      <c r="A112" s="30"/>
      <c r="B112" s="31"/>
      <c r="C112" s="93" t="s">
        <v>51</v>
      </c>
      <c r="D112" s="134">
        <v>0</v>
      </c>
      <c r="E112" s="46">
        <v>0</v>
      </c>
      <c r="F112" s="46">
        <v>0</v>
      </c>
      <c r="G112" s="160">
        <v>0</v>
      </c>
      <c r="H112" s="134">
        <v>0</v>
      </c>
      <c r="I112" s="46">
        <v>0</v>
      </c>
      <c r="J112" s="46">
        <v>0</v>
      </c>
      <c r="K112" s="160">
        <v>0</v>
      </c>
    </row>
    <row r="113" spans="1:11" s="10" customFormat="1" x14ac:dyDescent="0.25">
      <c r="A113" s="30"/>
      <c r="B113" s="31"/>
      <c r="C113" s="93"/>
      <c r="D113" s="45"/>
      <c r="E113" s="46"/>
      <c r="F113" s="46"/>
      <c r="G113" s="157"/>
      <c r="H113" s="45"/>
      <c r="I113" s="46"/>
      <c r="J113" s="46"/>
      <c r="K113" s="157"/>
    </row>
    <row r="114" spans="1:11" s="10" customFormat="1" x14ac:dyDescent="0.25">
      <c r="A114" s="30"/>
      <c r="B114" s="31"/>
      <c r="C114" s="94" t="s">
        <v>65</v>
      </c>
      <c r="D114" s="149">
        <f>SUM(D105,D109,D112)</f>
        <v>1070294</v>
      </c>
      <c r="E114" s="106">
        <f t="shared" ref="E114:G114" si="20">SUM(E105,E109,E112)</f>
        <v>910992</v>
      </c>
      <c r="F114" s="106">
        <f t="shared" si="20"/>
        <v>159302</v>
      </c>
      <c r="G114" s="231">
        <f t="shared" si="20"/>
        <v>0</v>
      </c>
      <c r="H114" s="149">
        <f>SUM(H105,H109,H112)</f>
        <v>1086441</v>
      </c>
      <c r="I114" s="106">
        <f t="shared" ref="I114:K114" si="21">SUM(I105,I109,I112)</f>
        <v>927139</v>
      </c>
      <c r="J114" s="106">
        <f t="shared" si="21"/>
        <v>159302</v>
      </c>
      <c r="K114" s="231">
        <f t="shared" si="21"/>
        <v>0</v>
      </c>
    </row>
    <row r="115" spans="1:11" s="10" customFormat="1" x14ac:dyDescent="0.25">
      <c r="A115" s="30"/>
      <c r="B115" s="31"/>
      <c r="C115" s="52"/>
      <c r="D115" s="142"/>
      <c r="E115" s="100"/>
      <c r="F115" s="100"/>
      <c r="G115" s="180"/>
      <c r="H115" s="142"/>
      <c r="I115" s="100"/>
      <c r="J115" s="100"/>
      <c r="K115" s="180"/>
    </row>
    <row r="116" spans="1:11" s="10" customFormat="1" x14ac:dyDescent="0.25">
      <c r="A116" s="30"/>
      <c r="B116" s="31" t="s">
        <v>31</v>
      </c>
      <c r="C116" s="52" t="s">
        <v>112</v>
      </c>
      <c r="D116" s="142"/>
      <c r="E116" s="100"/>
      <c r="F116" s="100"/>
      <c r="G116" s="180"/>
      <c r="H116" s="142"/>
      <c r="I116" s="100"/>
      <c r="J116" s="100"/>
      <c r="K116" s="180"/>
    </row>
    <row r="117" spans="1:11" s="10" customFormat="1" x14ac:dyDescent="0.25">
      <c r="A117" s="30"/>
      <c r="B117" s="31"/>
      <c r="C117" s="52" t="s">
        <v>38</v>
      </c>
      <c r="D117" s="122"/>
      <c r="E117" s="74"/>
      <c r="F117" s="74"/>
      <c r="G117" s="166"/>
      <c r="H117" s="122"/>
      <c r="I117" s="74"/>
      <c r="J117" s="74"/>
      <c r="K117" s="166"/>
    </row>
    <row r="118" spans="1:11" s="10" customFormat="1" x14ac:dyDescent="0.25">
      <c r="A118" s="30"/>
      <c r="B118" s="31"/>
      <c r="C118" s="125" t="s">
        <v>121</v>
      </c>
      <c r="D118" s="122">
        <v>50</v>
      </c>
      <c r="E118" s="74">
        <v>50</v>
      </c>
      <c r="F118" s="74"/>
      <c r="G118" s="166"/>
      <c r="H118" s="122">
        <v>50</v>
      </c>
      <c r="I118" s="74">
        <v>50</v>
      </c>
      <c r="J118" s="74"/>
      <c r="K118" s="166"/>
    </row>
    <row r="119" spans="1:11" s="10" customFormat="1" x14ac:dyDescent="0.25">
      <c r="A119" s="30"/>
      <c r="B119" s="31"/>
      <c r="C119" s="125" t="s">
        <v>122</v>
      </c>
      <c r="D119" s="122">
        <v>2000</v>
      </c>
      <c r="E119" s="74">
        <v>2000</v>
      </c>
      <c r="F119" s="74"/>
      <c r="G119" s="166"/>
      <c r="H119" s="122">
        <v>2000</v>
      </c>
      <c r="I119" s="74">
        <v>2000</v>
      </c>
      <c r="J119" s="74"/>
      <c r="K119" s="166"/>
    </row>
    <row r="120" spans="1:11" s="10" customFormat="1" x14ac:dyDescent="0.25">
      <c r="A120" s="30"/>
      <c r="B120" s="31"/>
      <c r="C120" s="125" t="s">
        <v>986</v>
      </c>
      <c r="D120" s="122">
        <v>158311</v>
      </c>
      <c r="E120" s="74">
        <v>158311</v>
      </c>
      <c r="F120" s="74"/>
      <c r="G120" s="166"/>
      <c r="H120" s="122">
        <v>172233</v>
      </c>
      <c r="I120" s="74">
        <v>172233</v>
      </c>
      <c r="J120" s="74"/>
      <c r="K120" s="166"/>
    </row>
    <row r="121" spans="1:11" s="10" customFormat="1" ht="18" x14ac:dyDescent="0.25">
      <c r="A121" s="30"/>
      <c r="B121" s="31"/>
      <c r="C121" s="125" t="s">
        <v>201</v>
      </c>
      <c r="D121" s="122">
        <v>1461</v>
      </c>
      <c r="E121" s="74">
        <v>1461</v>
      </c>
      <c r="F121" s="74"/>
      <c r="G121" s="166"/>
      <c r="H121" s="122">
        <v>1461</v>
      </c>
      <c r="I121" s="74">
        <v>1461</v>
      </c>
      <c r="J121" s="74"/>
      <c r="K121" s="166"/>
    </row>
    <row r="122" spans="1:11" s="10" customFormat="1" x14ac:dyDescent="0.25">
      <c r="A122" s="30"/>
      <c r="B122" s="31"/>
      <c r="C122" s="125" t="s">
        <v>202</v>
      </c>
      <c r="D122" s="122">
        <v>28700</v>
      </c>
      <c r="E122" s="74">
        <v>28700</v>
      </c>
      <c r="F122" s="74"/>
      <c r="G122" s="166"/>
      <c r="H122" s="122">
        <v>28700</v>
      </c>
      <c r="I122" s="74">
        <v>28700</v>
      </c>
      <c r="J122" s="74"/>
      <c r="K122" s="166"/>
    </row>
    <row r="123" spans="1:11" s="10" customFormat="1" x14ac:dyDescent="0.25">
      <c r="A123" s="30"/>
      <c r="B123" s="31"/>
      <c r="C123" s="125" t="s">
        <v>987</v>
      </c>
      <c r="D123" s="122"/>
      <c r="E123" s="74"/>
      <c r="F123" s="74"/>
      <c r="G123" s="166"/>
      <c r="H123" s="122">
        <v>3245</v>
      </c>
      <c r="I123" s="74">
        <v>3245</v>
      </c>
      <c r="J123" s="74"/>
      <c r="K123" s="166"/>
    </row>
    <row r="124" spans="1:11" s="10" customFormat="1" x14ac:dyDescent="0.25">
      <c r="A124" s="30"/>
      <c r="B124" s="31"/>
      <c r="C124" s="52" t="s">
        <v>203</v>
      </c>
      <c r="D124" s="122"/>
      <c r="E124" s="74"/>
      <c r="F124" s="74"/>
      <c r="G124" s="166"/>
      <c r="H124" s="122"/>
      <c r="I124" s="74"/>
      <c r="J124" s="74"/>
      <c r="K124" s="166"/>
    </row>
    <row r="125" spans="1:11" s="10" customFormat="1" x14ac:dyDescent="0.25">
      <c r="A125" s="30"/>
      <c r="B125" s="31"/>
      <c r="C125" s="52" t="s">
        <v>204</v>
      </c>
      <c r="D125" s="122"/>
      <c r="E125" s="74"/>
      <c r="F125" s="74"/>
      <c r="G125" s="166"/>
      <c r="H125" s="122"/>
      <c r="I125" s="74"/>
      <c r="J125" s="74"/>
      <c r="K125" s="166"/>
    </row>
    <row r="126" spans="1:11" s="10" customFormat="1" x14ac:dyDescent="0.25">
      <c r="A126" s="30"/>
      <c r="B126" s="31"/>
      <c r="C126" s="125" t="s">
        <v>205</v>
      </c>
      <c r="D126" s="122">
        <v>34281</v>
      </c>
      <c r="E126" s="74">
        <v>34281</v>
      </c>
      <c r="F126" s="74"/>
      <c r="G126" s="166"/>
      <c r="H126" s="122">
        <v>34281</v>
      </c>
      <c r="I126" s="74">
        <v>34281</v>
      </c>
      <c r="J126" s="74"/>
      <c r="K126" s="166"/>
    </row>
    <row r="127" spans="1:11" s="10" customFormat="1" x14ac:dyDescent="0.25">
      <c r="A127" s="30"/>
      <c r="B127" s="31"/>
      <c r="C127" s="125" t="s">
        <v>206</v>
      </c>
      <c r="D127" s="122">
        <v>67860</v>
      </c>
      <c r="E127" s="74">
        <v>67860</v>
      </c>
      <c r="F127" s="74"/>
      <c r="G127" s="166"/>
      <c r="H127" s="122">
        <v>67860</v>
      </c>
      <c r="I127" s="74">
        <v>67860</v>
      </c>
      <c r="J127" s="74"/>
      <c r="K127" s="166"/>
    </row>
    <row r="128" spans="1:11" s="10" customFormat="1" x14ac:dyDescent="0.25">
      <c r="A128" s="30"/>
      <c r="B128" s="31"/>
      <c r="C128" s="94" t="s">
        <v>66</v>
      </c>
      <c r="D128" s="143">
        <f t="shared" ref="D128:K128" si="22">SUM(D117:D127)</f>
        <v>292663</v>
      </c>
      <c r="E128" s="106">
        <f t="shared" si="22"/>
        <v>292663</v>
      </c>
      <c r="F128" s="106">
        <f t="shared" si="22"/>
        <v>0</v>
      </c>
      <c r="G128" s="182">
        <f t="shared" si="22"/>
        <v>0</v>
      </c>
      <c r="H128" s="143">
        <f t="shared" si="22"/>
        <v>309830</v>
      </c>
      <c r="I128" s="106">
        <f t="shared" si="22"/>
        <v>309830</v>
      </c>
      <c r="J128" s="106">
        <f t="shared" si="22"/>
        <v>0</v>
      </c>
      <c r="K128" s="182">
        <f t="shared" si="22"/>
        <v>0</v>
      </c>
    </row>
    <row r="129" spans="1:15" s="10" customFormat="1" x14ac:dyDescent="0.25">
      <c r="A129" s="30"/>
      <c r="B129" s="31"/>
      <c r="C129" s="52"/>
      <c r="D129" s="142"/>
      <c r="E129" s="100"/>
      <c r="F129" s="100"/>
      <c r="G129" s="180"/>
      <c r="H129" s="142"/>
      <c r="I129" s="100"/>
      <c r="J129" s="100"/>
      <c r="K129" s="180"/>
    </row>
    <row r="130" spans="1:15" s="10" customFormat="1" x14ac:dyDescent="0.25">
      <c r="A130" s="30"/>
      <c r="B130" s="31" t="s">
        <v>39</v>
      </c>
      <c r="C130" s="52" t="s">
        <v>62</v>
      </c>
      <c r="D130" s="122"/>
      <c r="E130" s="74"/>
      <c r="F130" s="74"/>
      <c r="G130" s="166"/>
      <c r="H130" s="122"/>
      <c r="I130" s="74"/>
      <c r="J130" s="74"/>
      <c r="K130" s="166"/>
    </row>
    <row r="131" spans="1:15" s="10" customFormat="1" x14ac:dyDescent="0.25">
      <c r="A131" s="30"/>
      <c r="B131" s="31"/>
      <c r="C131" s="52" t="s">
        <v>91</v>
      </c>
      <c r="D131" s="122"/>
      <c r="E131" s="74"/>
      <c r="F131" s="74"/>
      <c r="G131" s="166"/>
      <c r="H131" s="122"/>
      <c r="I131" s="74"/>
      <c r="J131" s="74"/>
      <c r="K131" s="166"/>
    </row>
    <row r="132" spans="1:15" s="10" customFormat="1" x14ac:dyDescent="0.25">
      <c r="A132" s="30"/>
      <c r="B132" s="31"/>
      <c r="C132" s="52" t="s">
        <v>207</v>
      </c>
      <c r="D132" s="122">
        <v>810</v>
      </c>
      <c r="E132" s="74"/>
      <c r="F132" s="74">
        <v>810</v>
      </c>
      <c r="G132" s="166"/>
      <c r="H132" s="122">
        <v>810</v>
      </c>
      <c r="I132" s="74"/>
      <c r="J132" s="74">
        <v>810</v>
      </c>
      <c r="K132" s="166"/>
    </row>
    <row r="133" spans="1:15" s="10" customFormat="1" ht="30" x14ac:dyDescent="0.25">
      <c r="A133" s="30"/>
      <c r="B133" s="31"/>
      <c r="C133" s="52" t="s">
        <v>208</v>
      </c>
      <c r="D133" s="122">
        <v>52040</v>
      </c>
      <c r="E133" s="74">
        <v>52040</v>
      </c>
      <c r="F133" s="74"/>
      <c r="G133" s="166"/>
      <c r="H133" s="122">
        <v>52040</v>
      </c>
      <c r="I133" s="74">
        <v>52040</v>
      </c>
      <c r="J133" s="74"/>
      <c r="K133" s="166"/>
    </row>
    <row r="134" spans="1:15" s="22" customFormat="1" x14ac:dyDescent="0.25">
      <c r="A134" s="47"/>
      <c r="B134" s="31"/>
      <c r="C134" s="52" t="s">
        <v>209</v>
      </c>
      <c r="D134" s="122">
        <v>6245</v>
      </c>
      <c r="E134" s="74"/>
      <c r="F134" s="74">
        <v>6245</v>
      </c>
      <c r="G134" s="166"/>
      <c r="H134" s="122">
        <v>6245</v>
      </c>
      <c r="I134" s="74"/>
      <c r="J134" s="74">
        <v>6245</v>
      </c>
      <c r="K134" s="166"/>
      <c r="N134" s="10"/>
      <c r="O134" s="10"/>
    </row>
    <row r="135" spans="1:15" s="22" customFormat="1" x14ac:dyDescent="0.25">
      <c r="A135" s="47"/>
      <c r="B135" s="31"/>
      <c r="C135" s="52" t="s">
        <v>210</v>
      </c>
      <c r="D135" s="122"/>
      <c r="E135" s="74"/>
      <c r="F135" s="74"/>
      <c r="G135" s="166"/>
      <c r="H135" s="122"/>
      <c r="I135" s="74"/>
      <c r="J135" s="74"/>
      <c r="K135" s="166"/>
      <c r="N135" s="10"/>
      <c r="O135" s="10"/>
    </row>
    <row r="136" spans="1:15" s="22" customFormat="1" ht="30" x14ac:dyDescent="0.25">
      <c r="A136" s="47"/>
      <c r="B136" s="31"/>
      <c r="C136" s="52" t="s">
        <v>211</v>
      </c>
      <c r="D136" s="122">
        <v>6778</v>
      </c>
      <c r="E136" s="74">
        <v>6778</v>
      </c>
      <c r="F136" s="74"/>
      <c r="G136" s="166"/>
      <c r="H136" s="122">
        <v>6778</v>
      </c>
      <c r="I136" s="74">
        <v>6778</v>
      </c>
      <c r="J136" s="74"/>
      <c r="K136" s="166"/>
      <c r="N136" s="10"/>
      <c r="O136" s="10"/>
    </row>
    <row r="137" spans="1:15" s="22" customFormat="1" ht="30" x14ac:dyDescent="0.25">
      <c r="A137" s="47"/>
      <c r="B137" s="31"/>
      <c r="C137" s="52" t="s">
        <v>212</v>
      </c>
      <c r="D137" s="122">
        <v>1419</v>
      </c>
      <c r="E137" s="74">
        <v>1419</v>
      </c>
      <c r="F137" s="74"/>
      <c r="G137" s="166"/>
      <c r="H137" s="122">
        <v>1419</v>
      </c>
      <c r="I137" s="74">
        <v>1419</v>
      </c>
      <c r="J137" s="74"/>
      <c r="K137" s="166"/>
      <c r="N137" s="10"/>
      <c r="O137" s="10"/>
    </row>
    <row r="138" spans="1:15" s="22" customFormat="1" ht="30" x14ac:dyDescent="0.25">
      <c r="A138" s="47"/>
      <c r="B138" s="31"/>
      <c r="C138" s="52" t="s">
        <v>213</v>
      </c>
      <c r="D138" s="122">
        <v>1403</v>
      </c>
      <c r="E138" s="74">
        <v>1403</v>
      </c>
      <c r="F138" s="74"/>
      <c r="G138" s="166"/>
      <c r="H138" s="122">
        <v>1403</v>
      </c>
      <c r="I138" s="74">
        <v>1403</v>
      </c>
      <c r="J138" s="74"/>
      <c r="K138" s="166"/>
      <c r="N138" s="10"/>
      <c r="O138" s="10"/>
    </row>
    <row r="139" spans="1:15" s="22" customFormat="1" x14ac:dyDescent="0.25">
      <c r="A139" s="47"/>
      <c r="B139" s="31"/>
      <c r="C139" s="114" t="s">
        <v>214</v>
      </c>
      <c r="D139" s="122">
        <v>16154</v>
      </c>
      <c r="E139" s="74">
        <v>16154</v>
      </c>
      <c r="F139" s="74"/>
      <c r="G139" s="166"/>
      <c r="H139" s="122">
        <v>16154</v>
      </c>
      <c r="I139" s="74">
        <v>16154</v>
      </c>
      <c r="J139" s="74"/>
      <c r="K139" s="166"/>
      <c r="N139" s="10"/>
      <c r="O139" s="10"/>
    </row>
    <row r="140" spans="1:15" s="22" customFormat="1" x14ac:dyDescent="0.25">
      <c r="A140" s="47"/>
      <c r="B140" s="31"/>
      <c r="C140" s="91" t="s">
        <v>215</v>
      </c>
      <c r="D140" s="122">
        <v>100</v>
      </c>
      <c r="E140" s="74"/>
      <c r="F140" s="74"/>
      <c r="G140" s="166">
        <v>100</v>
      </c>
      <c r="H140" s="122">
        <v>100</v>
      </c>
      <c r="I140" s="74"/>
      <c r="J140" s="74"/>
      <c r="K140" s="166">
        <v>100</v>
      </c>
      <c r="N140" s="10"/>
      <c r="O140" s="10"/>
    </row>
    <row r="141" spans="1:15" s="22" customFormat="1" x14ac:dyDescent="0.25">
      <c r="A141" s="47"/>
      <c r="B141" s="31"/>
      <c r="C141" s="93" t="s">
        <v>51</v>
      </c>
      <c r="D141" s="134">
        <f t="shared" ref="D141:K141" si="23">SUM(D132:D140)</f>
        <v>84949</v>
      </c>
      <c r="E141" s="46">
        <f t="shared" si="23"/>
        <v>77794</v>
      </c>
      <c r="F141" s="46">
        <f t="shared" si="23"/>
        <v>7055</v>
      </c>
      <c r="G141" s="160">
        <f t="shared" si="23"/>
        <v>100</v>
      </c>
      <c r="H141" s="134">
        <f t="shared" si="23"/>
        <v>84949</v>
      </c>
      <c r="I141" s="46">
        <f t="shared" si="23"/>
        <v>77794</v>
      </c>
      <c r="J141" s="46">
        <f t="shared" si="23"/>
        <v>7055</v>
      </c>
      <c r="K141" s="160">
        <f t="shared" si="23"/>
        <v>100</v>
      </c>
      <c r="N141" s="10"/>
      <c r="O141" s="10"/>
    </row>
    <row r="142" spans="1:15" s="22" customFormat="1" x14ac:dyDescent="0.25">
      <c r="A142" s="47"/>
      <c r="B142" s="43"/>
      <c r="C142" s="93"/>
      <c r="D142" s="144"/>
      <c r="E142" s="99"/>
      <c r="F142" s="99"/>
      <c r="G142" s="183"/>
      <c r="H142" s="144"/>
      <c r="I142" s="99"/>
      <c r="J142" s="99"/>
      <c r="K142" s="183"/>
      <c r="N142" s="10"/>
      <c r="O142" s="10"/>
    </row>
    <row r="143" spans="1:15" s="22" customFormat="1" x14ac:dyDescent="0.25">
      <c r="A143" s="47"/>
      <c r="C143" s="52" t="s">
        <v>134</v>
      </c>
      <c r="D143" s="122"/>
      <c r="E143" s="74"/>
      <c r="F143" s="74"/>
      <c r="G143" s="166"/>
      <c r="H143" s="122"/>
      <c r="I143" s="74"/>
      <c r="J143" s="74"/>
      <c r="K143" s="166"/>
      <c r="N143" s="10"/>
      <c r="O143" s="10"/>
    </row>
    <row r="144" spans="1:15" s="22" customFormat="1" x14ac:dyDescent="0.25">
      <c r="A144" s="47"/>
      <c r="B144" s="43"/>
      <c r="C144" s="53" t="s">
        <v>22</v>
      </c>
      <c r="D144" s="122">
        <v>8215</v>
      </c>
      <c r="E144" s="74">
        <v>8215</v>
      </c>
      <c r="F144" s="74"/>
      <c r="G144" s="166"/>
      <c r="H144" s="122">
        <v>8215</v>
      </c>
      <c r="I144" s="74">
        <v>8215</v>
      </c>
      <c r="J144" s="74"/>
      <c r="K144" s="166"/>
      <c r="N144" s="10"/>
      <c r="O144" s="10"/>
    </row>
    <row r="145" spans="1:15" s="23" customFormat="1" ht="17.25" x14ac:dyDescent="0.3">
      <c r="A145" s="30"/>
      <c r="B145" s="43"/>
      <c r="C145" s="52" t="s">
        <v>123</v>
      </c>
      <c r="D145" s="122">
        <v>112</v>
      </c>
      <c r="E145" s="74">
        <v>112</v>
      </c>
      <c r="F145" s="74"/>
      <c r="G145" s="166"/>
      <c r="H145" s="122">
        <v>112</v>
      </c>
      <c r="I145" s="74">
        <v>112</v>
      </c>
      <c r="J145" s="74"/>
      <c r="K145" s="166"/>
      <c r="N145" s="10"/>
      <c r="O145" s="10"/>
    </row>
    <row r="146" spans="1:15" s="23" customFormat="1" ht="30.75" x14ac:dyDescent="0.3">
      <c r="A146" s="30"/>
      <c r="B146" s="43"/>
      <c r="C146" s="52" t="s">
        <v>124</v>
      </c>
      <c r="D146" s="122">
        <v>14626</v>
      </c>
      <c r="E146" s="74">
        <v>14626</v>
      </c>
      <c r="F146" s="74"/>
      <c r="G146" s="166"/>
      <c r="H146" s="122">
        <v>14626</v>
      </c>
      <c r="I146" s="74">
        <v>14626</v>
      </c>
      <c r="J146" s="74"/>
      <c r="K146" s="166"/>
      <c r="N146" s="10"/>
      <c r="O146" s="10"/>
    </row>
    <row r="147" spans="1:15" s="23" customFormat="1" ht="17.25" x14ac:dyDescent="0.3">
      <c r="A147" s="30"/>
      <c r="B147" s="43"/>
      <c r="C147" s="91" t="s">
        <v>216</v>
      </c>
      <c r="D147" s="122">
        <v>24913</v>
      </c>
      <c r="E147" s="74">
        <v>24913</v>
      </c>
      <c r="F147" s="74"/>
      <c r="G147" s="166"/>
      <c r="H147" s="122">
        <v>24913</v>
      </c>
      <c r="I147" s="74">
        <v>24913</v>
      </c>
      <c r="J147" s="74"/>
      <c r="K147" s="166"/>
      <c r="N147" s="10"/>
      <c r="O147" s="10"/>
    </row>
    <row r="148" spans="1:15" s="22" customFormat="1" x14ac:dyDescent="0.25">
      <c r="A148" s="30"/>
      <c r="B148" s="43"/>
      <c r="C148" s="93" t="s">
        <v>51</v>
      </c>
      <c r="D148" s="141">
        <f>SUM(D143:D147)</f>
        <v>47866</v>
      </c>
      <c r="E148" s="105">
        <f>SUM(E143:E147)</f>
        <v>47866</v>
      </c>
      <c r="F148" s="105">
        <f>SUM(F143:F146)</f>
        <v>0</v>
      </c>
      <c r="G148" s="181">
        <f>SUM(G143:G146)</f>
        <v>0</v>
      </c>
      <c r="H148" s="141">
        <f>SUM(H143:H147)</f>
        <v>47866</v>
      </c>
      <c r="I148" s="105">
        <f>SUM(I143:I147)</f>
        <v>47866</v>
      </c>
      <c r="J148" s="105">
        <f>SUM(J143:J146)</f>
        <v>0</v>
      </c>
      <c r="K148" s="181">
        <f>SUM(K143:K146)</f>
        <v>0</v>
      </c>
      <c r="N148" s="10"/>
      <c r="O148" s="10"/>
    </row>
    <row r="149" spans="1:15" s="10" customFormat="1" x14ac:dyDescent="0.25">
      <c r="A149" s="47"/>
      <c r="B149" s="43"/>
      <c r="C149" s="93"/>
      <c r="D149" s="141"/>
      <c r="E149" s="105"/>
      <c r="F149" s="105"/>
      <c r="G149" s="181"/>
      <c r="H149" s="141"/>
      <c r="I149" s="105"/>
      <c r="J149" s="105"/>
      <c r="K149" s="181"/>
    </row>
    <row r="150" spans="1:15" s="10" customFormat="1" x14ac:dyDescent="0.25">
      <c r="A150" s="47"/>
      <c r="B150" s="43"/>
      <c r="C150" s="94" t="s">
        <v>90</v>
      </c>
      <c r="D150" s="143">
        <f t="shared" ref="D150:K150" si="24">D141+D148</f>
        <v>132815</v>
      </c>
      <c r="E150" s="106">
        <f t="shared" si="24"/>
        <v>125660</v>
      </c>
      <c r="F150" s="106">
        <f t="shared" si="24"/>
        <v>7055</v>
      </c>
      <c r="G150" s="182">
        <f t="shared" si="24"/>
        <v>100</v>
      </c>
      <c r="H150" s="143">
        <f t="shared" si="24"/>
        <v>132815</v>
      </c>
      <c r="I150" s="106">
        <f t="shared" si="24"/>
        <v>125660</v>
      </c>
      <c r="J150" s="106">
        <f t="shared" si="24"/>
        <v>7055</v>
      </c>
      <c r="K150" s="182">
        <f t="shared" si="24"/>
        <v>100</v>
      </c>
    </row>
    <row r="151" spans="1:15" s="10" customFormat="1" x14ac:dyDescent="0.25">
      <c r="A151" s="47"/>
      <c r="B151" s="43"/>
      <c r="C151" s="94"/>
      <c r="D151" s="145"/>
      <c r="E151" s="101"/>
      <c r="F151" s="101"/>
      <c r="G151" s="184"/>
      <c r="H151" s="145"/>
      <c r="I151" s="101"/>
      <c r="J151" s="101"/>
      <c r="K151" s="184"/>
    </row>
    <row r="152" spans="1:15" s="10" customFormat="1" x14ac:dyDescent="0.25">
      <c r="A152" s="47"/>
      <c r="B152" s="31" t="s">
        <v>44</v>
      </c>
      <c r="C152" s="52" t="s">
        <v>96</v>
      </c>
      <c r="D152" s="142"/>
      <c r="E152" s="100"/>
      <c r="F152" s="100"/>
      <c r="G152" s="180"/>
      <c r="H152" s="142"/>
      <c r="I152" s="100"/>
      <c r="J152" s="100"/>
      <c r="K152" s="180"/>
    </row>
    <row r="153" spans="1:15" s="10" customFormat="1" x14ac:dyDescent="0.25">
      <c r="A153" s="47"/>
      <c r="B153" s="50"/>
      <c r="C153" s="52" t="s">
        <v>125</v>
      </c>
      <c r="D153" s="142"/>
      <c r="E153" s="100"/>
      <c r="F153" s="100"/>
      <c r="G153" s="180"/>
      <c r="H153" s="142"/>
      <c r="I153" s="100"/>
      <c r="J153" s="100"/>
      <c r="K153" s="180"/>
    </row>
    <row r="154" spans="1:15" s="10" customFormat="1" x14ac:dyDescent="0.25">
      <c r="A154" s="47"/>
      <c r="B154" s="50"/>
      <c r="C154" s="52" t="s">
        <v>4</v>
      </c>
      <c r="D154" s="122">
        <v>2783</v>
      </c>
      <c r="E154" s="74">
        <v>2783</v>
      </c>
      <c r="F154" s="74"/>
      <c r="G154" s="166"/>
      <c r="H154" s="122">
        <v>2783</v>
      </c>
      <c r="I154" s="74">
        <v>2783</v>
      </c>
      <c r="J154" s="74"/>
      <c r="K154" s="166"/>
    </row>
    <row r="155" spans="1:15" s="10" customFormat="1" ht="30" x14ac:dyDescent="0.25">
      <c r="A155" s="47"/>
      <c r="B155" s="50"/>
      <c r="C155" s="52" t="s">
        <v>217</v>
      </c>
      <c r="D155" s="133">
        <v>1000</v>
      </c>
      <c r="E155" s="74">
        <v>1000</v>
      </c>
      <c r="F155" s="74"/>
      <c r="G155" s="167"/>
      <c r="H155" s="133">
        <v>1000</v>
      </c>
      <c r="I155" s="74">
        <v>1000</v>
      </c>
      <c r="J155" s="74"/>
      <c r="K155" s="167"/>
    </row>
    <row r="156" spans="1:15" s="10" customFormat="1" ht="30" x14ac:dyDescent="0.25">
      <c r="A156" s="47"/>
      <c r="B156" s="50"/>
      <c r="C156" s="52" t="s">
        <v>218</v>
      </c>
      <c r="D156" s="133">
        <v>2500</v>
      </c>
      <c r="E156" s="74">
        <v>2500</v>
      </c>
      <c r="F156" s="74"/>
      <c r="G156" s="167"/>
      <c r="H156" s="133">
        <v>2500</v>
      </c>
      <c r="I156" s="74">
        <v>2500</v>
      </c>
      <c r="J156" s="74"/>
      <c r="K156" s="167"/>
    </row>
    <row r="157" spans="1:15" s="23" customFormat="1" ht="17.25" x14ac:dyDescent="0.3">
      <c r="A157" s="153"/>
      <c r="B157" s="43"/>
      <c r="C157" s="93" t="s">
        <v>51</v>
      </c>
      <c r="D157" s="150">
        <f>SUM(D154:D156)</f>
        <v>6283</v>
      </c>
      <c r="E157" s="105">
        <f>SUM(E154:E156)</f>
        <v>6283</v>
      </c>
      <c r="F157" s="105">
        <f>SUM(F154:F155)</f>
        <v>0</v>
      </c>
      <c r="G157" s="179">
        <f>SUM(G154:G155)</f>
        <v>0</v>
      </c>
      <c r="H157" s="150">
        <f>SUM(H154:H156)</f>
        <v>6283</v>
      </c>
      <c r="I157" s="105">
        <f>SUM(I154:I156)</f>
        <v>6283</v>
      </c>
      <c r="J157" s="105">
        <f>SUM(J154:J155)</f>
        <v>0</v>
      </c>
      <c r="K157" s="179">
        <f>SUM(K154:K155)</f>
        <v>0</v>
      </c>
      <c r="N157" s="10"/>
      <c r="O157" s="10"/>
    </row>
    <row r="158" spans="1:15" s="21" customFormat="1" x14ac:dyDescent="0.25">
      <c r="A158" s="33"/>
      <c r="B158" s="31"/>
      <c r="C158" s="52"/>
      <c r="D158" s="142"/>
      <c r="E158" s="100"/>
      <c r="F158" s="100"/>
      <c r="G158" s="180"/>
      <c r="H158" s="142"/>
      <c r="I158" s="100"/>
      <c r="J158" s="100"/>
      <c r="K158" s="180"/>
      <c r="N158" s="10"/>
      <c r="O158" s="10"/>
    </row>
    <row r="159" spans="1:15" s="21" customFormat="1" x14ac:dyDescent="0.25">
      <c r="A159" s="33"/>
      <c r="B159" s="31"/>
      <c r="C159" s="52" t="s">
        <v>126</v>
      </c>
      <c r="D159" s="142"/>
      <c r="E159" s="100"/>
      <c r="F159" s="100"/>
      <c r="G159" s="180"/>
      <c r="H159" s="142"/>
      <c r="I159" s="100"/>
      <c r="J159" s="100"/>
      <c r="K159" s="180"/>
      <c r="N159" s="10"/>
      <c r="O159" s="10"/>
    </row>
    <row r="160" spans="1:15" s="21" customFormat="1" x14ac:dyDescent="0.25">
      <c r="A160" s="33"/>
      <c r="B160" s="31"/>
      <c r="C160" s="52" t="s">
        <v>58</v>
      </c>
      <c r="D160" s="122">
        <v>1000</v>
      </c>
      <c r="E160" s="74">
        <v>1000</v>
      </c>
      <c r="F160" s="74"/>
      <c r="G160" s="166"/>
      <c r="H160" s="122">
        <v>1000</v>
      </c>
      <c r="I160" s="74">
        <v>1000</v>
      </c>
      <c r="J160" s="74"/>
      <c r="K160" s="166"/>
      <c r="N160" s="10"/>
      <c r="O160" s="10"/>
    </row>
    <row r="161" spans="1:15" s="21" customFormat="1" x14ac:dyDescent="0.25">
      <c r="A161" s="30"/>
      <c r="B161" s="50"/>
      <c r="C161" s="52" t="s">
        <v>5</v>
      </c>
      <c r="D161" s="122">
        <v>5000</v>
      </c>
      <c r="E161" s="74">
        <v>5000</v>
      </c>
      <c r="F161" s="74"/>
      <c r="G161" s="166"/>
      <c r="H161" s="122">
        <v>5000</v>
      </c>
      <c r="I161" s="74">
        <v>5000</v>
      </c>
      <c r="J161" s="74"/>
      <c r="K161" s="166"/>
      <c r="N161" s="10"/>
      <c r="O161" s="10"/>
    </row>
    <row r="162" spans="1:15" s="21" customFormat="1" x14ac:dyDescent="0.25">
      <c r="A162" s="30"/>
      <c r="B162" s="50"/>
      <c r="C162" s="52" t="s">
        <v>6</v>
      </c>
      <c r="D162" s="122">
        <v>7016</v>
      </c>
      <c r="E162" s="74">
        <v>7016</v>
      </c>
      <c r="F162" s="74"/>
      <c r="G162" s="166"/>
      <c r="H162" s="122">
        <v>7016</v>
      </c>
      <c r="I162" s="74">
        <v>7016</v>
      </c>
      <c r="J162" s="74"/>
      <c r="K162" s="166"/>
      <c r="N162" s="10"/>
      <c r="O162" s="10"/>
    </row>
    <row r="163" spans="1:15" s="21" customFormat="1" x14ac:dyDescent="0.25">
      <c r="A163" s="30"/>
      <c r="B163" s="50"/>
      <c r="C163" s="91" t="s">
        <v>988</v>
      </c>
      <c r="D163" s="122"/>
      <c r="E163" s="74"/>
      <c r="F163" s="74"/>
      <c r="G163" s="166"/>
      <c r="H163" s="122">
        <v>1000</v>
      </c>
      <c r="I163" s="74">
        <v>1000</v>
      </c>
      <c r="J163" s="74"/>
      <c r="K163" s="166"/>
      <c r="N163" s="10"/>
      <c r="O163" s="10"/>
    </row>
    <row r="164" spans="1:15" s="21" customFormat="1" x14ac:dyDescent="0.25">
      <c r="A164" s="30"/>
      <c r="B164" s="50"/>
      <c r="C164" s="91" t="s">
        <v>989</v>
      </c>
      <c r="D164" s="122"/>
      <c r="E164" s="74"/>
      <c r="F164" s="74"/>
      <c r="G164" s="166"/>
      <c r="H164" s="122">
        <v>2854</v>
      </c>
      <c r="I164" s="74">
        <v>2854</v>
      </c>
      <c r="J164" s="74"/>
      <c r="K164" s="166"/>
      <c r="N164" s="10"/>
      <c r="O164" s="10"/>
    </row>
    <row r="165" spans="1:15" s="21" customFormat="1" x14ac:dyDescent="0.25">
      <c r="A165" s="30"/>
      <c r="B165" s="34"/>
      <c r="C165" s="93" t="s">
        <v>51</v>
      </c>
      <c r="D165" s="141">
        <f t="shared" ref="D165:G165" si="25">SUM(D160:D162)</f>
        <v>13016</v>
      </c>
      <c r="E165" s="105">
        <f t="shared" si="25"/>
        <v>13016</v>
      </c>
      <c r="F165" s="105">
        <f t="shared" si="25"/>
        <v>0</v>
      </c>
      <c r="G165" s="181">
        <f t="shared" si="25"/>
        <v>0</v>
      </c>
      <c r="H165" s="141">
        <f>SUM(H160:H164)</f>
        <v>16870</v>
      </c>
      <c r="I165" s="105">
        <f>SUM(I160:I164)</f>
        <v>16870</v>
      </c>
      <c r="J165" s="105">
        <f>SUM(J160:J164)</f>
        <v>0</v>
      </c>
      <c r="K165" s="181">
        <f>SUM(K160:K164)</f>
        <v>0</v>
      </c>
      <c r="N165" s="10"/>
      <c r="O165" s="10"/>
    </row>
    <row r="166" spans="1:15" s="21" customFormat="1" x14ac:dyDescent="0.25">
      <c r="A166" s="30"/>
      <c r="B166" s="34"/>
      <c r="C166" s="93"/>
      <c r="D166" s="141"/>
      <c r="E166" s="105"/>
      <c r="F166" s="105"/>
      <c r="G166" s="181"/>
      <c r="H166" s="141"/>
      <c r="I166" s="105"/>
      <c r="J166" s="105"/>
      <c r="K166" s="181"/>
      <c r="N166" s="10"/>
      <c r="O166" s="10"/>
    </row>
    <row r="167" spans="1:15" s="21" customFormat="1" x14ac:dyDescent="0.25">
      <c r="A167" s="30"/>
      <c r="B167" s="34"/>
      <c r="C167" s="94" t="s">
        <v>107</v>
      </c>
      <c r="D167" s="143">
        <f t="shared" ref="D167:K167" si="26">D157+D165</f>
        <v>19299</v>
      </c>
      <c r="E167" s="106">
        <f t="shared" si="26"/>
        <v>19299</v>
      </c>
      <c r="F167" s="106">
        <f t="shared" si="26"/>
        <v>0</v>
      </c>
      <c r="G167" s="182">
        <f t="shared" si="26"/>
        <v>0</v>
      </c>
      <c r="H167" s="143">
        <f t="shared" si="26"/>
        <v>23153</v>
      </c>
      <c r="I167" s="106">
        <f t="shared" si="26"/>
        <v>23153</v>
      </c>
      <c r="J167" s="106">
        <f t="shared" si="26"/>
        <v>0</v>
      </c>
      <c r="K167" s="182">
        <f t="shared" si="26"/>
        <v>0</v>
      </c>
      <c r="N167" s="10"/>
      <c r="O167" s="10"/>
    </row>
    <row r="168" spans="1:15" s="21" customFormat="1" x14ac:dyDescent="0.25">
      <c r="A168" s="30"/>
      <c r="B168" s="34"/>
      <c r="C168" s="93"/>
      <c r="D168" s="144"/>
      <c r="E168" s="99"/>
      <c r="F168" s="99"/>
      <c r="G168" s="183"/>
      <c r="H168" s="144"/>
      <c r="I168" s="99"/>
      <c r="J168" s="99"/>
      <c r="K168" s="183"/>
      <c r="N168" s="10"/>
      <c r="O168" s="10"/>
    </row>
    <row r="169" spans="1:15" s="21" customFormat="1" x14ac:dyDescent="0.25">
      <c r="A169" s="30"/>
      <c r="B169" s="31" t="s">
        <v>46</v>
      </c>
      <c r="C169" s="52" t="s">
        <v>21</v>
      </c>
      <c r="D169" s="122"/>
      <c r="E169" s="74"/>
      <c r="F169" s="74"/>
      <c r="G169" s="166"/>
      <c r="H169" s="122"/>
      <c r="I169" s="74"/>
      <c r="J169" s="74"/>
      <c r="K169" s="166"/>
      <c r="N169" s="10"/>
      <c r="O169" s="10"/>
    </row>
    <row r="170" spans="1:15" s="21" customFormat="1" x14ac:dyDescent="0.25">
      <c r="A170" s="30"/>
      <c r="B170" s="34"/>
      <c r="C170" s="52" t="s">
        <v>103</v>
      </c>
      <c r="D170" s="122"/>
      <c r="E170" s="74"/>
      <c r="F170" s="74"/>
      <c r="G170" s="166"/>
      <c r="H170" s="122"/>
      <c r="I170" s="74"/>
      <c r="J170" s="74"/>
      <c r="K170" s="166"/>
      <c r="N170" s="10"/>
      <c r="O170" s="10"/>
    </row>
    <row r="171" spans="1:15" s="21" customFormat="1" x14ac:dyDescent="0.25">
      <c r="A171" s="30"/>
      <c r="B171" s="34"/>
      <c r="C171" s="52" t="s">
        <v>219</v>
      </c>
      <c r="D171" s="122">
        <v>700</v>
      </c>
      <c r="E171" s="74">
        <v>700</v>
      </c>
      <c r="F171" s="74"/>
      <c r="G171" s="166"/>
      <c r="H171" s="122">
        <v>700</v>
      </c>
      <c r="I171" s="74">
        <v>700</v>
      </c>
      <c r="J171" s="74"/>
      <c r="K171" s="166"/>
      <c r="N171" s="10"/>
      <c r="O171" s="10"/>
    </row>
    <row r="172" spans="1:15" s="21" customFormat="1" x14ac:dyDescent="0.25">
      <c r="A172" s="30"/>
      <c r="B172" s="34"/>
      <c r="C172" s="52" t="s">
        <v>220</v>
      </c>
      <c r="D172" s="122">
        <v>325</v>
      </c>
      <c r="E172" s="74">
        <v>325</v>
      </c>
      <c r="F172" s="74"/>
      <c r="G172" s="166"/>
      <c r="H172" s="122">
        <v>325</v>
      </c>
      <c r="I172" s="74">
        <v>325</v>
      </c>
      <c r="J172" s="74"/>
      <c r="K172" s="166"/>
      <c r="N172" s="10"/>
      <c r="O172" s="10"/>
    </row>
    <row r="173" spans="1:15" s="21" customFormat="1" x14ac:dyDescent="0.25">
      <c r="A173" s="30"/>
      <c r="B173" s="34"/>
      <c r="C173" s="52" t="s">
        <v>135</v>
      </c>
      <c r="D173" s="122"/>
      <c r="E173" s="74"/>
      <c r="F173" s="74"/>
      <c r="G173" s="166"/>
      <c r="H173" s="122"/>
      <c r="I173" s="74"/>
      <c r="J173" s="74"/>
      <c r="K173" s="166"/>
      <c r="N173" s="10"/>
      <c r="O173" s="10"/>
    </row>
    <row r="174" spans="1:15" s="21" customFormat="1" x14ac:dyDescent="0.25">
      <c r="A174" s="30"/>
      <c r="B174" s="34"/>
      <c r="C174" s="52" t="s">
        <v>3</v>
      </c>
      <c r="D174" s="122">
        <v>2300</v>
      </c>
      <c r="E174" s="74">
        <v>2300</v>
      </c>
      <c r="F174" s="74"/>
      <c r="G174" s="166"/>
      <c r="H174" s="122">
        <v>2300</v>
      </c>
      <c r="I174" s="74">
        <v>2300</v>
      </c>
      <c r="J174" s="74"/>
      <c r="K174" s="166"/>
      <c r="N174" s="10"/>
      <c r="O174" s="10"/>
    </row>
    <row r="175" spans="1:15" s="21" customFormat="1" x14ac:dyDescent="0.25">
      <c r="A175" s="30"/>
      <c r="B175" s="34"/>
      <c r="C175" s="93" t="s">
        <v>51</v>
      </c>
      <c r="D175" s="141">
        <f>SUM(D171:D174)</f>
        <v>3325</v>
      </c>
      <c r="E175" s="105">
        <f>SUM(E171:E174)</f>
        <v>3325</v>
      </c>
      <c r="F175" s="105">
        <f>SUM(F171:F173)</f>
        <v>0</v>
      </c>
      <c r="G175" s="181">
        <f>SUM(G171:G173)</f>
        <v>0</v>
      </c>
      <c r="H175" s="141">
        <f>SUM(H171:H174)</f>
        <v>3325</v>
      </c>
      <c r="I175" s="105">
        <f>SUM(I171:I174)</f>
        <v>3325</v>
      </c>
      <c r="J175" s="105">
        <f>SUM(J171:J173)</f>
        <v>0</v>
      </c>
      <c r="K175" s="181">
        <f>SUM(K171:K173)</f>
        <v>0</v>
      </c>
      <c r="N175" s="10"/>
      <c r="O175" s="10"/>
    </row>
    <row r="176" spans="1:15" s="21" customFormat="1" x14ac:dyDescent="0.25">
      <c r="A176" s="30"/>
      <c r="B176" s="34"/>
      <c r="C176" s="93"/>
      <c r="D176" s="141"/>
      <c r="E176" s="105"/>
      <c r="F176" s="105"/>
      <c r="G176" s="181"/>
      <c r="H176" s="141"/>
      <c r="I176" s="105"/>
      <c r="J176" s="105"/>
      <c r="K176" s="181"/>
      <c r="N176" s="10"/>
      <c r="O176" s="10"/>
    </row>
    <row r="177" spans="1:15" s="21" customFormat="1" x14ac:dyDescent="0.25">
      <c r="A177" s="30"/>
      <c r="B177" s="34"/>
      <c r="C177" s="94" t="s">
        <v>68</v>
      </c>
      <c r="D177" s="143">
        <f t="shared" ref="D177:K177" si="27">D175</f>
        <v>3325</v>
      </c>
      <c r="E177" s="106">
        <f t="shared" si="27"/>
        <v>3325</v>
      </c>
      <c r="F177" s="106">
        <f t="shared" si="27"/>
        <v>0</v>
      </c>
      <c r="G177" s="182">
        <f t="shared" si="27"/>
        <v>0</v>
      </c>
      <c r="H177" s="143">
        <f t="shared" si="27"/>
        <v>3325</v>
      </c>
      <c r="I177" s="106">
        <f t="shared" si="27"/>
        <v>3325</v>
      </c>
      <c r="J177" s="106">
        <f t="shared" si="27"/>
        <v>0</v>
      </c>
      <c r="K177" s="182">
        <f t="shared" si="27"/>
        <v>0</v>
      </c>
      <c r="N177" s="10"/>
      <c r="O177" s="10"/>
    </row>
    <row r="178" spans="1:15" s="21" customFormat="1" x14ac:dyDescent="0.25">
      <c r="A178" s="30"/>
      <c r="B178" s="34"/>
      <c r="C178" s="52"/>
      <c r="D178" s="122"/>
      <c r="E178" s="74"/>
      <c r="F178" s="74"/>
      <c r="G178" s="166"/>
      <c r="H178" s="122"/>
      <c r="I178" s="74"/>
      <c r="J178" s="74"/>
      <c r="K178" s="166"/>
      <c r="N178" s="10"/>
      <c r="O178" s="10"/>
    </row>
    <row r="179" spans="1:15" s="21" customFormat="1" x14ac:dyDescent="0.25">
      <c r="A179" s="30"/>
      <c r="B179" s="34"/>
      <c r="C179" s="92" t="s">
        <v>35</v>
      </c>
      <c r="D179" s="146">
        <f t="shared" ref="D179:K179" si="28">D74+D93+D114+D128+D150+D167+D177</f>
        <v>2391795</v>
      </c>
      <c r="E179" s="107">
        <f t="shared" si="28"/>
        <v>2217188</v>
      </c>
      <c r="F179" s="107">
        <f t="shared" si="28"/>
        <v>174507</v>
      </c>
      <c r="G179" s="185">
        <f t="shared" si="28"/>
        <v>100</v>
      </c>
      <c r="H179" s="146">
        <f t="shared" si="28"/>
        <v>2436726</v>
      </c>
      <c r="I179" s="107">
        <f t="shared" si="28"/>
        <v>2262119</v>
      </c>
      <c r="J179" s="107">
        <f t="shared" si="28"/>
        <v>174507</v>
      </c>
      <c r="K179" s="185">
        <f t="shared" si="28"/>
        <v>100</v>
      </c>
      <c r="N179" s="10"/>
      <c r="O179" s="10"/>
    </row>
    <row r="180" spans="1:15" s="21" customFormat="1" x14ac:dyDescent="0.25">
      <c r="A180" s="30"/>
      <c r="B180" s="34"/>
      <c r="C180" s="35"/>
      <c r="D180" s="33"/>
      <c r="E180" s="40"/>
      <c r="F180" s="40"/>
      <c r="G180" s="159"/>
      <c r="H180" s="33"/>
      <c r="I180" s="40"/>
      <c r="J180" s="40"/>
      <c r="K180" s="159"/>
      <c r="N180" s="10"/>
      <c r="O180" s="10"/>
    </row>
    <row r="181" spans="1:15" s="21" customFormat="1" x14ac:dyDescent="0.25">
      <c r="A181" s="30"/>
      <c r="B181" s="34"/>
      <c r="C181" s="35"/>
      <c r="D181" s="33"/>
      <c r="E181" s="40"/>
      <c r="F181" s="40"/>
      <c r="G181" s="159"/>
      <c r="H181" s="33"/>
      <c r="I181" s="40"/>
      <c r="J181" s="40"/>
      <c r="K181" s="159"/>
      <c r="N181" s="10"/>
      <c r="O181" s="10"/>
    </row>
    <row r="182" spans="1:15" s="21" customFormat="1" x14ac:dyDescent="0.25">
      <c r="A182" s="516" t="s">
        <v>40</v>
      </c>
      <c r="B182" s="517"/>
      <c r="C182" s="518"/>
      <c r="D182" s="147">
        <f t="shared" ref="D182:K182" si="29">D45+D56+D179</f>
        <v>2503896</v>
      </c>
      <c r="E182" s="109">
        <f t="shared" si="29"/>
        <v>2329289</v>
      </c>
      <c r="F182" s="109">
        <f t="shared" si="29"/>
        <v>174507</v>
      </c>
      <c r="G182" s="186">
        <f t="shared" si="29"/>
        <v>100</v>
      </c>
      <c r="H182" s="147">
        <f t="shared" si="29"/>
        <v>2551219</v>
      </c>
      <c r="I182" s="109">
        <f t="shared" si="29"/>
        <v>2376612</v>
      </c>
      <c r="J182" s="109">
        <f t="shared" si="29"/>
        <v>174507</v>
      </c>
      <c r="K182" s="186">
        <f t="shared" si="29"/>
        <v>100</v>
      </c>
      <c r="N182" s="10"/>
      <c r="O182" s="10"/>
    </row>
    <row r="183" spans="1:15" s="21" customFormat="1" x14ac:dyDescent="0.25">
      <c r="A183" s="30"/>
      <c r="B183" s="34"/>
      <c r="C183" s="35"/>
      <c r="D183" s="33"/>
      <c r="E183" s="40"/>
      <c r="F183" s="40"/>
      <c r="G183" s="159"/>
      <c r="H183" s="33"/>
      <c r="I183" s="40"/>
      <c r="J183" s="40"/>
      <c r="K183" s="159"/>
      <c r="N183" s="10"/>
      <c r="O183" s="10"/>
    </row>
    <row r="184" spans="1:15" s="21" customFormat="1" ht="30" x14ac:dyDescent="0.25">
      <c r="A184" s="30"/>
      <c r="B184" s="90" t="s">
        <v>54</v>
      </c>
      <c r="C184" s="54" t="s">
        <v>56</v>
      </c>
      <c r="D184" s="148"/>
      <c r="E184" s="108"/>
      <c r="F184" s="108"/>
      <c r="G184" s="187"/>
      <c r="H184" s="148"/>
      <c r="I184" s="108"/>
      <c r="J184" s="108"/>
      <c r="K184" s="187"/>
      <c r="N184" s="10"/>
      <c r="O184" s="10"/>
    </row>
    <row r="185" spans="1:15" s="10" customFormat="1" x14ac:dyDescent="0.25">
      <c r="A185" s="30"/>
      <c r="B185" s="31"/>
      <c r="C185" s="32" t="s">
        <v>7</v>
      </c>
      <c r="D185" s="41"/>
      <c r="E185" s="36"/>
      <c r="F185" s="36"/>
      <c r="G185" s="156"/>
      <c r="H185" s="41"/>
      <c r="I185" s="36"/>
      <c r="J185" s="36"/>
      <c r="K185" s="156"/>
    </row>
    <row r="186" spans="1:15" s="23" customFormat="1" ht="17.25" x14ac:dyDescent="0.3">
      <c r="A186" s="42"/>
      <c r="B186" s="43"/>
      <c r="C186" s="32" t="s">
        <v>8</v>
      </c>
      <c r="D186" s="41"/>
      <c r="E186" s="36"/>
      <c r="F186" s="36"/>
      <c r="G186" s="156"/>
      <c r="H186" s="41">
        <v>130</v>
      </c>
      <c r="I186" s="36">
        <v>130</v>
      </c>
      <c r="J186" s="36"/>
      <c r="K186" s="156"/>
      <c r="N186" s="10"/>
      <c r="O186" s="10"/>
    </row>
    <row r="187" spans="1:15" s="23" customFormat="1" ht="17.25" x14ac:dyDescent="0.3">
      <c r="A187" s="42"/>
      <c r="B187" s="43"/>
      <c r="C187" s="32" t="s">
        <v>9</v>
      </c>
      <c r="D187" s="41"/>
      <c r="E187" s="36"/>
      <c r="F187" s="36"/>
      <c r="G187" s="156"/>
      <c r="H187" s="41">
        <v>513</v>
      </c>
      <c r="I187" s="36">
        <v>513</v>
      </c>
      <c r="J187" s="36"/>
      <c r="K187" s="156"/>
      <c r="N187" s="10"/>
      <c r="O187" s="10"/>
    </row>
    <row r="188" spans="1:15" s="21" customFormat="1" x14ac:dyDescent="0.25">
      <c r="A188" s="30"/>
      <c r="B188" s="31"/>
      <c r="C188" s="32" t="s">
        <v>10</v>
      </c>
      <c r="D188" s="41"/>
      <c r="E188" s="36"/>
      <c r="F188" s="36"/>
      <c r="G188" s="156"/>
      <c r="H188" s="41">
        <v>465</v>
      </c>
      <c r="I188" s="36">
        <v>465</v>
      </c>
      <c r="J188" s="36"/>
      <c r="K188" s="156"/>
      <c r="N188" s="10"/>
      <c r="O188" s="10"/>
    </row>
    <row r="189" spans="1:15" s="22" customFormat="1" x14ac:dyDescent="0.25">
      <c r="A189" s="98"/>
      <c r="B189" s="43"/>
      <c r="C189" s="32" t="s">
        <v>11</v>
      </c>
      <c r="D189" s="41"/>
      <c r="E189" s="36"/>
      <c r="F189" s="36"/>
      <c r="G189" s="156"/>
      <c r="H189" s="41">
        <v>3</v>
      </c>
      <c r="I189" s="36">
        <v>3</v>
      </c>
      <c r="J189" s="36"/>
      <c r="K189" s="156"/>
      <c r="N189" s="10"/>
      <c r="O189" s="10"/>
    </row>
    <row r="190" spans="1:15" s="22" customFormat="1" x14ac:dyDescent="0.25">
      <c r="A190" s="42"/>
      <c r="B190" s="43"/>
      <c r="C190" s="32" t="s">
        <v>12</v>
      </c>
      <c r="D190" s="41"/>
      <c r="E190" s="36"/>
      <c r="F190" s="36"/>
      <c r="G190" s="156"/>
      <c r="H190" s="41"/>
      <c r="I190" s="36"/>
      <c r="J190" s="36"/>
      <c r="K190" s="156"/>
      <c r="N190" s="10"/>
      <c r="O190" s="10"/>
    </row>
    <row r="191" spans="1:15" s="10" customFormat="1" x14ac:dyDescent="0.25">
      <c r="A191" s="30"/>
      <c r="B191" s="31"/>
      <c r="C191" s="32" t="s">
        <v>167</v>
      </c>
      <c r="D191" s="41">
        <v>6097</v>
      </c>
      <c r="E191" s="36">
        <v>6097</v>
      </c>
      <c r="F191" s="36"/>
      <c r="G191" s="156"/>
      <c r="H191" s="41">
        <v>6097</v>
      </c>
      <c r="I191" s="36">
        <v>6097</v>
      </c>
      <c r="J191" s="36"/>
      <c r="K191" s="156"/>
    </row>
    <row r="192" spans="1:15" s="10" customFormat="1" x14ac:dyDescent="0.25">
      <c r="A192" s="30"/>
      <c r="B192" s="31"/>
      <c r="C192" s="32" t="s">
        <v>169</v>
      </c>
      <c r="D192" s="41">
        <v>39627</v>
      </c>
      <c r="E192" s="36">
        <v>39627</v>
      </c>
      <c r="F192" s="36"/>
      <c r="G192" s="156"/>
      <c r="H192" s="41">
        <v>39627</v>
      </c>
      <c r="I192" s="36">
        <v>39627</v>
      </c>
      <c r="J192" s="36"/>
      <c r="K192" s="156"/>
    </row>
    <row r="193" spans="1:15" s="10" customFormat="1" x14ac:dyDescent="0.25">
      <c r="A193" s="30"/>
      <c r="B193" s="31"/>
      <c r="C193" s="32" t="s">
        <v>170</v>
      </c>
      <c r="D193" s="41">
        <v>21453</v>
      </c>
      <c r="E193" s="36">
        <v>21453</v>
      </c>
      <c r="F193" s="36"/>
      <c r="G193" s="156"/>
      <c r="H193" s="41">
        <v>21453</v>
      </c>
      <c r="I193" s="36">
        <v>21453</v>
      </c>
      <c r="J193" s="36"/>
      <c r="K193" s="156"/>
    </row>
    <row r="194" spans="1:15" s="22" customFormat="1" x14ac:dyDescent="0.25">
      <c r="A194" s="42"/>
      <c r="B194" s="43"/>
      <c r="C194" s="44" t="s">
        <v>49</v>
      </c>
      <c r="D194" s="134">
        <f t="shared" ref="D194:K194" si="30">SUM(D186:D193)</f>
        <v>67177</v>
      </c>
      <c r="E194" s="46">
        <f t="shared" si="30"/>
        <v>67177</v>
      </c>
      <c r="F194" s="46">
        <f t="shared" si="30"/>
        <v>0</v>
      </c>
      <c r="G194" s="160">
        <f t="shared" si="30"/>
        <v>0</v>
      </c>
      <c r="H194" s="134">
        <f t="shared" si="30"/>
        <v>68288</v>
      </c>
      <c r="I194" s="46">
        <f t="shared" si="30"/>
        <v>68288</v>
      </c>
      <c r="J194" s="46">
        <f t="shared" si="30"/>
        <v>0</v>
      </c>
      <c r="K194" s="160">
        <f t="shared" si="30"/>
        <v>0</v>
      </c>
      <c r="N194" s="10"/>
      <c r="O194" s="10"/>
    </row>
    <row r="195" spans="1:15" s="10" customFormat="1" x14ac:dyDescent="0.25">
      <c r="A195" s="30"/>
      <c r="B195" s="31"/>
      <c r="C195" s="35"/>
      <c r="D195" s="119"/>
      <c r="E195" s="39"/>
      <c r="F195" s="39"/>
      <c r="G195" s="155"/>
      <c r="H195" s="119"/>
      <c r="I195" s="39"/>
      <c r="J195" s="39"/>
      <c r="K195" s="155"/>
    </row>
    <row r="196" spans="1:15" s="10" customFormat="1" x14ac:dyDescent="0.25">
      <c r="A196" s="30"/>
      <c r="B196" s="31"/>
      <c r="C196" s="32" t="s">
        <v>13</v>
      </c>
      <c r="D196" s="41"/>
      <c r="E196" s="36"/>
      <c r="F196" s="36"/>
      <c r="G196" s="156"/>
      <c r="H196" s="41"/>
      <c r="I196" s="36"/>
      <c r="J196" s="36"/>
      <c r="K196" s="156"/>
    </row>
    <row r="197" spans="1:15" s="10" customFormat="1" x14ac:dyDescent="0.25">
      <c r="A197" s="30"/>
      <c r="B197" s="31"/>
      <c r="C197" s="32" t="s">
        <v>14</v>
      </c>
      <c r="D197" s="41"/>
      <c r="E197" s="36"/>
      <c r="F197" s="36"/>
      <c r="G197" s="156"/>
      <c r="H197" s="41"/>
      <c r="I197" s="36"/>
      <c r="J197" s="36"/>
      <c r="K197" s="156"/>
    </row>
    <row r="198" spans="1:15" s="10" customFormat="1" x14ac:dyDescent="0.25">
      <c r="A198" s="30"/>
      <c r="B198" s="34"/>
      <c r="C198" s="32" t="s">
        <v>15</v>
      </c>
      <c r="D198" s="41"/>
      <c r="E198" s="36"/>
      <c r="F198" s="36"/>
      <c r="G198" s="156"/>
      <c r="H198" s="41"/>
      <c r="I198" s="36"/>
      <c r="J198" s="36"/>
      <c r="K198" s="156"/>
    </row>
    <row r="199" spans="1:15" s="10" customFormat="1" x14ac:dyDescent="0.25">
      <c r="A199" s="30"/>
      <c r="B199" s="31"/>
      <c r="C199" s="32" t="s">
        <v>16</v>
      </c>
      <c r="D199" s="41"/>
      <c r="E199" s="36"/>
      <c r="F199" s="36"/>
      <c r="G199" s="156"/>
      <c r="H199" s="41"/>
      <c r="I199" s="36"/>
      <c r="J199" s="36"/>
      <c r="K199" s="156"/>
    </row>
    <row r="200" spans="1:15" s="10" customFormat="1" x14ac:dyDescent="0.25">
      <c r="A200" s="30"/>
      <c r="B200" s="31"/>
      <c r="C200" s="32" t="s">
        <v>17</v>
      </c>
      <c r="D200" s="41"/>
      <c r="E200" s="36"/>
      <c r="F200" s="36"/>
      <c r="G200" s="156"/>
      <c r="H200" s="41"/>
      <c r="I200" s="36"/>
      <c r="J200" s="36"/>
      <c r="K200" s="156"/>
    </row>
    <row r="201" spans="1:15" s="10" customFormat="1" x14ac:dyDescent="0.25">
      <c r="A201" s="30"/>
      <c r="B201" s="31"/>
      <c r="C201" s="32" t="s">
        <v>18</v>
      </c>
      <c r="D201" s="41"/>
      <c r="E201" s="36"/>
      <c r="F201" s="36"/>
      <c r="G201" s="156"/>
      <c r="H201" s="41"/>
      <c r="I201" s="36"/>
      <c r="J201" s="36"/>
      <c r="K201" s="156"/>
    </row>
    <row r="202" spans="1:15" s="10" customFormat="1" x14ac:dyDescent="0.25">
      <c r="A202" s="30"/>
      <c r="B202" s="31"/>
      <c r="C202" s="32" t="s">
        <v>19</v>
      </c>
      <c r="D202" s="41">
        <v>7620</v>
      </c>
      <c r="E202" s="36">
        <v>7620</v>
      </c>
      <c r="F202" s="36"/>
      <c r="G202" s="156"/>
      <c r="H202" s="41">
        <v>7620</v>
      </c>
      <c r="I202" s="36">
        <v>7620</v>
      </c>
      <c r="J202" s="36"/>
      <c r="K202" s="156"/>
    </row>
    <row r="203" spans="1:15" s="10" customFormat="1" x14ac:dyDescent="0.25">
      <c r="A203" s="30"/>
      <c r="B203" s="31"/>
      <c r="C203" s="32" t="s">
        <v>165</v>
      </c>
      <c r="D203" s="41">
        <v>257988</v>
      </c>
      <c r="E203" s="36">
        <v>257988</v>
      </c>
      <c r="F203" s="36"/>
      <c r="G203" s="156"/>
      <c r="H203" s="41">
        <v>257988</v>
      </c>
      <c r="I203" s="36">
        <v>257988</v>
      </c>
      <c r="J203" s="36"/>
      <c r="K203" s="156"/>
    </row>
    <row r="204" spans="1:15" s="10" customFormat="1" x14ac:dyDescent="0.25">
      <c r="A204" s="30"/>
      <c r="B204" s="31"/>
      <c r="C204" s="32" t="s">
        <v>166</v>
      </c>
      <c r="D204" s="41">
        <v>24913</v>
      </c>
      <c r="E204" s="36">
        <v>24913</v>
      </c>
      <c r="F204" s="36"/>
      <c r="G204" s="156"/>
      <c r="H204" s="41">
        <v>24913</v>
      </c>
      <c r="I204" s="36">
        <v>24913</v>
      </c>
      <c r="J204" s="36"/>
      <c r="K204" s="156"/>
    </row>
    <row r="205" spans="1:15" s="10" customFormat="1" x14ac:dyDescent="0.25">
      <c r="A205" s="30"/>
      <c r="B205" s="31"/>
      <c r="C205" s="32" t="s">
        <v>168</v>
      </c>
      <c r="D205" s="132">
        <v>20330</v>
      </c>
      <c r="E205" s="36">
        <v>20330</v>
      </c>
      <c r="F205" s="36"/>
      <c r="G205" s="165"/>
      <c r="H205" s="132">
        <v>20330</v>
      </c>
      <c r="I205" s="36">
        <v>20330</v>
      </c>
      <c r="J205" s="36"/>
      <c r="K205" s="165"/>
    </row>
    <row r="206" spans="1:15" s="22" customFormat="1" x14ac:dyDescent="0.25">
      <c r="A206" s="42"/>
      <c r="B206" s="43"/>
      <c r="C206" s="44" t="s">
        <v>49</v>
      </c>
      <c r="D206" s="134">
        <f t="shared" ref="D206:K206" si="31">SUM(D197:D205)</f>
        <v>310851</v>
      </c>
      <c r="E206" s="46">
        <f t="shared" si="31"/>
        <v>310851</v>
      </c>
      <c r="F206" s="46">
        <f t="shared" si="31"/>
        <v>0</v>
      </c>
      <c r="G206" s="160">
        <f t="shared" si="31"/>
        <v>0</v>
      </c>
      <c r="H206" s="134">
        <f t="shared" si="31"/>
        <v>310851</v>
      </c>
      <c r="I206" s="46">
        <f t="shared" si="31"/>
        <v>310851</v>
      </c>
      <c r="J206" s="46">
        <f t="shared" si="31"/>
        <v>0</v>
      </c>
      <c r="K206" s="160">
        <f t="shared" si="31"/>
        <v>0</v>
      </c>
      <c r="N206" s="10"/>
      <c r="O206" s="10"/>
    </row>
    <row r="207" spans="1:15" s="10" customFormat="1" x14ac:dyDescent="0.25">
      <c r="A207" s="30"/>
      <c r="B207" s="31"/>
      <c r="C207" s="35"/>
      <c r="D207" s="33"/>
      <c r="E207" s="40"/>
      <c r="F207" s="40"/>
      <c r="G207" s="159"/>
      <c r="H207" s="33"/>
      <c r="I207" s="40"/>
      <c r="J207" s="40"/>
      <c r="K207" s="159"/>
    </row>
    <row r="208" spans="1:15" s="10" customFormat="1" x14ac:dyDescent="0.25">
      <c r="A208" s="30"/>
      <c r="B208" s="31" t="s">
        <v>108</v>
      </c>
      <c r="C208" s="32" t="s">
        <v>41</v>
      </c>
      <c r="D208" s="30"/>
      <c r="E208" s="37"/>
      <c r="F208" s="37"/>
      <c r="G208" s="38"/>
      <c r="H208" s="30"/>
      <c r="I208" s="37"/>
      <c r="J208" s="37"/>
      <c r="K208" s="38"/>
    </row>
    <row r="209" spans="1:15" s="10" customFormat="1" x14ac:dyDescent="0.25">
      <c r="A209" s="30"/>
      <c r="B209" s="34"/>
      <c r="C209" s="32" t="s">
        <v>42</v>
      </c>
      <c r="D209" s="30"/>
      <c r="E209" s="37"/>
      <c r="F209" s="37"/>
      <c r="G209" s="38"/>
      <c r="H209" s="30"/>
      <c r="I209" s="37"/>
      <c r="J209" s="37"/>
      <c r="K209" s="38"/>
    </row>
    <row r="210" spans="1:15" s="10" customFormat="1" x14ac:dyDescent="0.25">
      <c r="A210" s="30"/>
      <c r="B210" s="31"/>
      <c r="C210" s="32" t="s">
        <v>150</v>
      </c>
      <c r="D210" s="30"/>
      <c r="E210" s="37"/>
      <c r="F210" s="37"/>
      <c r="G210" s="38"/>
      <c r="H210" s="30"/>
      <c r="I210" s="37"/>
      <c r="J210" s="37"/>
      <c r="K210" s="38"/>
    </row>
    <row r="211" spans="1:15" s="10" customFormat="1" x14ac:dyDescent="0.25">
      <c r="A211" s="30"/>
      <c r="B211" s="31"/>
      <c r="C211" s="32" t="s">
        <v>151</v>
      </c>
      <c r="D211" s="41">
        <v>40751</v>
      </c>
      <c r="E211" s="36">
        <v>40751</v>
      </c>
      <c r="F211" s="36"/>
      <c r="G211" s="156"/>
      <c r="H211" s="41">
        <v>290751</v>
      </c>
      <c r="I211" s="36">
        <v>290751</v>
      </c>
      <c r="J211" s="36"/>
      <c r="K211" s="156"/>
    </row>
    <row r="212" spans="1:15" s="10" customFormat="1" x14ac:dyDescent="0.25">
      <c r="A212" s="30"/>
      <c r="B212" s="31"/>
      <c r="C212" s="32" t="s">
        <v>152</v>
      </c>
      <c r="D212" s="41"/>
      <c r="E212" s="36"/>
      <c r="F212" s="36"/>
      <c r="G212" s="156"/>
      <c r="H212" s="41">
        <v>324947</v>
      </c>
      <c r="I212" s="36">
        <v>324947</v>
      </c>
      <c r="J212" s="36"/>
      <c r="K212" s="156"/>
    </row>
    <row r="213" spans="1:15" s="22" customFormat="1" x14ac:dyDescent="0.25">
      <c r="A213" s="42"/>
      <c r="B213" s="43"/>
      <c r="C213" s="44" t="s">
        <v>49</v>
      </c>
      <c r="D213" s="134">
        <f t="shared" ref="D213:K213" si="32">SUM(D210:D212)</f>
        <v>40751</v>
      </c>
      <c r="E213" s="46">
        <f t="shared" si="32"/>
        <v>40751</v>
      </c>
      <c r="F213" s="46">
        <f t="shared" si="32"/>
        <v>0</v>
      </c>
      <c r="G213" s="160">
        <f t="shared" si="32"/>
        <v>0</v>
      </c>
      <c r="H213" s="134">
        <f t="shared" si="32"/>
        <v>615698</v>
      </c>
      <c r="I213" s="46">
        <f t="shared" si="32"/>
        <v>615698</v>
      </c>
      <c r="J213" s="46">
        <f t="shared" si="32"/>
        <v>0</v>
      </c>
      <c r="K213" s="160">
        <f t="shared" si="32"/>
        <v>0</v>
      </c>
      <c r="N213" s="10"/>
      <c r="O213" s="10"/>
    </row>
    <row r="214" spans="1:15" s="22" customFormat="1" x14ac:dyDescent="0.25">
      <c r="A214" s="42"/>
      <c r="B214" s="43"/>
      <c r="C214" s="44"/>
      <c r="D214" s="45"/>
      <c r="E214" s="46"/>
      <c r="F214" s="46"/>
      <c r="G214" s="157"/>
      <c r="H214" s="45"/>
      <c r="I214" s="46"/>
      <c r="J214" s="46"/>
      <c r="K214" s="157"/>
      <c r="N214" s="10"/>
      <c r="O214" s="10"/>
    </row>
    <row r="215" spans="1:15" s="10" customFormat="1" x14ac:dyDescent="0.25">
      <c r="A215" s="30"/>
      <c r="B215" s="50"/>
      <c r="C215" s="32" t="s">
        <v>153</v>
      </c>
      <c r="D215" s="132"/>
      <c r="E215" s="36"/>
      <c r="F215" s="37"/>
      <c r="G215" s="38"/>
      <c r="H215" s="132"/>
      <c r="I215" s="36"/>
      <c r="J215" s="37"/>
      <c r="K215" s="38"/>
    </row>
    <row r="216" spans="1:15" s="10" customFormat="1" x14ac:dyDescent="0.25">
      <c r="A216" s="30"/>
      <c r="B216" s="31"/>
      <c r="C216" s="32"/>
      <c r="D216" s="30"/>
      <c r="E216" s="37"/>
      <c r="F216" s="37"/>
      <c r="G216" s="38"/>
      <c r="H216" s="30"/>
      <c r="I216" s="37"/>
      <c r="J216" s="37"/>
      <c r="K216" s="38"/>
    </row>
    <row r="217" spans="1:15" s="10" customFormat="1" ht="17.25" thickBot="1" x14ac:dyDescent="0.3">
      <c r="A217" s="55"/>
      <c r="B217" s="84"/>
      <c r="C217" s="56" t="s">
        <v>40</v>
      </c>
      <c r="D217" s="171">
        <f t="shared" ref="D217:K217" si="33">D182+D206+D194+D213+D215</f>
        <v>2922675</v>
      </c>
      <c r="E217" s="188">
        <f t="shared" si="33"/>
        <v>2748068</v>
      </c>
      <c r="F217" s="188">
        <f t="shared" si="33"/>
        <v>174507</v>
      </c>
      <c r="G217" s="176">
        <f t="shared" si="33"/>
        <v>100</v>
      </c>
      <c r="H217" s="171">
        <f t="shared" si="33"/>
        <v>3546056</v>
      </c>
      <c r="I217" s="188">
        <f t="shared" si="33"/>
        <v>3371449</v>
      </c>
      <c r="J217" s="188">
        <f t="shared" si="33"/>
        <v>174507</v>
      </c>
      <c r="K217" s="176">
        <f t="shared" si="33"/>
        <v>100</v>
      </c>
    </row>
    <row r="218" spans="1:15" s="10" customFormat="1" x14ac:dyDescent="0.25">
      <c r="A218" s="13"/>
      <c r="B218" s="20"/>
      <c r="C218" s="78"/>
      <c r="D218" s="12"/>
      <c r="E218" s="12"/>
      <c r="F218" s="12"/>
      <c r="G218" s="12"/>
      <c r="H218" s="12"/>
      <c r="I218" s="12"/>
      <c r="J218" s="12"/>
      <c r="K218" s="12"/>
    </row>
    <row r="219" spans="1:15" s="10" customFormat="1" x14ac:dyDescent="0.25">
      <c r="A219" s="7"/>
      <c r="B219" s="8"/>
      <c r="C219" s="37"/>
      <c r="D219" s="123"/>
      <c r="H219" s="123"/>
    </row>
    <row r="220" spans="1:15" s="10" customFormat="1" x14ac:dyDescent="0.25">
      <c r="A220" s="7"/>
      <c r="B220" s="8"/>
      <c r="C220" s="37"/>
    </row>
    <row r="221" spans="1:15" s="10" customFormat="1" x14ac:dyDescent="0.25">
      <c r="A221" s="7"/>
      <c r="B221" s="8"/>
      <c r="C221" s="37"/>
    </row>
    <row r="222" spans="1:15" s="10" customFormat="1" x14ac:dyDescent="0.25">
      <c r="A222" s="7"/>
      <c r="B222" s="8"/>
      <c r="C222" s="37"/>
    </row>
    <row r="223" spans="1:15" s="10" customFormat="1" x14ac:dyDescent="0.25">
      <c r="A223" s="7"/>
      <c r="B223" s="8"/>
      <c r="C223" s="37"/>
    </row>
    <row r="224" spans="1:15" s="10" customFormat="1" x14ac:dyDescent="0.25">
      <c r="A224" s="7"/>
      <c r="B224" s="8"/>
      <c r="C224" s="37"/>
    </row>
    <row r="225" spans="1:3" s="10" customFormat="1" x14ac:dyDescent="0.25">
      <c r="A225" s="7"/>
      <c r="B225" s="8"/>
      <c r="C225" s="37"/>
    </row>
    <row r="226" spans="1:3" s="10" customFormat="1" x14ac:dyDescent="0.25">
      <c r="A226" s="7"/>
      <c r="B226" s="8"/>
      <c r="C226" s="37"/>
    </row>
    <row r="227" spans="1:3" s="10" customFormat="1" x14ac:dyDescent="0.25">
      <c r="A227" s="7"/>
      <c r="B227" s="8"/>
      <c r="C227" s="37"/>
    </row>
    <row r="228" spans="1:3" s="10" customFormat="1" x14ac:dyDescent="0.25">
      <c r="A228" s="7"/>
      <c r="B228" s="8"/>
      <c r="C228" s="37"/>
    </row>
    <row r="229" spans="1:3" s="10" customFormat="1" x14ac:dyDescent="0.25">
      <c r="A229" s="7"/>
      <c r="B229" s="8"/>
      <c r="C229" s="37"/>
    </row>
    <row r="230" spans="1:3" s="10" customFormat="1" x14ac:dyDescent="0.25"/>
    <row r="231" spans="1:3" s="10" customFormat="1" x14ac:dyDescent="0.25"/>
    <row r="232" spans="1:3" s="10" customFormat="1" x14ac:dyDescent="0.25"/>
    <row r="233" spans="1:3" s="10" customFormat="1" x14ac:dyDescent="0.25"/>
    <row r="234" spans="1:3" s="10" customFormat="1" x14ac:dyDescent="0.25"/>
    <row r="235" spans="1:3" s="10" customFormat="1" x14ac:dyDescent="0.25"/>
    <row r="236" spans="1:3" s="10" customFormat="1" x14ac:dyDescent="0.25"/>
    <row r="237" spans="1:3" s="10" customFormat="1" x14ac:dyDescent="0.25"/>
    <row r="238" spans="1:3" s="10" customFormat="1" x14ac:dyDescent="0.25"/>
    <row r="239" spans="1:3" s="10" customFormat="1" x14ac:dyDescent="0.25"/>
    <row r="240" spans="1:3" s="10" customFormat="1" x14ac:dyDescent="0.25"/>
    <row r="241" spans="1:15" s="10" customFormat="1" x14ac:dyDescent="0.25"/>
    <row r="242" spans="1:15" s="10" customFormat="1" x14ac:dyDescent="0.25"/>
    <row r="243" spans="1:15" x14ac:dyDescent="0.25">
      <c r="A243" s="10"/>
      <c r="B243" s="10"/>
      <c r="C243" s="10"/>
      <c r="N243" s="10"/>
      <c r="O243" s="10"/>
    </row>
    <row r="244" spans="1:15" x14ac:dyDescent="0.25">
      <c r="A244" s="10"/>
      <c r="B244" s="10"/>
      <c r="C244" s="10"/>
      <c r="N244" s="10"/>
      <c r="O244" s="10"/>
    </row>
    <row r="245" spans="1:15" x14ac:dyDescent="0.25">
      <c r="A245" s="10"/>
      <c r="B245" s="10"/>
      <c r="C245" s="10"/>
      <c r="N245" s="10"/>
      <c r="O245" s="10"/>
    </row>
    <row r="246" spans="1:15" x14ac:dyDescent="0.25">
      <c r="A246" s="10"/>
      <c r="B246" s="10"/>
      <c r="C246" s="10"/>
      <c r="N246" s="10"/>
      <c r="O246" s="10"/>
    </row>
    <row r="247" spans="1:15" x14ac:dyDescent="0.25">
      <c r="A247" s="10"/>
      <c r="B247" s="10"/>
      <c r="C247" s="10"/>
      <c r="N247" s="10"/>
      <c r="O247" s="10"/>
    </row>
    <row r="248" spans="1:15" x14ac:dyDescent="0.25">
      <c r="A248" s="10"/>
      <c r="B248" s="10"/>
      <c r="C248" s="10"/>
      <c r="N248" s="10"/>
      <c r="O248" s="10"/>
    </row>
    <row r="249" spans="1:15" x14ac:dyDescent="0.25">
      <c r="A249" s="10"/>
      <c r="B249" s="10"/>
      <c r="C249" s="10"/>
      <c r="N249" s="10"/>
      <c r="O249" s="10"/>
    </row>
    <row r="250" spans="1:15" x14ac:dyDescent="0.25">
      <c r="A250" s="10"/>
      <c r="B250" s="10"/>
      <c r="C250" s="10"/>
      <c r="N250" s="10"/>
      <c r="O250" s="10"/>
    </row>
    <row r="251" spans="1:15" x14ac:dyDescent="0.25">
      <c r="A251" s="10"/>
      <c r="B251" s="10"/>
      <c r="C251" s="10"/>
      <c r="N251" s="10"/>
      <c r="O251" s="10"/>
    </row>
    <row r="252" spans="1:15" x14ac:dyDescent="0.25">
      <c r="A252" s="10"/>
      <c r="B252" s="10"/>
      <c r="C252" s="10"/>
      <c r="N252" s="10"/>
      <c r="O252" s="10"/>
    </row>
    <row r="253" spans="1:15" x14ac:dyDescent="0.25">
      <c r="A253" s="10"/>
      <c r="B253" s="10"/>
      <c r="C253" s="10"/>
      <c r="N253" s="10"/>
      <c r="O253" s="10"/>
    </row>
    <row r="254" spans="1:15" x14ac:dyDescent="0.25">
      <c r="A254" s="10"/>
      <c r="B254" s="10"/>
      <c r="C254" s="10"/>
      <c r="N254" s="10"/>
      <c r="O254" s="10"/>
    </row>
    <row r="255" spans="1:15" x14ac:dyDescent="0.25">
      <c r="A255" s="10"/>
      <c r="B255" s="10"/>
      <c r="C255" s="10"/>
      <c r="N255" s="10"/>
      <c r="O255" s="10"/>
    </row>
    <row r="256" spans="1:15" x14ac:dyDescent="0.25">
      <c r="A256" s="10"/>
      <c r="B256" s="10"/>
      <c r="C256" s="10"/>
      <c r="N256" s="10"/>
      <c r="O256" s="10"/>
    </row>
    <row r="257" spans="1:15" x14ac:dyDescent="0.25">
      <c r="A257" s="10"/>
      <c r="B257" s="10"/>
      <c r="C257" s="10"/>
      <c r="N257" s="10"/>
      <c r="O257" s="10"/>
    </row>
    <row r="258" spans="1:15" x14ac:dyDescent="0.25">
      <c r="A258" s="10"/>
      <c r="B258" s="10"/>
      <c r="C258" s="10"/>
      <c r="N258" s="10"/>
      <c r="O258" s="10"/>
    </row>
    <row r="259" spans="1:15" x14ac:dyDescent="0.25">
      <c r="A259" s="10"/>
      <c r="B259" s="10"/>
      <c r="C259" s="10"/>
      <c r="N259" s="10"/>
      <c r="O259" s="10"/>
    </row>
    <row r="260" spans="1:15" x14ac:dyDescent="0.25">
      <c r="A260" s="10"/>
      <c r="B260" s="10"/>
      <c r="C260" s="10"/>
      <c r="N260" s="10"/>
      <c r="O260" s="10"/>
    </row>
    <row r="261" spans="1:15" x14ac:dyDescent="0.25">
      <c r="A261" s="10"/>
      <c r="B261" s="10"/>
      <c r="C261" s="10"/>
      <c r="N261" s="10"/>
      <c r="O261" s="10"/>
    </row>
    <row r="262" spans="1:15" x14ac:dyDescent="0.25">
      <c r="A262" s="10"/>
      <c r="B262" s="10"/>
      <c r="C262" s="10"/>
      <c r="N262" s="10"/>
      <c r="O262" s="10"/>
    </row>
    <row r="263" spans="1:15" x14ac:dyDescent="0.25">
      <c r="A263" s="10"/>
      <c r="B263" s="10"/>
      <c r="C263" s="10"/>
      <c r="N263" s="10"/>
      <c r="O263" s="10"/>
    </row>
    <row r="264" spans="1:15" x14ac:dyDescent="0.25">
      <c r="A264" s="10"/>
      <c r="B264" s="10"/>
      <c r="C264" s="10"/>
      <c r="N264" s="10"/>
      <c r="O264" s="10"/>
    </row>
    <row r="265" spans="1:15" x14ac:dyDescent="0.25">
      <c r="A265" s="10"/>
      <c r="B265" s="10"/>
      <c r="C265" s="10"/>
      <c r="N265" s="10"/>
      <c r="O265" s="10"/>
    </row>
    <row r="266" spans="1:15" x14ac:dyDescent="0.25">
      <c r="A266" s="10"/>
      <c r="B266" s="10"/>
      <c r="C266" s="10"/>
    </row>
    <row r="267" spans="1:15" x14ac:dyDescent="0.25">
      <c r="A267" s="10"/>
      <c r="B267" s="10"/>
      <c r="C267" s="10"/>
    </row>
    <row r="268" spans="1:15" x14ac:dyDescent="0.25">
      <c r="A268" s="10"/>
      <c r="B268" s="10"/>
      <c r="C268" s="10"/>
    </row>
    <row r="269" spans="1:15" x14ac:dyDescent="0.25">
      <c r="A269" s="10"/>
      <c r="B269" s="10"/>
      <c r="C269" s="10"/>
    </row>
    <row r="270" spans="1:15" x14ac:dyDescent="0.25">
      <c r="A270" s="10"/>
      <c r="B270" s="10"/>
      <c r="C270" s="10"/>
    </row>
    <row r="271" spans="1:15" x14ac:dyDescent="0.25">
      <c r="A271" s="10"/>
      <c r="B271" s="10"/>
      <c r="C271" s="10"/>
    </row>
  </sheetData>
  <mergeCells count="3">
    <mergeCell ref="D6:G6"/>
    <mergeCell ref="H6:K6"/>
    <mergeCell ref="A182:C182"/>
  </mergeCells>
  <printOptions horizontalCentered="1"/>
  <pageMargins left="0.19685039370078741" right="0.19685039370078741" top="0.51181102362204722" bottom="0.51181102362204722" header="0.31496062992125984" footer="0.51181102362204722"/>
  <pageSetup paperSize="9" scale="67" fitToHeight="0" orientation="portrait" r:id="rId1"/>
  <headerFooter alignWithMargins="0">
    <oddHeader>&amp;P. oldal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view="pageBreakPreview" zoomScaleNormal="100" zoomScaleSheetLayoutView="100" workbookViewId="0"/>
  </sheetViews>
  <sheetFormatPr defaultRowHeight="15" x14ac:dyDescent="0.25"/>
  <cols>
    <col min="1" max="1" width="43" style="388" customWidth="1"/>
    <col min="2" max="3" width="10.7109375" style="394" bestFit="1" customWidth="1"/>
    <col min="4" max="4" width="10.7109375" style="393" bestFit="1" customWidth="1"/>
    <col min="5" max="256" width="9.140625" style="391"/>
    <col min="257" max="257" width="43" style="391" customWidth="1"/>
    <col min="258" max="260" width="10.7109375" style="391" bestFit="1" customWidth="1"/>
    <col min="261" max="512" width="9.140625" style="391"/>
    <col min="513" max="513" width="43" style="391" customWidth="1"/>
    <col min="514" max="516" width="10.7109375" style="391" bestFit="1" customWidth="1"/>
    <col min="517" max="768" width="9.140625" style="391"/>
    <col min="769" max="769" width="43" style="391" customWidth="1"/>
    <col min="770" max="772" width="10.7109375" style="391" bestFit="1" customWidth="1"/>
    <col min="773" max="1024" width="9.140625" style="391"/>
    <col min="1025" max="1025" width="43" style="391" customWidth="1"/>
    <col min="1026" max="1028" width="10.7109375" style="391" bestFit="1" customWidth="1"/>
    <col min="1029" max="1280" width="9.140625" style="391"/>
    <col min="1281" max="1281" width="43" style="391" customWidth="1"/>
    <col min="1282" max="1284" width="10.7109375" style="391" bestFit="1" customWidth="1"/>
    <col min="1285" max="1536" width="9.140625" style="391"/>
    <col min="1537" max="1537" width="43" style="391" customWidth="1"/>
    <col min="1538" max="1540" width="10.7109375" style="391" bestFit="1" customWidth="1"/>
    <col min="1541" max="1792" width="9.140625" style="391"/>
    <col min="1793" max="1793" width="43" style="391" customWidth="1"/>
    <col min="1794" max="1796" width="10.7109375" style="391" bestFit="1" customWidth="1"/>
    <col min="1797" max="2048" width="9.140625" style="391"/>
    <col min="2049" max="2049" width="43" style="391" customWidth="1"/>
    <col min="2050" max="2052" width="10.7109375" style="391" bestFit="1" customWidth="1"/>
    <col min="2053" max="2304" width="9.140625" style="391"/>
    <col min="2305" max="2305" width="43" style="391" customWidth="1"/>
    <col min="2306" max="2308" width="10.7109375" style="391" bestFit="1" customWidth="1"/>
    <col min="2309" max="2560" width="9.140625" style="391"/>
    <col min="2561" max="2561" width="43" style="391" customWidth="1"/>
    <col min="2562" max="2564" width="10.7109375" style="391" bestFit="1" customWidth="1"/>
    <col min="2565" max="2816" width="9.140625" style="391"/>
    <col min="2817" max="2817" width="43" style="391" customWidth="1"/>
    <col min="2818" max="2820" width="10.7109375" style="391" bestFit="1" customWidth="1"/>
    <col min="2821" max="3072" width="9.140625" style="391"/>
    <col min="3073" max="3073" width="43" style="391" customWidth="1"/>
    <col min="3074" max="3076" width="10.7109375" style="391" bestFit="1" customWidth="1"/>
    <col min="3077" max="3328" width="9.140625" style="391"/>
    <col min="3329" max="3329" width="43" style="391" customWidth="1"/>
    <col min="3330" max="3332" width="10.7109375" style="391" bestFit="1" customWidth="1"/>
    <col min="3333" max="3584" width="9.140625" style="391"/>
    <col min="3585" max="3585" width="43" style="391" customWidth="1"/>
    <col min="3586" max="3588" width="10.7109375" style="391" bestFit="1" customWidth="1"/>
    <col min="3589" max="3840" width="9.140625" style="391"/>
    <col min="3841" max="3841" width="43" style="391" customWidth="1"/>
    <col min="3842" max="3844" width="10.7109375" style="391" bestFit="1" customWidth="1"/>
    <col min="3845" max="4096" width="9.140625" style="391"/>
    <col min="4097" max="4097" width="43" style="391" customWidth="1"/>
    <col min="4098" max="4100" width="10.7109375" style="391" bestFit="1" customWidth="1"/>
    <col min="4101" max="4352" width="9.140625" style="391"/>
    <col min="4353" max="4353" width="43" style="391" customWidth="1"/>
    <col min="4354" max="4356" width="10.7109375" style="391" bestFit="1" customWidth="1"/>
    <col min="4357" max="4608" width="9.140625" style="391"/>
    <col min="4609" max="4609" width="43" style="391" customWidth="1"/>
    <col min="4610" max="4612" width="10.7109375" style="391" bestFit="1" customWidth="1"/>
    <col min="4613" max="4864" width="9.140625" style="391"/>
    <col min="4865" max="4865" width="43" style="391" customWidth="1"/>
    <col min="4866" max="4868" width="10.7109375" style="391" bestFit="1" customWidth="1"/>
    <col min="4869" max="5120" width="9.140625" style="391"/>
    <col min="5121" max="5121" width="43" style="391" customWidth="1"/>
    <col min="5122" max="5124" width="10.7109375" style="391" bestFit="1" customWidth="1"/>
    <col min="5125" max="5376" width="9.140625" style="391"/>
    <col min="5377" max="5377" width="43" style="391" customWidth="1"/>
    <col min="5378" max="5380" width="10.7109375" style="391" bestFit="1" customWidth="1"/>
    <col min="5381" max="5632" width="9.140625" style="391"/>
    <col min="5633" max="5633" width="43" style="391" customWidth="1"/>
    <col min="5634" max="5636" width="10.7109375" style="391" bestFit="1" customWidth="1"/>
    <col min="5637" max="5888" width="9.140625" style="391"/>
    <col min="5889" max="5889" width="43" style="391" customWidth="1"/>
    <col min="5890" max="5892" width="10.7109375" style="391" bestFit="1" customWidth="1"/>
    <col min="5893" max="6144" width="9.140625" style="391"/>
    <col min="6145" max="6145" width="43" style="391" customWidth="1"/>
    <col min="6146" max="6148" width="10.7109375" style="391" bestFit="1" customWidth="1"/>
    <col min="6149" max="6400" width="9.140625" style="391"/>
    <col min="6401" max="6401" width="43" style="391" customWidth="1"/>
    <col min="6402" max="6404" width="10.7109375" style="391" bestFit="1" customWidth="1"/>
    <col min="6405" max="6656" width="9.140625" style="391"/>
    <col min="6657" max="6657" width="43" style="391" customWidth="1"/>
    <col min="6658" max="6660" width="10.7109375" style="391" bestFit="1" customWidth="1"/>
    <col min="6661" max="6912" width="9.140625" style="391"/>
    <col min="6913" max="6913" width="43" style="391" customWidth="1"/>
    <col min="6914" max="6916" width="10.7109375" style="391" bestFit="1" customWidth="1"/>
    <col min="6917" max="7168" width="9.140625" style="391"/>
    <col min="7169" max="7169" width="43" style="391" customWidth="1"/>
    <col min="7170" max="7172" width="10.7109375" style="391" bestFit="1" customWidth="1"/>
    <col min="7173" max="7424" width="9.140625" style="391"/>
    <col min="7425" max="7425" width="43" style="391" customWidth="1"/>
    <col min="7426" max="7428" width="10.7109375" style="391" bestFit="1" customWidth="1"/>
    <col min="7429" max="7680" width="9.140625" style="391"/>
    <col min="7681" max="7681" width="43" style="391" customWidth="1"/>
    <col min="7682" max="7684" width="10.7109375" style="391" bestFit="1" customWidth="1"/>
    <col min="7685" max="7936" width="9.140625" style="391"/>
    <col min="7937" max="7937" width="43" style="391" customWidth="1"/>
    <col min="7938" max="7940" width="10.7109375" style="391" bestFit="1" customWidth="1"/>
    <col min="7941" max="8192" width="9.140625" style="391"/>
    <col min="8193" max="8193" width="43" style="391" customWidth="1"/>
    <col min="8194" max="8196" width="10.7109375" style="391" bestFit="1" customWidth="1"/>
    <col min="8197" max="8448" width="9.140625" style="391"/>
    <col min="8449" max="8449" width="43" style="391" customWidth="1"/>
    <col min="8450" max="8452" width="10.7109375" style="391" bestFit="1" customWidth="1"/>
    <col min="8453" max="8704" width="9.140625" style="391"/>
    <col min="8705" max="8705" width="43" style="391" customWidth="1"/>
    <col min="8706" max="8708" width="10.7109375" style="391" bestFit="1" customWidth="1"/>
    <col min="8709" max="8960" width="9.140625" style="391"/>
    <col min="8961" max="8961" width="43" style="391" customWidth="1"/>
    <col min="8962" max="8964" width="10.7109375" style="391" bestFit="1" customWidth="1"/>
    <col min="8965" max="9216" width="9.140625" style="391"/>
    <col min="9217" max="9217" width="43" style="391" customWidth="1"/>
    <col min="9218" max="9220" width="10.7109375" style="391" bestFit="1" customWidth="1"/>
    <col min="9221" max="9472" width="9.140625" style="391"/>
    <col min="9473" max="9473" width="43" style="391" customWidth="1"/>
    <col min="9474" max="9476" width="10.7109375" style="391" bestFit="1" customWidth="1"/>
    <col min="9477" max="9728" width="9.140625" style="391"/>
    <col min="9729" max="9729" width="43" style="391" customWidth="1"/>
    <col min="9730" max="9732" width="10.7109375" style="391" bestFit="1" customWidth="1"/>
    <col min="9733" max="9984" width="9.140625" style="391"/>
    <col min="9985" max="9985" width="43" style="391" customWidth="1"/>
    <col min="9986" max="9988" width="10.7109375" style="391" bestFit="1" customWidth="1"/>
    <col min="9989" max="10240" width="9.140625" style="391"/>
    <col min="10241" max="10241" width="43" style="391" customWidth="1"/>
    <col min="10242" max="10244" width="10.7109375" style="391" bestFit="1" customWidth="1"/>
    <col min="10245" max="10496" width="9.140625" style="391"/>
    <col min="10497" max="10497" width="43" style="391" customWidth="1"/>
    <col min="10498" max="10500" width="10.7109375" style="391" bestFit="1" customWidth="1"/>
    <col min="10501" max="10752" width="9.140625" style="391"/>
    <col min="10753" max="10753" width="43" style="391" customWidth="1"/>
    <col min="10754" max="10756" width="10.7109375" style="391" bestFit="1" customWidth="1"/>
    <col min="10757" max="11008" width="9.140625" style="391"/>
    <col min="11009" max="11009" width="43" style="391" customWidth="1"/>
    <col min="11010" max="11012" width="10.7109375" style="391" bestFit="1" customWidth="1"/>
    <col min="11013" max="11264" width="9.140625" style="391"/>
    <col min="11265" max="11265" width="43" style="391" customWidth="1"/>
    <col min="11266" max="11268" width="10.7109375" style="391" bestFit="1" customWidth="1"/>
    <col min="11269" max="11520" width="9.140625" style="391"/>
    <col min="11521" max="11521" width="43" style="391" customWidth="1"/>
    <col min="11522" max="11524" width="10.7109375" style="391" bestFit="1" customWidth="1"/>
    <col min="11525" max="11776" width="9.140625" style="391"/>
    <col min="11777" max="11777" width="43" style="391" customWidth="1"/>
    <col min="11778" max="11780" width="10.7109375" style="391" bestFit="1" customWidth="1"/>
    <col min="11781" max="12032" width="9.140625" style="391"/>
    <col min="12033" max="12033" width="43" style="391" customWidth="1"/>
    <col min="12034" max="12036" width="10.7109375" style="391" bestFit="1" customWidth="1"/>
    <col min="12037" max="12288" width="9.140625" style="391"/>
    <col min="12289" max="12289" width="43" style="391" customWidth="1"/>
    <col min="12290" max="12292" width="10.7109375" style="391" bestFit="1" customWidth="1"/>
    <col min="12293" max="12544" width="9.140625" style="391"/>
    <col min="12545" max="12545" width="43" style="391" customWidth="1"/>
    <col min="12546" max="12548" width="10.7109375" style="391" bestFit="1" customWidth="1"/>
    <col min="12549" max="12800" width="9.140625" style="391"/>
    <col min="12801" max="12801" width="43" style="391" customWidth="1"/>
    <col min="12802" max="12804" width="10.7109375" style="391" bestFit="1" customWidth="1"/>
    <col min="12805" max="13056" width="9.140625" style="391"/>
    <col min="13057" max="13057" width="43" style="391" customWidth="1"/>
    <col min="13058" max="13060" width="10.7109375" style="391" bestFit="1" customWidth="1"/>
    <col min="13061" max="13312" width="9.140625" style="391"/>
    <col min="13313" max="13313" width="43" style="391" customWidth="1"/>
    <col min="13314" max="13316" width="10.7109375" style="391" bestFit="1" customWidth="1"/>
    <col min="13317" max="13568" width="9.140625" style="391"/>
    <col min="13569" max="13569" width="43" style="391" customWidth="1"/>
    <col min="13570" max="13572" width="10.7109375" style="391" bestFit="1" customWidth="1"/>
    <col min="13573" max="13824" width="9.140625" style="391"/>
    <col min="13825" max="13825" width="43" style="391" customWidth="1"/>
    <col min="13826" max="13828" width="10.7109375" style="391" bestFit="1" customWidth="1"/>
    <col min="13829" max="14080" width="9.140625" style="391"/>
    <col min="14081" max="14081" width="43" style="391" customWidth="1"/>
    <col min="14082" max="14084" width="10.7109375" style="391" bestFit="1" customWidth="1"/>
    <col min="14085" max="14336" width="9.140625" style="391"/>
    <col min="14337" max="14337" width="43" style="391" customWidth="1"/>
    <col min="14338" max="14340" width="10.7109375" style="391" bestFit="1" customWidth="1"/>
    <col min="14341" max="14592" width="9.140625" style="391"/>
    <col min="14593" max="14593" width="43" style="391" customWidth="1"/>
    <col min="14594" max="14596" width="10.7109375" style="391" bestFit="1" customWidth="1"/>
    <col min="14597" max="14848" width="9.140625" style="391"/>
    <col min="14849" max="14849" width="43" style="391" customWidth="1"/>
    <col min="14850" max="14852" width="10.7109375" style="391" bestFit="1" customWidth="1"/>
    <col min="14853" max="15104" width="9.140625" style="391"/>
    <col min="15105" max="15105" width="43" style="391" customWidth="1"/>
    <col min="15106" max="15108" width="10.7109375" style="391" bestFit="1" customWidth="1"/>
    <col min="15109" max="15360" width="9.140625" style="391"/>
    <col min="15361" max="15361" width="43" style="391" customWidth="1"/>
    <col min="15362" max="15364" width="10.7109375" style="391" bestFit="1" customWidth="1"/>
    <col min="15365" max="15616" width="9.140625" style="391"/>
    <col min="15617" max="15617" width="43" style="391" customWidth="1"/>
    <col min="15618" max="15620" width="10.7109375" style="391" bestFit="1" customWidth="1"/>
    <col min="15621" max="15872" width="9.140625" style="391"/>
    <col min="15873" max="15873" width="43" style="391" customWidth="1"/>
    <col min="15874" max="15876" width="10.7109375" style="391" bestFit="1" customWidth="1"/>
    <col min="15877" max="16128" width="9.140625" style="391"/>
    <col min="16129" max="16129" width="43" style="391" customWidth="1"/>
    <col min="16130" max="16132" width="10.7109375" style="391" bestFit="1" customWidth="1"/>
    <col min="16133" max="16384" width="9.140625" style="391"/>
  </cols>
  <sheetData>
    <row r="1" spans="1:4" x14ac:dyDescent="0.25">
      <c r="B1" s="389"/>
      <c r="C1" s="389"/>
      <c r="D1" s="390" t="s">
        <v>976</v>
      </c>
    </row>
    <row r="2" spans="1:4" ht="14.25" x14ac:dyDescent="0.2">
      <c r="A2" s="392"/>
      <c r="B2" s="234"/>
      <c r="C2" s="234"/>
      <c r="D2" s="234"/>
    </row>
    <row r="3" spans="1:4" ht="15" customHeight="1" x14ac:dyDescent="0.25">
      <c r="A3" s="565" t="s">
        <v>806</v>
      </c>
      <c r="B3" s="565"/>
      <c r="C3" s="565"/>
    </row>
    <row r="4" spans="1:4" x14ac:dyDescent="0.25">
      <c r="C4" s="392"/>
      <c r="D4" s="392" t="s">
        <v>50</v>
      </c>
    </row>
    <row r="5" spans="1:4" ht="14.25" x14ac:dyDescent="0.2">
      <c r="A5" s="395" t="s">
        <v>807</v>
      </c>
      <c r="B5" s="396" t="s">
        <v>808</v>
      </c>
      <c r="C5" s="397" t="s">
        <v>941</v>
      </c>
      <c r="D5" s="397" t="s">
        <v>942</v>
      </c>
    </row>
    <row r="6" spans="1:4" x14ac:dyDescent="0.25">
      <c r="A6" s="398" t="s">
        <v>391</v>
      </c>
      <c r="B6" s="399">
        <v>173000</v>
      </c>
      <c r="C6" s="399">
        <v>175000</v>
      </c>
      <c r="D6" s="399">
        <v>177000</v>
      </c>
    </row>
    <row r="7" spans="1:4" x14ac:dyDescent="0.25">
      <c r="A7" s="400" t="s">
        <v>809</v>
      </c>
      <c r="B7" s="399">
        <v>741000</v>
      </c>
      <c r="C7" s="399">
        <v>741000</v>
      </c>
      <c r="D7" s="399">
        <v>741000</v>
      </c>
    </row>
    <row r="8" spans="1:4" x14ac:dyDescent="0.25">
      <c r="A8" s="398" t="s">
        <v>810</v>
      </c>
      <c r="B8" s="399">
        <v>50000</v>
      </c>
      <c r="C8" s="399">
        <v>50000</v>
      </c>
      <c r="D8" s="399">
        <v>50000</v>
      </c>
    </row>
    <row r="9" spans="1:4" x14ac:dyDescent="0.25">
      <c r="A9" s="398" t="s">
        <v>811</v>
      </c>
      <c r="B9" s="399">
        <v>0</v>
      </c>
      <c r="C9" s="399">
        <v>0</v>
      </c>
      <c r="D9" s="399">
        <v>0</v>
      </c>
    </row>
    <row r="10" spans="1:4" x14ac:dyDescent="0.25">
      <c r="A10" s="398" t="s">
        <v>812</v>
      </c>
      <c r="B10" s="399">
        <v>14300</v>
      </c>
      <c r="C10" s="399">
        <v>15000</v>
      </c>
      <c r="D10" s="399">
        <v>16000</v>
      </c>
    </row>
    <row r="11" spans="1:4" x14ac:dyDescent="0.25">
      <c r="A11" s="398" t="s">
        <v>393</v>
      </c>
      <c r="B11" s="401">
        <v>1075000</v>
      </c>
      <c r="C11" s="399">
        <v>1080000</v>
      </c>
      <c r="D11" s="399">
        <v>1085000</v>
      </c>
    </row>
    <row r="12" spans="1:4" x14ac:dyDescent="0.25">
      <c r="A12" s="398" t="s">
        <v>813</v>
      </c>
      <c r="B12" s="401">
        <v>93000</v>
      </c>
      <c r="C12" s="399">
        <v>94000</v>
      </c>
      <c r="D12" s="399">
        <v>96000</v>
      </c>
    </row>
    <row r="13" spans="1:4" x14ac:dyDescent="0.25">
      <c r="A13" s="398" t="s">
        <v>814</v>
      </c>
      <c r="B13" s="399">
        <v>6000</v>
      </c>
      <c r="C13" s="399">
        <v>6500</v>
      </c>
      <c r="D13" s="399">
        <v>8000</v>
      </c>
    </row>
    <row r="14" spans="1:4" x14ac:dyDescent="0.25">
      <c r="A14" s="402" t="s">
        <v>402</v>
      </c>
      <c r="B14" s="399">
        <v>0</v>
      </c>
      <c r="C14" s="399">
        <v>0</v>
      </c>
      <c r="D14" s="399">
        <v>0</v>
      </c>
    </row>
    <row r="15" spans="1:4" x14ac:dyDescent="0.25">
      <c r="A15" s="398" t="s">
        <v>400</v>
      </c>
      <c r="B15" s="399">
        <v>6000</v>
      </c>
      <c r="C15" s="399">
        <v>6000</v>
      </c>
      <c r="D15" s="399">
        <v>6000</v>
      </c>
    </row>
    <row r="16" spans="1:4" x14ac:dyDescent="0.25">
      <c r="A16" s="398" t="s">
        <v>815</v>
      </c>
      <c r="B16" s="399">
        <v>2000</v>
      </c>
      <c r="C16" s="399">
        <v>2000</v>
      </c>
      <c r="D16" s="399">
        <v>2000</v>
      </c>
    </row>
    <row r="17" spans="1:4" x14ac:dyDescent="0.25">
      <c r="A17" s="403" t="s">
        <v>816</v>
      </c>
      <c r="B17" s="404">
        <f>SUM(B6:B16)</f>
        <v>2160300</v>
      </c>
      <c r="C17" s="404">
        <f>SUM(C6:C16)</f>
        <v>2169500</v>
      </c>
      <c r="D17" s="404">
        <f>SUM(D6:D16)</f>
        <v>2181000</v>
      </c>
    </row>
    <row r="18" spans="1:4" x14ac:dyDescent="0.25">
      <c r="A18" s="398" t="s">
        <v>408</v>
      </c>
      <c r="B18" s="399">
        <v>0</v>
      </c>
      <c r="C18" s="399">
        <v>0</v>
      </c>
      <c r="D18" s="399">
        <v>0</v>
      </c>
    </row>
    <row r="19" spans="1:4" x14ac:dyDescent="0.25">
      <c r="A19" s="398" t="s">
        <v>112</v>
      </c>
      <c r="B19" s="399">
        <v>235000</v>
      </c>
      <c r="C19" s="399">
        <v>240000</v>
      </c>
      <c r="D19" s="399">
        <v>245000</v>
      </c>
    </row>
    <row r="20" spans="1:4" ht="30" x14ac:dyDescent="0.25">
      <c r="A20" s="400" t="s">
        <v>411</v>
      </c>
      <c r="B20" s="399">
        <v>48000</v>
      </c>
      <c r="C20" s="399">
        <v>50000</v>
      </c>
      <c r="D20" s="399">
        <v>51000</v>
      </c>
    </row>
    <row r="21" spans="1:4" x14ac:dyDescent="0.25">
      <c r="A21" s="398" t="s">
        <v>817</v>
      </c>
      <c r="B21" s="399">
        <v>13000</v>
      </c>
      <c r="C21" s="399">
        <v>14000</v>
      </c>
      <c r="D21" s="399">
        <v>14700</v>
      </c>
    </row>
    <row r="22" spans="1:4" x14ac:dyDescent="0.25">
      <c r="A22" s="398" t="s">
        <v>818</v>
      </c>
      <c r="B22" s="399">
        <v>3500</v>
      </c>
      <c r="C22" s="399">
        <v>4000</v>
      </c>
      <c r="D22" s="399">
        <v>4000</v>
      </c>
    </row>
    <row r="23" spans="1:4" x14ac:dyDescent="0.25">
      <c r="A23" s="398" t="s">
        <v>819</v>
      </c>
      <c r="B23" s="399">
        <v>0</v>
      </c>
      <c r="C23" s="399">
        <v>0</v>
      </c>
      <c r="D23" s="399">
        <v>0</v>
      </c>
    </row>
    <row r="24" spans="1:4" x14ac:dyDescent="0.25">
      <c r="A24" s="398" t="s">
        <v>415</v>
      </c>
      <c r="B24" s="399">
        <v>250000</v>
      </c>
      <c r="C24" s="399">
        <v>280000</v>
      </c>
      <c r="D24" s="399">
        <v>300000</v>
      </c>
    </row>
    <row r="25" spans="1:4" x14ac:dyDescent="0.25">
      <c r="A25" s="403" t="s">
        <v>820</v>
      </c>
      <c r="B25" s="404">
        <f>SUM(B18:B24)</f>
        <v>549500</v>
      </c>
      <c r="C25" s="404">
        <f>SUM(C18:C24)</f>
        <v>588000</v>
      </c>
      <c r="D25" s="404">
        <f>SUM(D18:D24)</f>
        <v>614700</v>
      </c>
    </row>
    <row r="26" spans="1:4" ht="13.5" customHeight="1" x14ac:dyDescent="0.2">
      <c r="A26" s="405" t="s">
        <v>821</v>
      </c>
      <c r="B26" s="406">
        <f>B17+B25</f>
        <v>2709800</v>
      </c>
      <c r="C26" s="406">
        <f>C17+C25</f>
        <v>2757500</v>
      </c>
      <c r="D26" s="406">
        <f>D17+D25</f>
        <v>2795700</v>
      </c>
    </row>
    <row r="27" spans="1:4" ht="13.5" customHeight="1" x14ac:dyDescent="0.2">
      <c r="A27" s="405"/>
      <c r="B27" s="406"/>
      <c r="C27" s="406"/>
      <c r="D27" s="406"/>
    </row>
    <row r="28" spans="1:4" ht="14.25" x14ac:dyDescent="0.2">
      <c r="A28" s="395" t="s">
        <v>822</v>
      </c>
      <c r="B28" s="396" t="s">
        <v>808</v>
      </c>
      <c r="C28" s="397" t="s">
        <v>941</v>
      </c>
      <c r="D28" s="397" t="s">
        <v>942</v>
      </c>
    </row>
    <row r="29" spans="1:4" x14ac:dyDescent="0.25">
      <c r="A29" s="398" t="s">
        <v>823</v>
      </c>
      <c r="B29" s="399">
        <v>662000</v>
      </c>
      <c r="C29" s="399">
        <v>670000</v>
      </c>
      <c r="D29" s="399">
        <v>675000</v>
      </c>
    </row>
    <row r="30" spans="1:4" x14ac:dyDescent="0.25">
      <c r="A30" s="398" t="s">
        <v>392</v>
      </c>
      <c r="B30" s="399">
        <v>142330</v>
      </c>
      <c r="C30" s="399">
        <v>144050</v>
      </c>
      <c r="D30" s="399">
        <v>145125</v>
      </c>
    </row>
    <row r="31" spans="1:4" x14ac:dyDescent="0.25">
      <c r="A31" s="398" t="s">
        <v>52</v>
      </c>
      <c r="B31" s="399">
        <v>890000</v>
      </c>
      <c r="C31" s="399">
        <v>900000</v>
      </c>
      <c r="D31" s="399">
        <v>910000</v>
      </c>
    </row>
    <row r="32" spans="1:4" x14ac:dyDescent="0.25">
      <c r="A32" s="398" t="s">
        <v>824</v>
      </c>
      <c r="B32" s="399">
        <v>480000</v>
      </c>
      <c r="C32" s="399">
        <v>485000</v>
      </c>
      <c r="D32" s="399">
        <v>490000</v>
      </c>
    </row>
    <row r="33" spans="1:4" x14ac:dyDescent="0.25">
      <c r="A33" s="398" t="s">
        <v>825</v>
      </c>
      <c r="B33" s="399">
        <v>40000</v>
      </c>
      <c r="C33" s="399">
        <v>41000</v>
      </c>
      <c r="D33" s="399">
        <v>42000</v>
      </c>
    </row>
    <row r="34" spans="1:4" x14ac:dyDescent="0.25">
      <c r="A34" s="398" t="s">
        <v>826</v>
      </c>
      <c r="B34" s="399">
        <v>0</v>
      </c>
      <c r="C34" s="399">
        <v>0</v>
      </c>
      <c r="D34" s="399">
        <v>0</v>
      </c>
    </row>
    <row r="35" spans="1:4" x14ac:dyDescent="0.25">
      <c r="A35" s="398" t="s">
        <v>827</v>
      </c>
      <c r="B35" s="399">
        <v>7500</v>
      </c>
      <c r="C35" s="399">
        <v>8000</v>
      </c>
      <c r="D35" s="399">
        <v>8000</v>
      </c>
    </row>
    <row r="36" spans="1:4" x14ac:dyDescent="0.25">
      <c r="A36" s="398" t="s">
        <v>403</v>
      </c>
      <c r="B36" s="399">
        <v>0</v>
      </c>
      <c r="C36" s="399">
        <v>0</v>
      </c>
      <c r="D36" s="399">
        <v>0</v>
      </c>
    </row>
    <row r="37" spans="1:4" x14ac:dyDescent="0.25">
      <c r="A37" s="398" t="s">
        <v>828</v>
      </c>
      <c r="B37" s="399">
        <v>5000</v>
      </c>
      <c r="C37" s="399">
        <v>5000</v>
      </c>
      <c r="D37" s="399">
        <v>5000</v>
      </c>
    </row>
    <row r="38" spans="1:4" x14ac:dyDescent="0.25">
      <c r="A38" s="403" t="s">
        <v>829</v>
      </c>
      <c r="B38" s="404">
        <f>SUM(B29:B37)</f>
        <v>2226830</v>
      </c>
      <c r="C38" s="404">
        <f>SUM(C29:C37)</f>
        <v>2253050</v>
      </c>
      <c r="D38" s="404">
        <f>SUM(D29:D37)</f>
        <v>2275125</v>
      </c>
    </row>
    <row r="39" spans="1:4" x14ac:dyDescent="0.25">
      <c r="A39" s="398" t="s">
        <v>830</v>
      </c>
      <c r="B39" s="399">
        <v>150000</v>
      </c>
      <c r="C39" s="399">
        <v>160000</v>
      </c>
      <c r="D39" s="399">
        <v>165000</v>
      </c>
    </row>
    <row r="40" spans="1:4" x14ac:dyDescent="0.25">
      <c r="A40" s="398" t="s">
        <v>84</v>
      </c>
      <c r="B40" s="399">
        <v>160000</v>
      </c>
      <c r="C40" s="399">
        <v>170000</v>
      </c>
      <c r="D40" s="399">
        <v>150000</v>
      </c>
    </row>
    <row r="41" spans="1:4" x14ac:dyDescent="0.25">
      <c r="A41" s="398" t="s">
        <v>410</v>
      </c>
      <c r="B41" s="399">
        <v>7000</v>
      </c>
      <c r="C41" s="399">
        <v>7000</v>
      </c>
      <c r="D41" s="399">
        <v>7350</v>
      </c>
    </row>
    <row r="42" spans="1:4" x14ac:dyDescent="0.25">
      <c r="A42" s="398" t="s">
        <v>831</v>
      </c>
      <c r="B42" s="399">
        <v>21004</v>
      </c>
      <c r="C42" s="399">
        <v>21004</v>
      </c>
      <c r="D42" s="399">
        <v>21004</v>
      </c>
    </row>
    <row r="43" spans="1:4" x14ac:dyDescent="0.25">
      <c r="A43" s="398" t="s">
        <v>832</v>
      </c>
      <c r="B43" s="399">
        <v>3000</v>
      </c>
      <c r="C43" s="399">
        <v>2156</v>
      </c>
      <c r="D43" s="399">
        <v>1303</v>
      </c>
    </row>
    <row r="44" spans="1:4" x14ac:dyDescent="0.25">
      <c r="A44" s="398" t="s">
        <v>833</v>
      </c>
      <c r="B44" s="399">
        <v>0</v>
      </c>
      <c r="C44" s="399">
        <v>0</v>
      </c>
      <c r="D44" s="399">
        <v>0</v>
      </c>
    </row>
    <row r="45" spans="1:4" x14ac:dyDescent="0.25">
      <c r="A45" s="398" t="s">
        <v>416</v>
      </c>
      <c r="B45" s="399">
        <v>141966</v>
      </c>
      <c r="C45" s="399">
        <v>144290</v>
      </c>
      <c r="D45" s="399">
        <v>175918</v>
      </c>
    </row>
    <row r="46" spans="1:4" x14ac:dyDescent="0.25">
      <c r="A46" s="403" t="s">
        <v>834</v>
      </c>
      <c r="B46" s="404">
        <f>SUM(B39:B45)</f>
        <v>482970</v>
      </c>
      <c r="C46" s="407">
        <f>SUM(C39:C45)</f>
        <v>504450</v>
      </c>
      <c r="D46" s="407">
        <f>SUM(D39:D45)</f>
        <v>520575</v>
      </c>
    </row>
    <row r="47" spans="1:4" ht="14.25" x14ac:dyDescent="0.2">
      <c r="A47" s="405" t="s">
        <v>835</v>
      </c>
      <c r="B47" s="406">
        <f>B38+B46</f>
        <v>2709800</v>
      </c>
      <c r="C47" s="408">
        <f>C38+C46</f>
        <v>2757500</v>
      </c>
      <c r="D47" s="408">
        <f>D38+D46</f>
        <v>2795700</v>
      </c>
    </row>
    <row r="48" spans="1:4" s="393" customFormat="1" x14ac:dyDescent="0.25">
      <c r="A48" s="409"/>
      <c r="B48" s="410"/>
      <c r="C48" s="410"/>
    </row>
    <row r="49" spans="1:3" s="393" customFormat="1" x14ac:dyDescent="0.25">
      <c r="A49" s="409"/>
      <c r="B49" s="410"/>
      <c r="C49" s="410"/>
    </row>
  </sheetData>
  <mergeCells count="1">
    <mergeCell ref="A3:C3"/>
  </mergeCells>
  <printOptions horizontalCentered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6"/>
  <sheetViews>
    <sheetView zoomScaleNormal="100" workbookViewId="0"/>
  </sheetViews>
  <sheetFormatPr defaultRowHeight="12.75" x14ac:dyDescent="0.2"/>
  <cols>
    <col min="1" max="1" width="64.85546875" style="213" customWidth="1"/>
    <col min="2" max="2" width="58.28515625" style="213" customWidth="1"/>
    <col min="3" max="3" width="33.140625" style="213" customWidth="1"/>
    <col min="257" max="257" width="64.85546875" customWidth="1"/>
    <col min="258" max="258" width="58.28515625" customWidth="1"/>
    <col min="259" max="259" width="33.140625" customWidth="1"/>
    <col min="513" max="513" width="64.85546875" customWidth="1"/>
    <col min="514" max="514" width="58.28515625" customWidth="1"/>
    <col min="515" max="515" width="33.140625" customWidth="1"/>
    <col min="769" max="769" width="64.85546875" customWidth="1"/>
    <col min="770" max="770" width="58.28515625" customWidth="1"/>
    <col min="771" max="771" width="33.140625" customWidth="1"/>
    <col min="1025" max="1025" width="64.85546875" customWidth="1"/>
    <col min="1026" max="1026" width="58.28515625" customWidth="1"/>
    <col min="1027" max="1027" width="33.140625" customWidth="1"/>
    <col min="1281" max="1281" width="64.85546875" customWidth="1"/>
    <col min="1282" max="1282" width="58.28515625" customWidth="1"/>
    <col min="1283" max="1283" width="33.140625" customWidth="1"/>
    <col min="1537" max="1537" width="64.85546875" customWidth="1"/>
    <col min="1538" max="1538" width="58.28515625" customWidth="1"/>
    <col min="1539" max="1539" width="33.140625" customWidth="1"/>
    <col min="1793" max="1793" width="64.85546875" customWidth="1"/>
    <col min="1794" max="1794" width="58.28515625" customWidth="1"/>
    <col min="1795" max="1795" width="33.140625" customWidth="1"/>
    <col min="2049" max="2049" width="64.85546875" customWidth="1"/>
    <col min="2050" max="2050" width="58.28515625" customWidth="1"/>
    <col min="2051" max="2051" width="33.140625" customWidth="1"/>
    <col min="2305" max="2305" width="64.85546875" customWidth="1"/>
    <col min="2306" max="2306" width="58.28515625" customWidth="1"/>
    <col min="2307" max="2307" width="33.140625" customWidth="1"/>
    <col min="2561" max="2561" width="64.85546875" customWidth="1"/>
    <col min="2562" max="2562" width="58.28515625" customWidth="1"/>
    <col min="2563" max="2563" width="33.140625" customWidth="1"/>
    <col min="2817" max="2817" width="64.85546875" customWidth="1"/>
    <col min="2818" max="2818" width="58.28515625" customWidth="1"/>
    <col min="2819" max="2819" width="33.140625" customWidth="1"/>
    <col min="3073" max="3073" width="64.85546875" customWidth="1"/>
    <col min="3074" max="3074" width="58.28515625" customWidth="1"/>
    <col min="3075" max="3075" width="33.140625" customWidth="1"/>
    <col min="3329" max="3329" width="64.85546875" customWidth="1"/>
    <col min="3330" max="3330" width="58.28515625" customWidth="1"/>
    <col min="3331" max="3331" width="33.140625" customWidth="1"/>
    <col min="3585" max="3585" width="64.85546875" customWidth="1"/>
    <col min="3586" max="3586" width="58.28515625" customWidth="1"/>
    <col min="3587" max="3587" width="33.140625" customWidth="1"/>
    <col min="3841" max="3841" width="64.85546875" customWidth="1"/>
    <col min="3842" max="3842" width="58.28515625" customWidth="1"/>
    <col min="3843" max="3843" width="33.140625" customWidth="1"/>
    <col min="4097" max="4097" width="64.85546875" customWidth="1"/>
    <col min="4098" max="4098" width="58.28515625" customWidth="1"/>
    <col min="4099" max="4099" width="33.140625" customWidth="1"/>
    <col min="4353" max="4353" width="64.85546875" customWidth="1"/>
    <col min="4354" max="4354" width="58.28515625" customWidth="1"/>
    <col min="4355" max="4355" width="33.140625" customWidth="1"/>
    <col min="4609" max="4609" width="64.85546875" customWidth="1"/>
    <col min="4610" max="4610" width="58.28515625" customWidth="1"/>
    <col min="4611" max="4611" width="33.140625" customWidth="1"/>
    <col min="4865" max="4865" width="64.85546875" customWidth="1"/>
    <col min="4866" max="4866" width="58.28515625" customWidth="1"/>
    <col min="4867" max="4867" width="33.140625" customWidth="1"/>
    <col min="5121" max="5121" width="64.85546875" customWidth="1"/>
    <col min="5122" max="5122" width="58.28515625" customWidth="1"/>
    <col min="5123" max="5123" width="33.140625" customWidth="1"/>
    <col min="5377" max="5377" width="64.85546875" customWidth="1"/>
    <col min="5378" max="5378" width="58.28515625" customWidth="1"/>
    <col min="5379" max="5379" width="33.140625" customWidth="1"/>
    <col min="5633" max="5633" width="64.85546875" customWidth="1"/>
    <col min="5634" max="5634" width="58.28515625" customWidth="1"/>
    <col min="5635" max="5635" width="33.140625" customWidth="1"/>
    <col min="5889" max="5889" width="64.85546875" customWidth="1"/>
    <col min="5890" max="5890" width="58.28515625" customWidth="1"/>
    <col min="5891" max="5891" width="33.140625" customWidth="1"/>
    <col min="6145" max="6145" width="64.85546875" customWidth="1"/>
    <col min="6146" max="6146" width="58.28515625" customWidth="1"/>
    <col min="6147" max="6147" width="33.140625" customWidth="1"/>
    <col min="6401" max="6401" width="64.85546875" customWidth="1"/>
    <col min="6402" max="6402" width="58.28515625" customWidth="1"/>
    <col min="6403" max="6403" width="33.140625" customWidth="1"/>
    <col min="6657" max="6657" width="64.85546875" customWidth="1"/>
    <col min="6658" max="6658" width="58.28515625" customWidth="1"/>
    <col min="6659" max="6659" width="33.140625" customWidth="1"/>
    <col min="6913" max="6913" width="64.85546875" customWidth="1"/>
    <col min="6914" max="6914" width="58.28515625" customWidth="1"/>
    <col min="6915" max="6915" width="33.140625" customWidth="1"/>
    <col min="7169" max="7169" width="64.85546875" customWidth="1"/>
    <col min="7170" max="7170" width="58.28515625" customWidth="1"/>
    <col min="7171" max="7171" width="33.140625" customWidth="1"/>
    <col min="7425" max="7425" width="64.85546875" customWidth="1"/>
    <col min="7426" max="7426" width="58.28515625" customWidth="1"/>
    <col min="7427" max="7427" width="33.140625" customWidth="1"/>
    <col min="7681" max="7681" width="64.85546875" customWidth="1"/>
    <col min="7682" max="7682" width="58.28515625" customWidth="1"/>
    <col min="7683" max="7683" width="33.140625" customWidth="1"/>
    <col min="7937" max="7937" width="64.85546875" customWidth="1"/>
    <col min="7938" max="7938" width="58.28515625" customWidth="1"/>
    <col min="7939" max="7939" width="33.140625" customWidth="1"/>
    <col min="8193" max="8193" width="64.85546875" customWidth="1"/>
    <col min="8194" max="8194" width="58.28515625" customWidth="1"/>
    <col min="8195" max="8195" width="33.140625" customWidth="1"/>
    <col min="8449" max="8449" width="64.85546875" customWidth="1"/>
    <col min="8450" max="8450" width="58.28515625" customWidth="1"/>
    <col min="8451" max="8451" width="33.140625" customWidth="1"/>
    <col min="8705" max="8705" width="64.85546875" customWidth="1"/>
    <col min="8706" max="8706" width="58.28515625" customWidth="1"/>
    <col min="8707" max="8707" width="33.140625" customWidth="1"/>
    <col min="8961" max="8961" width="64.85546875" customWidth="1"/>
    <col min="8962" max="8962" width="58.28515625" customWidth="1"/>
    <col min="8963" max="8963" width="33.140625" customWidth="1"/>
    <col min="9217" max="9217" width="64.85546875" customWidth="1"/>
    <col min="9218" max="9218" width="58.28515625" customWidth="1"/>
    <col min="9219" max="9219" width="33.140625" customWidth="1"/>
    <col min="9473" max="9473" width="64.85546875" customWidth="1"/>
    <col min="9474" max="9474" width="58.28515625" customWidth="1"/>
    <col min="9475" max="9475" width="33.140625" customWidth="1"/>
    <col min="9729" max="9729" width="64.85546875" customWidth="1"/>
    <col min="9730" max="9730" width="58.28515625" customWidth="1"/>
    <col min="9731" max="9731" width="33.140625" customWidth="1"/>
    <col min="9985" max="9985" width="64.85546875" customWidth="1"/>
    <col min="9986" max="9986" width="58.28515625" customWidth="1"/>
    <col min="9987" max="9987" width="33.140625" customWidth="1"/>
    <col min="10241" max="10241" width="64.85546875" customWidth="1"/>
    <col min="10242" max="10242" width="58.28515625" customWidth="1"/>
    <col min="10243" max="10243" width="33.140625" customWidth="1"/>
    <col min="10497" max="10497" width="64.85546875" customWidth="1"/>
    <col min="10498" max="10498" width="58.28515625" customWidth="1"/>
    <col min="10499" max="10499" width="33.140625" customWidth="1"/>
    <col min="10753" max="10753" width="64.85546875" customWidth="1"/>
    <col min="10754" max="10754" width="58.28515625" customWidth="1"/>
    <col min="10755" max="10755" width="33.140625" customWidth="1"/>
    <col min="11009" max="11009" width="64.85546875" customWidth="1"/>
    <col min="11010" max="11010" width="58.28515625" customWidth="1"/>
    <col min="11011" max="11011" width="33.140625" customWidth="1"/>
    <col min="11265" max="11265" width="64.85546875" customWidth="1"/>
    <col min="11266" max="11266" width="58.28515625" customWidth="1"/>
    <col min="11267" max="11267" width="33.140625" customWidth="1"/>
    <col min="11521" max="11521" width="64.85546875" customWidth="1"/>
    <col min="11522" max="11522" width="58.28515625" customWidth="1"/>
    <col min="11523" max="11523" width="33.140625" customWidth="1"/>
    <col min="11777" max="11777" width="64.85546875" customWidth="1"/>
    <col min="11778" max="11778" width="58.28515625" customWidth="1"/>
    <col min="11779" max="11779" width="33.140625" customWidth="1"/>
    <col min="12033" max="12033" width="64.85546875" customWidth="1"/>
    <col min="12034" max="12034" width="58.28515625" customWidth="1"/>
    <col min="12035" max="12035" width="33.140625" customWidth="1"/>
    <col min="12289" max="12289" width="64.85546875" customWidth="1"/>
    <col min="12290" max="12290" width="58.28515625" customWidth="1"/>
    <col min="12291" max="12291" width="33.140625" customWidth="1"/>
    <col min="12545" max="12545" width="64.85546875" customWidth="1"/>
    <col min="12546" max="12546" width="58.28515625" customWidth="1"/>
    <col min="12547" max="12547" width="33.140625" customWidth="1"/>
    <col min="12801" max="12801" width="64.85546875" customWidth="1"/>
    <col min="12802" max="12802" width="58.28515625" customWidth="1"/>
    <col min="12803" max="12803" width="33.140625" customWidth="1"/>
    <col min="13057" max="13057" width="64.85546875" customWidth="1"/>
    <col min="13058" max="13058" width="58.28515625" customWidth="1"/>
    <col min="13059" max="13059" width="33.140625" customWidth="1"/>
    <col min="13313" max="13313" width="64.85546875" customWidth="1"/>
    <col min="13314" max="13314" width="58.28515625" customWidth="1"/>
    <col min="13315" max="13315" width="33.140625" customWidth="1"/>
    <col min="13569" max="13569" width="64.85546875" customWidth="1"/>
    <col min="13570" max="13570" width="58.28515625" customWidth="1"/>
    <col min="13571" max="13571" width="33.140625" customWidth="1"/>
    <col min="13825" max="13825" width="64.85546875" customWidth="1"/>
    <col min="13826" max="13826" width="58.28515625" customWidth="1"/>
    <col min="13827" max="13827" width="33.140625" customWidth="1"/>
    <col min="14081" max="14081" width="64.85546875" customWidth="1"/>
    <col min="14082" max="14082" width="58.28515625" customWidth="1"/>
    <col min="14083" max="14083" width="33.140625" customWidth="1"/>
    <col min="14337" max="14337" width="64.85546875" customWidth="1"/>
    <col min="14338" max="14338" width="58.28515625" customWidth="1"/>
    <col min="14339" max="14339" width="33.140625" customWidth="1"/>
    <col min="14593" max="14593" width="64.85546875" customWidth="1"/>
    <col min="14594" max="14594" width="58.28515625" customWidth="1"/>
    <col min="14595" max="14595" width="33.140625" customWidth="1"/>
    <col min="14849" max="14849" width="64.85546875" customWidth="1"/>
    <col min="14850" max="14850" width="58.28515625" customWidth="1"/>
    <col min="14851" max="14851" width="33.140625" customWidth="1"/>
    <col min="15105" max="15105" width="64.85546875" customWidth="1"/>
    <col min="15106" max="15106" width="58.28515625" customWidth="1"/>
    <col min="15107" max="15107" width="33.140625" customWidth="1"/>
    <col min="15361" max="15361" width="64.85546875" customWidth="1"/>
    <col min="15362" max="15362" width="58.28515625" customWidth="1"/>
    <col min="15363" max="15363" width="33.140625" customWidth="1"/>
    <col min="15617" max="15617" width="64.85546875" customWidth="1"/>
    <col min="15618" max="15618" width="58.28515625" customWidth="1"/>
    <col min="15619" max="15619" width="33.140625" customWidth="1"/>
    <col min="15873" max="15873" width="64.85546875" customWidth="1"/>
    <col min="15874" max="15874" width="58.28515625" customWidth="1"/>
    <col min="15875" max="15875" width="33.140625" customWidth="1"/>
    <col min="16129" max="16129" width="64.85546875" customWidth="1"/>
    <col min="16130" max="16130" width="58.28515625" customWidth="1"/>
    <col min="16131" max="16131" width="33.140625" customWidth="1"/>
  </cols>
  <sheetData>
    <row r="1" spans="1:3" x14ac:dyDescent="0.2">
      <c r="C1" s="491" t="s">
        <v>977</v>
      </c>
    </row>
    <row r="2" spans="1:3" x14ac:dyDescent="0.2">
      <c r="A2" s="492"/>
      <c r="B2" s="492"/>
      <c r="C2" s="492"/>
    </row>
    <row r="3" spans="1:3" ht="15.75" x14ac:dyDescent="0.25">
      <c r="A3" s="493" t="s">
        <v>836</v>
      </c>
      <c r="B3" s="493"/>
      <c r="C3" s="493"/>
    </row>
    <row r="4" spans="1:3" ht="15.75" x14ac:dyDescent="0.25">
      <c r="A4" s="412"/>
      <c r="B4" s="412"/>
      <c r="C4" s="412"/>
    </row>
    <row r="5" spans="1:3" ht="15.75" x14ac:dyDescent="0.25">
      <c r="A5" s="494" t="s">
        <v>837</v>
      </c>
      <c r="B5" s="495" t="s">
        <v>838</v>
      </c>
      <c r="C5" s="496" t="s">
        <v>839</v>
      </c>
    </row>
    <row r="6" spans="1:3" ht="15.75" x14ac:dyDescent="0.25">
      <c r="A6" s="497" t="s">
        <v>840</v>
      </c>
      <c r="B6" s="498" t="s">
        <v>841</v>
      </c>
      <c r="C6" s="499">
        <v>5915</v>
      </c>
    </row>
    <row r="7" spans="1:3" ht="15.75" x14ac:dyDescent="0.25">
      <c r="A7" s="497" t="s">
        <v>842</v>
      </c>
      <c r="B7" s="498" t="s">
        <v>843</v>
      </c>
      <c r="C7" s="499">
        <v>19565</v>
      </c>
    </row>
    <row r="8" spans="1:3" ht="15.75" x14ac:dyDescent="0.25">
      <c r="A8" s="488" t="s">
        <v>844</v>
      </c>
      <c r="B8" s="489" t="s">
        <v>845</v>
      </c>
      <c r="C8" s="490">
        <v>6000</v>
      </c>
    </row>
    <row r="9" spans="1:3" ht="31.5" x14ac:dyDescent="0.25">
      <c r="A9" s="488" t="s">
        <v>846</v>
      </c>
      <c r="B9" s="489" t="s">
        <v>847</v>
      </c>
      <c r="C9" s="490">
        <v>1500</v>
      </c>
    </row>
    <row r="10" spans="1:3" ht="15.75" x14ac:dyDescent="0.25">
      <c r="A10" s="488" t="s">
        <v>848</v>
      </c>
      <c r="B10" s="489" t="s">
        <v>849</v>
      </c>
      <c r="C10" s="490">
        <v>2559</v>
      </c>
    </row>
    <row r="11" spans="1:3" ht="31.5" x14ac:dyDescent="0.25">
      <c r="A11" s="488" t="s">
        <v>850</v>
      </c>
      <c r="B11" s="498" t="s">
        <v>851</v>
      </c>
      <c r="C11" s="499">
        <v>11000</v>
      </c>
    </row>
    <row r="12" spans="1:3" ht="8.25" customHeight="1" x14ac:dyDescent="0.25">
      <c r="A12" s="412"/>
      <c r="B12" s="412"/>
      <c r="C12" s="412"/>
    </row>
    <row r="13" spans="1:3" ht="15.75" x14ac:dyDescent="0.25">
      <c r="A13" s="411" t="s">
        <v>852</v>
      </c>
      <c r="B13" s="412"/>
      <c r="C13" s="412"/>
    </row>
    <row r="14" spans="1:3" ht="15.75" x14ac:dyDescent="0.25">
      <c r="A14" s="411" t="s">
        <v>853</v>
      </c>
      <c r="B14" s="412"/>
      <c r="C14" s="412"/>
    </row>
    <row r="15" spans="1:3" ht="37.5" customHeight="1" x14ac:dyDescent="0.2">
      <c r="A15" s="567" t="s">
        <v>854</v>
      </c>
      <c r="B15" s="567"/>
      <c r="C15" s="567"/>
    </row>
    <row r="16" spans="1:3" ht="9.75" customHeight="1" x14ac:dyDescent="0.25">
      <c r="A16" s="411"/>
      <c r="B16" s="412"/>
      <c r="C16" s="412"/>
    </row>
    <row r="17" spans="1:3" ht="15.75" x14ac:dyDescent="0.25">
      <c r="A17" s="411" t="s">
        <v>855</v>
      </c>
      <c r="B17" s="412"/>
      <c r="C17" s="412"/>
    </row>
    <row r="18" spans="1:3" ht="8.25" customHeight="1" x14ac:dyDescent="0.25">
      <c r="A18" s="192"/>
      <c r="B18" s="412"/>
      <c r="C18" s="412"/>
    </row>
    <row r="19" spans="1:3" x14ac:dyDescent="0.2">
      <c r="A19" s="568" t="s">
        <v>856</v>
      </c>
      <c r="B19" s="568"/>
      <c r="C19" s="568"/>
    </row>
    <row r="20" spans="1:3" ht="25.5" customHeight="1" x14ac:dyDescent="0.2">
      <c r="A20" s="566" t="s">
        <v>857</v>
      </c>
      <c r="B20" s="566"/>
      <c r="C20" s="566"/>
    </row>
    <row r="21" spans="1:3" x14ac:dyDescent="0.2">
      <c r="A21" s="192" t="s">
        <v>960</v>
      </c>
      <c r="B21" s="192"/>
      <c r="C21" s="192"/>
    </row>
    <row r="22" spans="1:3" ht="25.5" customHeight="1" x14ac:dyDescent="0.2">
      <c r="A22" s="566" t="s">
        <v>858</v>
      </c>
      <c r="B22" s="566"/>
      <c r="C22" s="566"/>
    </row>
    <row r="23" spans="1:3" x14ac:dyDescent="0.2">
      <c r="A23" s="566" t="s">
        <v>959</v>
      </c>
      <c r="B23" s="566"/>
      <c r="C23" s="566"/>
    </row>
    <row r="24" spans="1:3" x14ac:dyDescent="0.2">
      <c r="A24" s="511"/>
      <c r="B24" s="511"/>
      <c r="C24" s="511"/>
    </row>
    <row r="25" spans="1:3" x14ac:dyDescent="0.2">
      <c r="A25" s="512" t="s">
        <v>859</v>
      </c>
      <c r="B25" s="511"/>
      <c r="C25" s="511"/>
    </row>
    <row r="26" spans="1:3" ht="30" customHeight="1" x14ac:dyDescent="0.2">
      <c r="A26" s="566" t="s">
        <v>860</v>
      </c>
      <c r="B26" s="566"/>
      <c r="C26" s="566"/>
    </row>
    <row r="27" spans="1:3" x14ac:dyDescent="0.2">
      <c r="A27" s="511"/>
      <c r="B27" s="511"/>
      <c r="C27" s="511"/>
    </row>
    <row r="28" spans="1:3" x14ac:dyDescent="0.2">
      <c r="A28" s="500" t="s">
        <v>861</v>
      </c>
      <c r="B28" s="192"/>
      <c r="C28" s="192"/>
    </row>
    <row r="29" spans="1:3" x14ac:dyDescent="0.2">
      <c r="A29" s="566" t="s">
        <v>862</v>
      </c>
      <c r="B29" s="566"/>
      <c r="C29" s="566"/>
    </row>
    <row r="30" spans="1:3" x14ac:dyDescent="0.2">
      <c r="A30" s="501" t="s">
        <v>863</v>
      </c>
      <c r="B30" s="192"/>
      <c r="C30" s="192"/>
    </row>
    <row r="31" spans="1:3" x14ac:dyDescent="0.2">
      <c r="A31" s="501"/>
      <c r="B31" s="192"/>
      <c r="C31" s="192"/>
    </row>
    <row r="32" spans="1:3" x14ac:dyDescent="0.2">
      <c r="A32" s="411" t="s">
        <v>864</v>
      </c>
      <c r="B32" s="411"/>
      <c r="C32" s="411"/>
    </row>
    <row r="33" spans="1:3" ht="39" customHeight="1" x14ac:dyDescent="0.2">
      <c r="A33" s="566" t="s">
        <v>958</v>
      </c>
      <c r="B33" s="566"/>
      <c r="C33" s="566"/>
    </row>
    <row r="34" spans="1:3" x14ac:dyDescent="0.2">
      <c r="A34" s="192"/>
      <c r="B34" s="192"/>
      <c r="C34" s="192"/>
    </row>
    <row r="35" spans="1:3" x14ac:dyDescent="0.2">
      <c r="A35" s="411" t="s">
        <v>865</v>
      </c>
      <c r="B35" s="411"/>
      <c r="C35" s="411"/>
    </row>
    <row r="36" spans="1:3" x14ac:dyDescent="0.2">
      <c r="A36" s="411"/>
      <c r="B36" s="411"/>
      <c r="C36" s="411"/>
    </row>
    <row r="37" spans="1:3" x14ac:dyDescent="0.2">
      <c r="A37" s="413" t="s">
        <v>866</v>
      </c>
      <c r="B37" s="413" t="s">
        <v>867</v>
      </c>
      <c r="C37" s="413" t="s">
        <v>868</v>
      </c>
    </row>
    <row r="38" spans="1:3" ht="51" x14ac:dyDescent="0.2">
      <c r="A38" s="502" t="s">
        <v>869</v>
      </c>
      <c r="B38" s="503" t="s">
        <v>953</v>
      </c>
      <c r="C38" s="503" t="s">
        <v>870</v>
      </c>
    </row>
    <row r="39" spans="1:3" ht="127.5" x14ac:dyDescent="0.2">
      <c r="A39" s="502" t="s">
        <v>871</v>
      </c>
      <c r="B39" s="504" t="s">
        <v>947</v>
      </c>
      <c r="C39" s="503" t="s">
        <v>872</v>
      </c>
    </row>
    <row r="40" spans="1:3" ht="51" x14ac:dyDescent="0.2">
      <c r="A40" s="503" t="s">
        <v>873</v>
      </c>
      <c r="B40" s="503" t="s">
        <v>948</v>
      </c>
      <c r="C40" s="502" t="s">
        <v>874</v>
      </c>
    </row>
    <row r="41" spans="1:3" ht="25.5" x14ac:dyDescent="0.2">
      <c r="A41" s="503" t="s">
        <v>875</v>
      </c>
      <c r="B41" s="503" t="s">
        <v>949</v>
      </c>
      <c r="C41" s="502" t="s">
        <v>876</v>
      </c>
    </row>
    <row r="42" spans="1:3" ht="25.5" x14ac:dyDescent="0.2">
      <c r="A42" s="503" t="s">
        <v>877</v>
      </c>
      <c r="B42" s="503" t="s">
        <v>950</v>
      </c>
      <c r="C42" s="503" t="s">
        <v>878</v>
      </c>
    </row>
    <row r="43" spans="1:3" ht="25.5" x14ac:dyDescent="0.2">
      <c r="A43" s="503" t="s">
        <v>879</v>
      </c>
      <c r="B43" s="503" t="s">
        <v>880</v>
      </c>
      <c r="C43" s="502" t="s">
        <v>881</v>
      </c>
    </row>
    <row r="44" spans="1:3" ht="38.25" x14ac:dyDescent="0.2">
      <c r="A44" s="503" t="s">
        <v>952</v>
      </c>
      <c r="B44" s="503" t="s">
        <v>951</v>
      </c>
      <c r="C44" s="503" t="s">
        <v>882</v>
      </c>
    </row>
    <row r="45" spans="1:3" ht="63.75" x14ac:dyDescent="0.2">
      <c r="A45" s="503" t="s">
        <v>883</v>
      </c>
      <c r="B45" s="503" t="s">
        <v>884</v>
      </c>
      <c r="C45" s="502" t="s">
        <v>874</v>
      </c>
    </row>
    <row r="46" spans="1:3" ht="165.75" x14ac:dyDescent="0.2">
      <c r="A46" s="503" t="s">
        <v>944</v>
      </c>
      <c r="B46" s="503" t="s">
        <v>946</v>
      </c>
      <c r="C46" s="505" t="s">
        <v>945</v>
      </c>
    </row>
    <row r="47" spans="1:3" s="213" customFormat="1" ht="38.25" x14ac:dyDescent="0.2">
      <c r="A47" s="503" t="s">
        <v>1008</v>
      </c>
      <c r="B47" s="503" t="s">
        <v>1009</v>
      </c>
      <c r="C47" s="583" t="s">
        <v>636</v>
      </c>
    </row>
    <row r="48" spans="1:3" s="213" customFormat="1" ht="25.5" x14ac:dyDescent="0.2">
      <c r="A48" s="503" t="s">
        <v>1010</v>
      </c>
      <c r="B48" s="503" t="s">
        <v>1011</v>
      </c>
      <c r="C48" s="583" t="s">
        <v>1012</v>
      </c>
    </row>
    <row r="49" spans="1:3" s="213" customFormat="1" ht="38.25" x14ac:dyDescent="0.2">
      <c r="A49" s="503" t="s">
        <v>1013</v>
      </c>
      <c r="B49" s="503" t="s">
        <v>1014</v>
      </c>
      <c r="C49" s="583" t="s">
        <v>1015</v>
      </c>
    </row>
    <row r="50" spans="1:3" s="213" customFormat="1" x14ac:dyDescent="0.2"/>
    <row r="51" spans="1:3" s="213" customFormat="1" x14ac:dyDescent="0.2"/>
    <row r="52" spans="1:3" s="213" customFormat="1" x14ac:dyDescent="0.2"/>
    <row r="56" spans="1:3" x14ac:dyDescent="0.2">
      <c r="A56" s="581"/>
    </row>
  </sheetData>
  <mergeCells count="8">
    <mergeCell ref="A29:C29"/>
    <mergeCell ref="A33:C33"/>
    <mergeCell ref="A15:C15"/>
    <mergeCell ref="A19:C19"/>
    <mergeCell ref="A20:C20"/>
    <mergeCell ref="A22:C22"/>
    <mergeCell ref="A23:C23"/>
    <mergeCell ref="A26:C26"/>
  </mergeCells>
  <pageMargins left="0.7" right="0.7" top="0.75" bottom="0.75" header="0.3" footer="0.3"/>
  <pageSetup paperSize="9" scale="5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view="pageBreakPreview" zoomScaleNormal="100" zoomScaleSheetLayoutView="100" workbookViewId="0"/>
  </sheetViews>
  <sheetFormatPr defaultColWidth="8" defaultRowHeight="12.75" x14ac:dyDescent="0.2"/>
  <cols>
    <col min="1" max="1" width="2.85546875" style="414" customWidth="1"/>
    <col min="2" max="2" width="32.42578125" style="414" bestFit="1" customWidth="1"/>
    <col min="3" max="3" width="9.85546875" style="414" bestFit="1" customWidth="1"/>
    <col min="4" max="4" width="8.85546875" style="414" bestFit="1" customWidth="1"/>
    <col min="5" max="5" width="7.42578125" style="414" bestFit="1" customWidth="1"/>
    <col min="6" max="6" width="8.7109375" style="414" customWidth="1"/>
    <col min="7" max="7" width="8" style="414" bestFit="1" customWidth="1"/>
    <col min="8" max="9" width="7.42578125" style="414" bestFit="1" customWidth="1"/>
    <col min="10" max="10" width="8.85546875" style="414" bestFit="1" customWidth="1"/>
    <col min="11" max="14" width="8.42578125" style="414" bestFit="1" customWidth="1"/>
    <col min="15" max="15" width="8.85546875" style="414" customWidth="1"/>
    <col min="16" max="16" width="10.140625" style="414" bestFit="1" customWidth="1"/>
    <col min="17" max="17" width="8" style="417"/>
    <col min="18" max="256" width="8" style="414"/>
    <col min="257" max="257" width="2.85546875" style="414" customWidth="1"/>
    <col min="258" max="258" width="32.42578125" style="414" bestFit="1" customWidth="1"/>
    <col min="259" max="259" width="9.85546875" style="414" bestFit="1" customWidth="1"/>
    <col min="260" max="260" width="8.85546875" style="414" bestFit="1" customWidth="1"/>
    <col min="261" max="261" width="7.42578125" style="414" bestFit="1" customWidth="1"/>
    <col min="262" max="262" width="8.7109375" style="414" customWidth="1"/>
    <col min="263" max="263" width="8" style="414" bestFit="1" customWidth="1"/>
    <col min="264" max="265" width="7.42578125" style="414" bestFit="1" customWidth="1"/>
    <col min="266" max="266" width="8.85546875" style="414" bestFit="1" customWidth="1"/>
    <col min="267" max="270" width="8.42578125" style="414" bestFit="1" customWidth="1"/>
    <col min="271" max="271" width="8.85546875" style="414" customWidth="1"/>
    <col min="272" max="272" width="10.140625" style="414" bestFit="1" customWidth="1"/>
    <col min="273" max="512" width="8" style="414"/>
    <col min="513" max="513" width="2.85546875" style="414" customWidth="1"/>
    <col min="514" max="514" width="32.42578125" style="414" bestFit="1" customWidth="1"/>
    <col min="515" max="515" width="9.85546875" style="414" bestFit="1" customWidth="1"/>
    <col min="516" max="516" width="8.85546875" style="414" bestFit="1" customWidth="1"/>
    <col min="517" max="517" width="7.42578125" style="414" bestFit="1" customWidth="1"/>
    <col min="518" max="518" width="8.7109375" style="414" customWidth="1"/>
    <col min="519" max="519" width="8" style="414" bestFit="1" customWidth="1"/>
    <col min="520" max="521" width="7.42578125" style="414" bestFit="1" customWidth="1"/>
    <col min="522" max="522" width="8.85546875" style="414" bestFit="1" customWidth="1"/>
    <col min="523" max="526" width="8.42578125" style="414" bestFit="1" customWidth="1"/>
    <col min="527" max="527" width="8.85546875" style="414" customWidth="1"/>
    <col min="528" max="528" width="10.140625" style="414" bestFit="1" customWidth="1"/>
    <col min="529" max="768" width="8" style="414"/>
    <col min="769" max="769" width="2.85546875" style="414" customWidth="1"/>
    <col min="770" max="770" width="32.42578125" style="414" bestFit="1" customWidth="1"/>
    <col min="771" max="771" width="9.85546875" style="414" bestFit="1" customWidth="1"/>
    <col min="772" max="772" width="8.85546875" style="414" bestFit="1" customWidth="1"/>
    <col min="773" max="773" width="7.42578125" style="414" bestFit="1" customWidth="1"/>
    <col min="774" max="774" width="8.7109375" style="414" customWidth="1"/>
    <col min="775" max="775" width="8" style="414" bestFit="1" customWidth="1"/>
    <col min="776" max="777" width="7.42578125" style="414" bestFit="1" customWidth="1"/>
    <col min="778" max="778" width="8.85546875" style="414" bestFit="1" customWidth="1"/>
    <col min="779" max="782" width="8.42578125" style="414" bestFit="1" customWidth="1"/>
    <col min="783" max="783" width="8.85546875" style="414" customWidth="1"/>
    <col min="784" max="784" width="10.140625" style="414" bestFit="1" customWidth="1"/>
    <col min="785" max="1024" width="8" style="414"/>
    <col min="1025" max="1025" width="2.85546875" style="414" customWidth="1"/>
    <col min="1026" max="1026" width="32.42578125" style="414" bestFit="1" customWidth="1"/>
    <col min="1027" max="1027" width="9.85546875" style="414" bestFit="1" customWidth="1"/>
    <col min="1028" max="1028" width="8.85546875" style="414" bestFit="1" customWidth="1"/>
    <col min="1029" max="1029" width="7.42578125" style="414" bestFit="1" customWidth="1"/>
    <col min="1030" max="1030" width="8.7109375" style="414" customWidth="1"/>
    <col min="1031" max="1031" width="8" style="414" bestFit="1" customWidth="1"/>
    <col min="1032" max="1033" width="7.42578125" style="414" bestFit="1" customWidth="1"/>
    <col min="1034" max="1034" width="8.85546875" style="414" bestFit="1" customWidth="1"/>
    <col min="1035" max="1038" width="8.42578125" style="414" bestFit="1" customWidth="1"/>
    <col min="1039" max="1039" width="8.85546875" style="414" customWidth="1"/>
    <col min="1040" max="1040" width="10.140625" style="414" bestFit="1" customWidth="1"/>
    <col min="1041" max="1280" width="8" style="414"/>
    <col min="1281" max="1281" width="2.85546875" style="414" customWidth="1"/>
    <col min="1282" max="1282" width="32.42578125" style="414" bestFit="1" customWidth="1"/>
    <col min="1283" max="1283" width="9.85546875" style="414" bestFit="1" customWidth="1"/>
    <col min="1284" max="1284" width="8.85546875" style="414" bestFit="1" customWidth="1"/>
    <col min="1285" max="1285" width="7.42578125" style="414" bestFit="1" customWidth="1"/>
    <col min="1286" max="1286" width="8.7109375" style="414" customWidth="1"/>
    <col min="1287" max="1287" width="8" style="414" bestFit="1" customWidth="1"/>
    <col min="1288" max="1289" width="7.42578125" style="414" bestFit="1" customWidth="1"/>
    <col min="1290" max="1290" width="8.85546875" style="414" bestFit="1" customWidth="1"/>
    <col min="1291" max="1294" width="8.42578125" style="414" bestFit="1" customWidth="1"/>
    <col min="1295" max="1295" width="8.85546875" style="414" customWidth="1"/>
    <col min="1296" max="1296" width="10.140625" style="414" bestFit="1" customWidth="1"/>
    <col min="1297" max="1536" width="8" style="414"/>
    <col min="1537" max="1537" width="2.85546875" style="414" customWidth="1"/>
    <col min="1538" max="1538" width="32.42578125" style="414" bestFit="1" customWidth="1"/>
    <col min="1539" max="1539" width="9.85546875" style="414" bestFit="1" customWidth="1"/>
    <col min="1540" max="1540" width="8.85546875" style="414" bestFit="1" customWidth="1"/>
    <col min="1541" max="1541" width="7.42578125" style="414" bestFit="1" customWidth="1"/>
    <col min="1542" max="1542" width="8.7109375" style="414" customWidth="1"/>
    <col min="1543" max="1543" width="8" style="414" bestFit="1" customWidth="1"/>
    <col min="1544" max="1545" width="7.42578125" style="414" bestFit="1" customWidth="1"/>
    <col min="1546" max="1546" width="8.85546875" style="414" bestFit="1" customWidth="1"/>
    <col min="1547" max="1550" width="8.42578125" style="414" bestFit="1" customWidth="1"/>
    <col min="1551" max="1551" width="8.85546875" style="414" customWidth="1"/>
    <col min="1552" max="1552" width="10.140625" style="414" bestFit="1" customWidth="1"/>
    <col min="1553" max="1792" width="8" style="414"/>
    <col min="1793" max="1793" width="2.85546875" style="414" customWidth="1"/>
    <col min="1794" max="1794" width="32.42578125" style="414" bestFit="1" customWidth="1"/>
    <col min="1795" max="1795" width="9.85546875" style="414" bestFit="1" customWidth="1"/>
    <col min="1796" max="1796" width="8.85546875" style="414" bestFit="1" customWidth="1"/>
    <col min="1797" max="1797" width="7.42578125" style="414" bestFit="1" customWidth="1"/>
    <col min="1798" max="1798" width="8.7109375" style="414" customWidth="1"/>
    <col min="1799" max="1799" width="8" style="414" bestFit="1" customWidth="1"/>
    <col min="1800" max="1801" width="7.42578125" style="414" bestFit="1" customWidth="1"/>
    <col min="1802" max="1802" width="8.85546875" style="414" bestFit="1" customWidth="1"/>
    <col min="1803" max="1806" width="8.42578125" style="414" bestFit="1" customWidth="1"/>
    <col min="1807" max="1807" width="8.85546875" style="414" customWidth="1"/>
    <col min="1808" max="1808" width="10.140625" style="414" bestFit="1" customWidth="1"/>
    <col min="1809" max="2048" width="8" style="414"/>
    <col min="2049" max="2049" width="2.85546875" style="414" customWidth="1"/>
    <col min="2050" max="2050" width="32.42578125" style="414" bestFit="1" customWidth="1"/>
    <col min="2051" max="2051" width="9.85546875" style="414" bestFit="1" customWidth="1"/>
    <col min="2052" max="2052" width="8.85546875" style="414" bestFit="1" customWidth="1"/>
    <col min="2053" max="2053" width="7.42578125" style="414" bestFit="1" customWidth="1"/>
    <col min="2054" max="2054" width="8.7109375" style="414" customWidth="1"/>
    <col min="2055" max="2055" width="8" style="414" bestFit="1" customWidth="1"/>
    <col min="2056" max="2057" width="7.42578125" style="414" bestFit="1" customWidth="1"/>
    <col min="2058" max="2058" width="8.85546875" style="414" bestFit="1" customWidth="1"/>
    <col min="2059" max="2062" width="8.42578125" style="414" bestFit="1" customWidth="1"/>
    <col min="2063" max="2063" width="8.85546875" style="414" customWidth="1"/>
    <col min="2064" max="2064" width="10.140625" style="414" bestFit="1" customWidth="1"/>
    <col min="2065" max="2304" width="8" style="414"/>
    <col min="2305" max="2305" width="2.85546875" style="414" customWidth="1"/>
    <col min="2306" max="2306" width="32.42578125" style="414" bestFit="1" customWidth="1"/>
    <col min="2307" max="2307" width="9.85546875" style="414" bestFit="1" customWidth="1"/>
    <col min="2308" max="2308" width="8.85546875" style="414" bestFit="1" customWidth="1"/>
    <col min="2309" max="2309" width="7.42578125" style="414" bestFit="1" customWidth="1"/>
    <col min="2310" max="2310" width="8.7109375" style="414" customWidth="1"/>
    <col min="2311" max="2311" width="8" style="414" bestFit="1" customWidth="1"/>
    <col min="2312" max="2313" width="7.42578125" style="414" bestFit="1" customWidth="1"/>
    <col min="2314" max="2314" width="8.85546875" style="414" bestFit="1" customWidth="1"/>
    <col min="2315" max="2318" width="8.42578125" style="414" bestFit="1" customWidth="1"/>
    <col min="2319" max="2319" width="8.85546875" style="414" customWidth="1"/>
    <col min="2320" max="2320" width="10.140625" style="414" bestFit="1" customWidth="1"/>
    <col min="2321" max="2560" width="8" style="414"/>
    <col min="2561" max="2561" width="2.85546875" style="414" customWidth="1"/>
    <col min="2562" max="2562" width="32.42578125" style="414" bestFit="1" customWidth="1"/>
    <col min="2563" max="2563" width="9.85546875" style="414" bestFit="1" customWidth="1"/>
    <col min="2564" max="2564" width="8.85546875" style="414" bestFit="1" customWidth="1"/>
    <col min="2565" max="2565" width="7.42578125" style="414" bestFit="1" customWidth="1"/>
    <col min="2566" max="2566" width="8.7109375" style="414" customWidth="1"/>
    <col min="2567" max="2567" width="8" style="414" bestFit="1" customWidth="1"/>
    <col min="2568" max="2569" width="7.42578125" style="414" bestFit="1" customWidth="1"/>
    <col min="2570" max="2570" width="8.85546875" style="414" bestFit="1" customWidth="1"/>
    <col min="2571" max="2574" width="8.42578125" style="414" bestFit="1" customWidth="1"/>
    <col min="2575" max="2575" width="8.85546875" style="414" customWidth="1"/>
    <col min="2576" max="2576" width="10.140625" style="414" bestFit="1" customWidth="1"/>
    <col min="2577" max="2816" width="8" style="414"/>
    <col min="2817" max="2817" width="2.85546875" style="414" customWidth="1"/>
    <col min="2818" max="2818" width="32.42578125" style="414" bestFit="1" customWidth="1"/>
    <col min="2819" max="2819" width="9.85546875" style="414" bestFit="1" customWidth="1"/>
    <col min="2820" max="2820" width="8.85546875" style="414" bestFit="1" customWidth="1"/>
    <col min="2821" max="2821" width="7.42578125" style="414" bestFit="1" customWidth="1"/>
    <col min="2822" max="2822" width="8.7109375" style="414" customWidth="1"/>
    <col min="2823" max="2823" width="8" style="414" bestFit="1" customWidth="1"/>
    <col min="2824" max="2825" width="7.42578125" style="414" bestFit="1" customWidth="1"/>
    <col min="2826" max="2826" width="8.85546875" style="414" bestFit="1" customWidth="1"/>
    <col min="2827" max="2830" width="8.42578125" style="414" bestFit="1" customWidth="1"/>
    <col min="2831" max="2831" width="8.85546875" style="414" customWidth="1"/>
    <col min="2832" max="2832" width="10.140625" style="414" bestFit="1" customWidth="1"/>
    <col min="2833" max="3072" width="8" style="414"/>
    <col min="3073" max="3073" width="2.85546875" style="414" customWidth="1"/>
    <col min="3074" max="3074" width="32.42578125" style="414" bestFit="1" customWidth="1"/>
    <col min="3075" max="3075" width="9.85546875" style="414" bestFit="1" customWidth="1"/>
    <col min="3076" max="3076" width="8.85546875" style="414" bestFit="1" customWidth="1"/>
    <col min="3077" max="3077" width="7.42578125" style="414" bestFit="1" customWidth="1"/>
    <col min="3078" max="3078" width="8.7109375" style="414" customWidth="1"/>
    <col min="3079" max="3079" width="8" style="414" bestFit="1" customWidth="1"/>
    <col min="3080" max="3081" width="7.42578125" style="414" bestFit="1" customWidth="1"/>
    <col min="3082" max="3082" width="8.85546875" style="414" bestFit="1" customWidth="1"/>
    <col min="3083" max="3086" width="8.42578125" style="414" bestFit="1" customWidth="1"/>
    <col min="3087" max="3087" width="8.85546875" style="414" customWidth="1"/>
    <col min="3088" max="3088" width="10.140625" style="414" bestFit="1" customWidth="1"/>
    <col min="3089" max="3328" width="8" style="414"/>
    <col min="3329" max="3329" width="2.85546875" style="414" customWidth="1"/>
    <col min="3330" max="3330" width="32.42578125" style="414" bestFit="1" customWidth="1"/>
    <col min="3331" max="3331" width="9.85546875" style="414" bestFit="1" customWidth="1"/>
    <col min="3332" max="3332" width="8.85546875" style="414" bestFit="1" customWidth="1"/>
    <col min="3333" max="3333" width="7.42578125" style="414" bestFit="1" customWidth="1"/>
    <col min="3334" max="3334" width="8.7109375" style="414" customWidth="1"/>
    <col min="3335" max="3335" width="8" style="414" bestFit="1" customWidth="1"/>
    <col min="3336" max="3337" width="7.42578125" style="414" bestFit="1" customWidth="1"/>
    <col min="3338" max="3338" width="8.85546875" style="414" bestFit="1" customWidth="1"/>
    <col min="3339" max="3342" width="8.42578125" style="414" bestFit="1" customWidth="1"/>
    <col min="3343" max="3343" width="8.85546875" style="414" customWidth="1"/>
    <col min="3344" max="3344" width="10.140625" style="414" bestFit="1" customWidth="1"/>
    <col min="3345" max="3584" width="8" style="414"/>
    <col min="3585" max="3585" width="2.85546875" style="414" customWidth="1"/>
    <col min="3586" max="3586" width="32.42578125" style="414" bestFit="1" customWidth="1"/>
    <col min="3587" max="3587" width="9.85546875" style="414" bestFit="1" customWidth="1"/>
    <col min="3588" max="3588" width="8.85546875" style="414" bestFit="1" customWidth="1"/>
    <col min="3589" max="3589" width="7.42578125" style="414" bestFit="1" customWidth="1"/>
    <col min="3590" max="3590" width="8.7109375" style="414" customWidth="1"/>
    <col min="3591" max="3591" width="8" style="414" bestFit="1" customWidth="1"/>
    <col min="3592" max="3593" width="7.42578125" style="414" bestFit="1" customWidth="1"/>
    <col min="3594" max="3594" width="8.85546875" style="414" bestFit="1" customWidth="1"/>
    <col min="3595" max="3598" width="8.42578125" style="414" bestFit="1" customWidth="1"/>
    <col min="3599" max="3599" width="8.85546875" style="414" customWidth="1"/>
    <col min="3600" max="3600" width="10.140625" style="414" bestFit="1" customWidth="1"/>
    <col min="3601" max="3840" width="8" style="414"/>
    <col min="3841" max="3841" width="2.85546875" style="414" customWidth="1"/>
    <col min="3842" max="3842" width="32.42578125" style="414" bestFit="1" customWidth="1"/>
    <col min="3843" max="3843" width="9.85546875" style="414" bestFit="1" customWidth="1"/>
    <col min="3844" max="3844" width="8.85546875" style="414" bestFit="1" customWidth="1"/>
    <col min="3845" max="3845" width="7.42578125" style="414" bestFit="1" customWidth="1"/>
    <col min="3846" max="3846" width="8.7109375" style="414" customWidth="1"/>
    <col min="3847" max="3847" width="8" style="414" bestFit="1" customWidth="1"/>
    <col min="3848" max="3849" width="7.42578125" style="414" bestFit="1" customWidth="1"/>
    <col min="3850" max="3850" width="8.85546875" style="414" bestFit="1" customWidth="1"/>
    <col min="3851" max="3854" width="8.42578125" style="414" bestFit="1" customWidth="1"/>
    <col min="3855" max="3855" width="8.85546875" style="414" customWidth="1"/>
    <col min="3856" max="3856" width="10.140625" style="414" bestFit="1" customWidth="1"/>
    <col min="3857" max="4096" width="8" style="414"/>
    <col min="4097" max="4097" width="2.85546875" style="414" customWidth="1"/>
    <col min="4098" max="4098" width="32.42578125" style="414" bestFit="1" customWidth="1"/>
    <col min="4099" max="4099" width="9.85546875" style="414" bestFit="1" customWidth="1"/>
    <col min="4100" max="4100" width="8.85546875" style="414" bestFit="1" customWidth="1"/>
    <col min="4101" max="4101" width="7.42578125" style="414" bestFit="1" customWidth="1"/>
    <col min="4102" max="4102" width="8.7109375" style="414" customWidth="1"/>
    <col min="4103" max="4103" width="8" style="414" bestFit="1" customWidth="1"/>
    <col min="4104" max="4105" width="7.42578125" style="414" bestFit="1" customWidth="1"/>
    <col min="4106" max="4106" width="8.85546875" style="414" bestFit="1" customWidth="1"/>
    <col min="4107" max="4110" width="8.42578125" style="414" bestFit="1" customWidth="1"/>
    <col min="4111" max="4111" width="8.85546875" style="414" customWidth="1"/>
    <col min="4112" max="4112" width="10.140625" style="414" bestFit="1" customWidth="1"/>
    <col min="4113" max="4352" width="8" style="414"/>
    <col min="4353" max="4353" width="2.85546875" style="414" customWidth="1"/>
    <col min="4354" max="4354" width="32.42578125" style="414" bestFit="1" customWidth="1"/>
    <col min="4355" max="4355" width="9.85546875" style="414" bestFit="1" customWidth="1"/>
    <col min="4356" max="4356" width="8.85546875" style="414" bestFit="1" customWidth="1"/>
    <col min="4357" max="4357" width="7.42578125" style="414" bestFit="1" customWidth="1"/>
    <col min="4358" max="4358" width="8.7109375" style="414" customWidth="1"/>
    <col min="4359" max="4359" width="8" style="414" bestFit="1" customWidth="1"/>
    <col min="4360" max="4361" width="7.42578125" style="414" bestFit="1" customWidth="1"/>
    <col min="4362" max="4362" width="8.85546875" style="414" bestFit="1" customWidth="1"/>
    <col min="4363" max="4366" width="8.42578125" style="414" bestFit="1" customWidth="1"/>
    <col min="4367" max="4367" width="8.85546875" style="414" customWidth="1"/>
    <col min="4368" max="4368" width="10.140625" style="414" bestFit="1" customWidth="1"/>
    <col min="4369" max="4608" width="8" style="414"/>
    <col min="4609" max="4609" width="2.85546875" style="414" customWidth="1"/>
    <col min="4610" max="4610" width="32.42578125" style="414" bestFit="1" customWidth="1"/>
    <col min="4611" max="4611" width="9.85546875" style="414" bestFit="1" customWidth="1"/>
    <col min="4612" max="4612" width="8.85546875" style="414" bestFit="1" customWidth="1"/>
    <col min="4613" max="4613" width="7.42578125" style="414" bestFit="1" customWidth="1"/>
    <col min="4614" max="4614" width="8.7109375" style="414" customWidth="1"/>
    <col min="4615" max="4615" width="8" style="414" bestFit="1" customWidth="1"/>
    <col min="4616" max="4617" width="7.42578125" style="414" bestFit="1" customWidth="1"/>
    <col min="4618" max="4618" width="8.85546875" style="414" bestFit="1" customWidth="1"/>
    <col min="4619" max="4622" width="8.42578125" style="414" bestFit="1" customWidth="1"/>
    <col min="4623" max="4623" width="8.85546875" style="414" customWidth="1"/>
    <col min="4624" max="4624" width="10.140625" style="414" bestFit="1" customWidth="1"/>
    <col min="4625" max="4864" width="8" style="414"/>
    <col min="4865" max="4865" width="2.85546875" style="414" customWidth="1"/>
    <col min="4866" max="4866" width="32.42578125" style="414" bestFit="1" customWidth="1"/>
    <col min="4867" max="4867" width="9.85546875" style="414" bestFit="1" customWidth="1"/>
    <col min="4868" max="4868" width="8.85546875" style="414" bestFit="1" customWidth="1"/>
    <col min="4869" max="4869" width="7.42578125" style="414" bestFit="1" customWidth="1"/>
    <col min="4870" max="4870" width="8.7109375" style="414" customWidth="1"/>
    <col min="4871" max="4871" width="8" style="414" bestFit="1" customWidth="1"/>
    <col min="4872" max="4873" width="7.42578125" style="414" bestFit="1" customWidth="1"/>
    <col min="4874" max="4874" width="8.85546875" style="414" bestFit="1" customWidth="1"/>
    <col min="4875" max="4878" width="8.42578125" style="414" bestFit="1" customWidth="1"/>
    <col min="4879" max="4879" width="8.85546875" style="414" customWidth="1"/>
    <col min="4880" max="4880" width="10.140625" style="414" bestFit="1" customWidth="1"/>
    <col min="4881" max="5120" width="8" style="414"/>
    <col min="5121" max="5121" width="2.85546875" style="414" customWidth="1"/>
    <col min="5122" max="5122" width="32.42578125" style="414" bestFit="1" customWidth="1"/>
    <col min="5123" max="5123" width="9.85546875" style="414" bestFit="1" customWidth="1"/>
    <col min="5124" max="5124" width="8.85546875" style="414" bestFit="1" customWidth="1"/>
    <col min="5125" max="5125" width="7.42578125" style="414" bestFit="1" customWidth="1"/>
    <col min="5126" max="5126" width="8.7109375" style="414" customWidth="1"/>
    <col min="5127" max="5127" width="8" style="414" bestFit="1" customWidth="1"/>
    <col min="5128" max="5129" width="7.42578125" style="414" bestFit="1" customWidth="1"/>
    <col min="5130" max="5130" width="8.85546875" style="414" bestFit="1" customWidth="1"/>
    <col min="5131" max="5134" width="8.42578125" style="414" bestFit="1" customWidth="1"/>
    <col min="5135" max="5135" width="8.85546875" style="414" customWidth="1"/>
    <col min="5136" max="5136" width="10.140625" style="414" bestFit="1" customWidth="1"/>
    <col min="5137" max="5376" width="8" style="414"/>
    <col min="5377" max="5377" width="2.85546875" style="414" customWidth="1"/>
    <col min="5378" max="5378" width="32.42578125" style="414" bestFit="1" customWidth="1"/>
    <col min="5379" max="5379" width="9.85546875" style="414" bestFit="1" customWidth="1"/>
    <col min="5380" max="5380" width="8.85546875" style="414" bestFit="1" customWidth="1"/>
    <col min="5381" max="5381" width="7.42578125" style="414" bestFit="1" customWidth="1"/>
    <col min="5382" max="5382" width="8.7109375" style="414" customWidth="1"/>
    <col min="5383" max="5383" width="8" style="414" bestFit="1" customWidth="1"/>
    <col min="5384" max="5385" width="7.42578125" style="414" bestFit="1" customWidth="1"/>
    <col min="5386" max="5386" width="8.85546875" style="414" bestFit="1" customWidth="1"/>
    <col min="5387" max="5390" width="8.42578125" style="414" bestFit="1" customWidth="1"/>
    <col min="5391" max="5391" width="8.85546875" style="414" customWidth="1"/>
    <col min="5392" max="5392" width="10.140625" style="414" bestFit="1" customWidth="1"/>
    <col min="5393" max="5632" width="8" style="414"/>
    <col min="5633" max="5633" width="2.85546875" style="414" customWidth="1"/>
    <col min="5634" max="5634" width="32.42578125" style="414" bestFit="1" customWidth="1"/>
    <col min="5635" max="5635" width="9.85546875" style="414" bestFit="1" customWidth="1"/>
    <col min="5636" max="5636" width="8.85546875" style="414" bestFit="1" customWidth="1"/>
    <col min="5637" max="5637" width="7.42578125" style="414" bestFit="1" customWidth="1"/>
    <col min="5638" max="5638" width="8.7109375" style="414" customWidth="1"/>
    <col min="5639" max="5639" width="8" style="414" bestFit="1" customWidth="1"/>
    <col min="5640" max="5641" width="7.42578125" style="414" bestFit="1" customWidth="1"/>
    <col min="5642" max="5642" width="8.85546875" style="414" bestFit="1" customWidth="1"/>
    <col min="5643" max="5646" width="8.42578125" style="414" bestFit="1" customWidth="1"/>
    <col min="5647" max="5647" width="8.85546875" style="414" customWidth="1"/>
    <col min="5648" max="5648" width="10.140625" style="414" bestFit="1" customWidth="1"/>
    <col min="5649" max="5888" width="8" style="414"/>
    <col min="5889" max="5889" width="2.85546875" style="414" customWidth="1"/>
    <col min="5890" max="5890" width="32.42578125" style="414" bestFit="1" customWidth="1"/>
    <col min="5891" max="5891" width="9.85546875" style="414" bestFit="1" customWidth="1"/>
    <col min="5892" max="5892" width="8.85546875" style="414" bestFit="1" customWidth="1"/>
    <col min="5893" max="5893" width="7.42578125" style="414" bestFit="1" customWidth="1"/>
    <col min="5894" max="5894" width="8.7109375" style="414" customWidth="1"/>
    <col min="5895" max="5895" width="8" style="414" bestFit="1" customWidth="1"/>
    <col min="5896" max="5897" width="7.42578125" style="414" bestFit="1" customWidth="1"/>
    <col min="5898" max="5898" width="8.85546875" style="414" bestFit="1" customWidth="1"/>
    <col min="5899" max="5902" width="8.42578125" style="414" bestFit="1" customWidth="1"/>
    <col min="5903" max="5903" width="8.85546875" style="414" customWidth="1"/>
    <col min="5904" max="5904" width="10.140625" style="414" bestFit="1" customWidth="1"/>
    <col min="5905" max="6144" width="8" style="414"/>
    <col min="6145" max="6145" width="2.85546875" style="414" customWidth="1"/>
    <col min="6146" max="6146" width="32.42578125" style="414" bestFit="1" customWidth="1"/>
    <col min="6147" max="6147" width="9.85546875" style="414" bestFit="1" customWidth="1"/>
    <col min="6148" max="6148" width="8.85546875" style="414" bestFit="1" customWidth="1"/>
    <col min="6149" max="6149" width="7.42578125" style="414" bestFit="1" customWidth="1"/>
    <col min="6150" max="6150" width="8.7109375" style="414" customWidth="1"/>
    <col min="6151" max="6151" width="8" style="414" bestFit="1" customWidth="1"/>
    <col min="6152" max="6153" width="7.42578125" style="414" bestFit="1" customWidth="1"/>
    <col min="6154" max="6154" width="8.85546875" style="414" bestFit="1" customWidth="1"/>
    <col min="6155" max="6158" width="8.42578125" style="414" bestFit="1" customWidth="1"/>
    <col min="6159" max="6159" width="8.85546875" style="414" customWidth="1"/>
    <col min="6160" max="6160" width="10.140625" style="414" bestFit="1" customWidth="1"/>
    <col min="6161" max="6400" width="8" style="414"/>
    <col min="6401" max="6401" width="2.85546875" style="414" customWidth="1"/>
    <col min="6402" max="6402" width="32.42578125" style="414" bestFit="1" customWidth="1"/>
    <col min="6403" max="6403" width="9.85546875" style="414" bestFit="1" customWidth="1"/>
    <col min="6404" max="6404" width="8.85546875" style="414" bestFit="1" customWidth="1"/>
    <col min="6405" max="6405" width="7.42578125" style="414" bestFit="1" customWidth="1"/>
    <col min="6406" max="6406" width="8.7109375" style="414" customWidth="1"/>
    <col min="6407" max="6407" width="8" style="414" bestFit="1" customWidth="1"/>
    <col min="6408" max="6409" width="7.42578125" style="414" bestFit="1" customWidth="1"/>
    <col min="6410" max="6410" width="8.85546875" style="414" bestFit="1" customWidth="1"/>
    <col min="6411" max="6414" width="8.42578125" style="414" bestFit="1" customWidth="1"/>
    <col min="6415" max="6415" width="8.85546875" style="414" customWidth="1"/>
    <col min="6416" max="6416" width="10.140625" style="414" bestFit="1" customWidth="1"/>
    <col min="6417" max="6656" width="8" style="414"/>
    <col min="6657" max="6657" width="2.85546875" style="414" customWidth="1"/>
    <col min="6658" max="6658" width="32.42578125" style="414" bestFit="1" customWidth="1"/>
    <col min="6659" max="6659" width="9.85546875" style="414" bestFit="1" customWidth="1"/>
    <col min="6660" max="6660" width="8.85546875" style="414" bestFit="1" customWidth="1"/>
    <col min="6661" max="6661" width="7.42578125" style="414" bestFit="1" customWidth="1"/>
    <col min="6662" max="6662" width="8.7109375" style="414" customWidth="1"/>
    <col min="6663" max="6663" width="8" style="414" bestFit="1" customWidth="1"/>
    <col min="6664" max="6665" width="7.42578125" style="414" bestFit="1" customWidth="1"/>
    <col min="6666" max="6666" width="8.85546875" style="414" bestFit="1" customWidth="1"/>
    <col min="6667" max="6670" width="8.42578125" style="414" bestFit="1" customWidth="1"/>
    <col min="6671" max="6671" width="8.85546875" style="414" customWidth="1"/>
    <col min="6672" max="6672" width="10.140625" style="414" bestFit="1" customWidth="1"/>
    <col min="6673" max="6912" width="8" style="414"/>
    <col min="6913" max="6913" width="2.85546875" style="414" customWidth="1"/>
    <col min="6914" max="6914" width="32.42578125" style="414" bestFit="1" customWidth="1"/>
    <col min="6915" max="6915" width="9.85546875" style="414" bestFit="1" customWidth="1"/>
    <col min="6916" max="6916" width="8.85546875" style="414" bestFit="1" customWidth="1"/>
    <col min="6917" max="6917" width="7.42578125" style="414" bestFit="1" customWidth="1"/>
    <col min="6918" max="6918" width="8.7109375" style="414" customWidth="1"/>
    <col min="6919" max="6919" width="8" style="414" bestFit="1" customWidth="1"/>
    <col min="6920" max="6921" width="7.42578125" style="414" bestFit="1" customWidth="1"/>
    <col min="6922" max="6922" width="8.85546875" style="414" bestFit="1" customWidth="1"/>
    <col min="6923" max="6926" width="8.42578125" style="414" bestFit="1" customWidth="1"/>
    <col min="6927" max="6927" width="8.85546875" style="414" customWidth="1"/>
    <col min="6928" max="6928" width="10.140625" style="414" bestFit="1" customWidth="1"/>
    <col min="6929" max="7168" width="8" style="414"/>
    <col min="7169" max="7169" width="2.85546875" style="414" customWidth="1"/>
    <col min="7170" max="7170" width="32.42578125" style="414" bestFit="1" customWidth="1"/>
    <col min="7171" max="7171" width="9.85546875" style="414" bestFit="1" customWidth="1"/>
    <col min="7172" max="7172" width="8.85546875" style="414" bestFit="1" customWidth="1"/>
    <col min="7173" max="7173" width="7.42578125" style="414" bestFit="1" customWidth="1"/>
    <col min="7174" max="7174" width="8.7109375" style="414" customWidth="1"/>
    <col min="7175" max="7175" width="8" style="414" bestFit="1" customWidth="1"/>
    <col min="7176" max="7177" width="7.42578125" style="414" bestFit="1" customWidth="1"/>
    <col min="7178" max="7178" width="8.85546875" style="414" bestFit="1" customWidth="1"/>
    <col min="7179" max="7182" width="8.42578125" style="414" bestFit="1" customWidth="1"/>
    <col min="7183" max="7183" width="8.85546875" style="414" customWidth="1"/>
    <col min="7184" max="7184" width="10.140625" style="414" bestFit="1" customWidth="1"/>
    <col min="7185" max="7424" width="8" style="414"/>
    <col min="7425" max="7425" width="2.85546875" style="414" customWidth="1"/>
    <col min="7426" max="7426" width="32.42578125" style="414" bestFit="1" customWidth="1"/>
    <col min="7427" max="7427" width="9.85546875" style="414" bestFit="1" customWidth="1"/>
    <col min="7428" max="7428" width="8.85546875" style="414" bestFit="1" customWidth="1"/>
    <col min="7429" max="7429" width="7.42578125" style="414" bestFit="1" customWidth="1"/>
    <col min="7430" max="7430" width="8.7109375" style="414" customWidth="1"/>
    <col min="7431" max="7431" width="8" style="414" bestFit="1" customWidth="1"/>
    <col min="7432" max="7433" width="7.42578125" style="414" bestFit="1" customWidth="1"/>
    <col min="7434" max="7434" width="8.85546875" style="414" bestFit="1" customWidth="1"/>
    <col min="7435" max="7438" width="8.42578125" style="414" bestFit="1" customWidth="1"/>
    <col min="7439" max="7439" width="8.85546875" style="414" customWidth="1"/>
    <col min="7440" max="7440" width="10.140625" style="414" bestFit="1" customWidth="1"/>
    <col min="7441" max="7680" width="8" style="414"/>
    <col min="7681" max="7681" width="2.85546875" style="414" customWidth="1"/>
    <col min="7682" max="7682" width="32.42578125" style="414" bestFit="1" customWidth="1"/>
    <col min="7683" max="7683" width="9.85546875" style="414" bestFit="1" customWidth="1"/>
    <col min="7684" max="7684" width="8.85546875" style="414" bestFit="1" customWidth="1"/>
    <col min="7685" max="7685" width="7.42578125" style="414" bestFit="1" customWidth="1"/>
    <col min="7686" max="7686" width="8.7109375" style="414" customWidth="1"/>
    <col min="7687" max="7687" width="8" style="414" bestFit="1" customWidth="1"/>
    <col min="7688" max="7689" width="7.42578125" style="414" bestFit="1" customWidth="1"/>
    <col min="7690" max="7690" width="8.85546875" style="414" bestFit="1" customWidth="1"/>
    <col min="7691" max="7694" width="8.42578125" style="414" bestFit="1" customWidth="1"/>
    <col min="7695" max="7695" width="8.85546875" style="414" customWidth="1"/>
    <col min="7696" max="7696" width="10.140625" style="414" bestFit="1" customWidth="1"/>
    <col min="7697" max="7936" width="8" style="414"/>
    <col min="7937" max="7937" width="2.85546875" style="414" customWidth="1"/>
    <col min="7938" max="7938" width="32.42578125" style="414" bestFit="1" customWidth="1"/>
    <col min="7939" max="7939" width="9.85546875" style="414" bestFit="1" customWidth="1"/>
    <col min="7940" max="7940" width="8.85546875" style="414" bestFit="1" customWidth="1"/>
    <col min="7941" max="7941" width="7.42578125" style="414" bestFit="1" customWidth="1"/>
    <col min="7942" max="7942" width="8.7109375" style="414" customWidth="1"/>
    <col min="7943" max="7943" width="8" style="414" bestFit="1" customWidth="1"/>
    <col min="7944" max="7945" width="7.42578125" style="414" bestFit="1" customWidth="1"/>
    <col min="7946" max="7946" width="8.85546875" style="414" bestFit="1" customWidth="1"/>
    <col min="7947" max="7950" width="8.42578125" style="414" bestFit="1" customWidth="1"/>
    <col min="7951" max="7951" width="8.85546875" style="414" customWidth="1"/>
    <col min="7952" max="7952" width="10.140625" style="414" bestFit="1" customWidth="1"/>
    <col min="7953" max="8192" width="8" style="414"/>
    <col min="8193" max="8193" width="2.85546875" style="414" customWidth="1"/>
    <col min="8194" max="8194" width="32.42578125" style="414" bestFit="1" customWidth="1"/>
    <col min="8195" max="8195" width="9.85546875" style="414" bestFit="1" customWidth="1"/>
    <col min="8196" max="8196" width="8.85546875" style="414" bestFit="1" customWidth="1"/>
    <col min="8197" max="8197" width="7.42578125" style="414" bestFit="1" customWidth="1"/>
    <col min="8198" max="8198" width="8.7109375" style="414" customWidth="1"/>
    <col min="8199" max="8199" width="8" style="414" bestFit="1" customWidth="1"/>
    <col min="8200" max="8201" width="7.42578125" style="414" bestFit="1" customWidth="1"/>
    <col min="8202" max="8202" width="8.85546875" style="414" bestFit="1" customWidth="1"/>
    <col min="8203" max="8206" width="8.42578125" style="414" bestFit="1" customWidth="1"/>
    <col min="8207" max="8207" width="8.85546875" style="414" customWidth="1"/>
    <col min="8208" max="8208" width="10.140625" style="414" bestFit="1" customWidth="1"/>
    <col min="8209" max="8448" width="8" style="414"/>
    <col min="8449" max="8449" width="2.85546875" style="414" customWidth="1"/>
    <col min="8450" max="8450" width="32.42578125" style="414" bestFit="1" customWidth="1"/>
    <col min="8451" max="8451" width="9.85546875" style="414" bestFit="1" customWidth="1"/>
    <col min="8452" max="8452" width="8.85546875" style="414" bestFit="1" customWidth="1"/>
    <col min="8453" max="8453" width="7.42578125" style="414" bestFit="1" customWidth="1"/>
    <col min="8454" max="8454" width="8.7109375" style="414" customWidth="1"/>
    <col min="8455" max="8455" width="8" style="414" bestFit="1" customWidth="1"/>
    <col min="8456" max="8457" width="7.42578125" style="414" bestFit="1" customWidth="1"/>
    <col min="8458" max="8458" width="8.85546875" style="414" bestFit="1" customWidth="1"/>
    <col min="8459" max="8462" width="8.42578125" style="414" bestFit="1" customWidth="1"/>
    <col min="8463" max="8463" width="8.85546875" style="414" customWidth="1"/>
    <col min="8464" max="8464" width="10.140625" style="414" bestFit="1" customWidth="1"/>
    <col min="8465" max="8704" width="8" style="414"/>
    <col min="8705" max="8705" width="2.85546875" style="414" customWidth="1"/>
    <col min="8706" max="8706" width="32.42578125" style="414" bestFit="1" customWidth="1"/>
    <col min="8707" max="8707" width="9.85546875" style="414" bestFit="1" customWidth="1"/>
    <col min="8708" max="8708" width="8.85546875" style="414" bestFit="1" customWidth="1"/>
    <col min="8709" max="8709" width="7.42578125" style="414" bestFit="1" customWidth="1"/>
    <col min="8710" max="8710" width="8.7109375" style="414" customWidth="1"/>
    <col min="8711" max="8711" width="8" style="414" bestFit="1" customWidth="1"/>
    <col min="8712" max="8713" width="7.42578125" style="414" bestFit="1" customWidth="1"/>
    <col min="8714" max="8714" width="8.85546875" style="414" bestFit="1" customWidth="1"/>
    <col min="8715" max="8718" width="8.42578125" style="414" bestFit="1" customWidth="1"/>
    <col min="8719" max="8719" width="8.85546875" style="414" customWidth="1"/>
    <col min="8720" max="8720" width="10.140625" style="414" bestFit="1" customWidth="1"/>
    <col min="8721" max="8960" width="8" style="414"/>
    <col min="8961" max="8961" width="2.85546875" style="414" customWidth="1"/>
    <col min="8962" max="8962" width="32.42578125" style="414" bestFit="1" customWidth="1"/>
    <col min="8963" max="8963" width="9.85546875" style="414" bestFit="1" customWidth="1"/>
    <col min="8964" max="8964" width="8.85546875" style="414" bestFit="1" customWidth="1"/>
    <col min="8965" max="8965" width="7.42578125" style="414" bestFit="1" customWidth="1"/>
    <col min="8966" max="8966" width="8.7109375" style="414" customWidth="1"/>
    <col min="8967" max="8967" width="8" style="414" bestFit="1" customWidth="1"/>
    <col min="8968" max="8969" width="7.42578125" style="414" bestFit="1" customWidth="1"/>
    <col min="8970" max="8970" width="8.85546875" style="414" bestFit="1" customWidth="1"/>
    <col min="8971" max="8974" width="8.42578125" style="414" bestFit="1" customWidth="1"/>
    <col min="8975" max="8975" width="8.85546875" style="414" customWidth="1"/>
    <col min="8976" max="8976" width="10.140625" style="414" bestFit="1" customWidth="1"/>
    <col min="8977" max="9216" width="8" style="414"/>
    <col min="9217" max="9217" width="2.85546875" style="414" customWidth="1"/>
    <col min="9218" max="9218" width="32.42578125" style="414" bestFit="1" customWidth="1"/>
    <col min="9219" max="9219" width="9.85546875" style="414" bestFit="1" customWidth="1"/>
    <col min="9220" max="9220" width="8.85546875" style="414" bestFit="1" customWidth="1"/>
    <col min="9221" max="9221" width="7.42578125" style="414" bestFit="1" customWidth="1"/>
    <col min="9222" max="9222" width="8.7109375" style="414" customWidth="1"/>
    <col min="9223" max="9223" width="8" style="414" bestFit="1" customWidth="1"/>
    <col min="9224" max="9225" width="7.42578125" style="414" bestFit="1" customWidth="1"/>
    <col min="9226" max="9226" width="8.85546875" style="414" bestFit="1" customWidth="1"/>
    <col min="9227" max="9230" width="8.42578125" style="414" bestFit="1" customWidth="1"/>
    <col min="9231" max="9231" width="8.85546875" style="414" customWidth="1"/>
    <col min="9232" max="9232" width="10.140625" style="414" bestFit="1" customWidth="1"/>
    <col min="9233" max="9472" width="8" style="414"/>
    <col min="9473" max="9473" width="2.85546875" style="414" customWidth="1"/>
    <col min="9474" max="9474" width="32.42578125" style="414" bestFit="1" customWidth="1"/>
    <col min="9475" max="9475" width="9.85546875" style="414" bestFit="1" customWidth="1"/>
    <col min="9476" max="9476" width="8.85546875" style="414" bestFit="1" customWidth="1"/>
    <col min="9477" max="9477" width="7.42578125" style="414" bestFit="1" customWidth="1"/>
    <col min="9478" max="9478" width="8.7109375" style="414" customWidth="1"/>
    <col min="9479" max="9479" width="8" style="414" bestFit="1" customWidth="1"/>
    <col min="9480" max="9481" width="7.42578125" style="414" bestFit="1" customWidth="1"/>
    <col min="9482" max="9482" width="8.85546875" style="414" bestFit="1" customWidth="1"/>
    <col min="9483" max="9486" width="8.42578125" style="414" bestFit="1" customWidth="1"/>
    <col min="9487" max="9487" width="8.85546875" style="414" customWidth="1"/>
    <col min="9488" max="9488" width="10.140625" style="414" bestFit="1" customWidth="1"/>
    <col min="9489" max="9728" width="8" style="414"/>
    <col min="9729" max="9729" width="2.85546875" style="414" customWidth="1"/>
    <col min="9730" max="9730" width="32.42578125" style="414" bestFit="1" customWidth="1"/>
    <col min="9731" max="9731" width="9.85546875" style="414" bestFit="1" customWidth="1"/>
    <col min="9732" max="9732" width="8.85546875" style="414" bestFit="1" customWidth="1"/>
    <col min="9733" max="9733" width="7.42578125" style="414" bestFit="1" customWidth="1"/>
    <col min="9734" max="9734" width="8.7109375" style="414" customWidth="1"/>
    <col min="9735" max="9735" width="8" style="414" bestFit="1" customWidth="1"/>
    <col min="9736" max="9737" width="7.42578125" style="414" bestFit="1" customWidth="1"/>
    <col min="9738" max="9738" width="8.85546875" style="414" bestFit="1" customWidth="1"/>
    <col min="9739" max="9742" width="8.42578125" style="414" bestFit="1" customWidth="1"/>
    <col min="9743" max="9743" width="8.85546875" style="414" customWidth="1"/>
    <col min="9744" max="9744" width="10.140625" style="414" bestFit="1" customWidth="1"/>
    <col min="9745" max="9984" width="8" style="414"/>
    <col min="9985" max="9985" width="2.85546875" style="414" customWidth="1"/>
    <col min="9986" max="9986" width="32.42578125" style="414" bestFit="1" customWidth="1"/>
    <col min="9987" max="9987" width="9.85546875" style="414" bestFit="1" customWidth="1"/>
    <col min="9988" max="9988" width="8.85546875" style="414" bestFit="1" customWidth="1"/>
    <col min="9989" max="9989" width="7.42578125" style="414" bestFit="1" customWidth="1"/>
    <col min="9990" max="9990" width="8.7109375" style="414" customWidth="1"/>
    <col min="9991" max="9991" width="8" style="414" bestFit="1" customWidth="1"/>
    <col min="9992" max="9993" width="7.42578125" style="414" bestFit="1" customWidth="1"/>
    <col min="9994" max="9994" width="8.85546875" style="414" bestFit="1" customWidth="1"/>
    <col min="9995" max="9998" width="8.42578125" style="414" bestFit="1" customWidth="1"/>
    <col min="9999" max="9999" width="8.85546875" style="414" customWidth="1"/>
    <col min="10000" max="10000" width="10.140625" style="414" bestFit="1" customWidth="1"/>
    <col min="10001" max="10240" width="8" style="414"/>
    <col min="10241" max="10241" width="2.85546875" style="414" customWidth="1"/>
    <col min="10242" max="10242" width="32.42578125" style="414" bestFit="1" customWidth="1"/>
    <col min="10243" max="10243" width="9.85546875" style="414" bestFit="1" customWidth="1"/>
    <col min="10244" max="10244" width="8.85546875" style="414" bestFit="1" customWidth="1"/>
    <col min="10245" max="10245" width="7.42578125" style="414" bestFit="1" customWidth="1"/>
    <col min="10246" max="10246" width="8.7109375" style="414" customWidth="1"/>
    <col min="10247" max="10247" width="8" style="414" bestFit="1" customWidth="1"/>
    <col min="10248" max="10249" width="7.42578125" style="414" bestFit="1" customWidth="1"/>
    <col min="10250" max="10250" width="8.85546875" style="414" bestFit="1" customWidth="1"/>
    <col min="10251" max="10254" width="8.42578125" style="414" bestFit="1" customWidth="1"/>
    <col min="10255" max="10255" width="8.85546875" style="414" customWidth="1"/>
    <col min="10256" max="10256" width="10.140625" style="414" bestFit="1" customWidth="1"/>
    <col min="10257" max="10496" width="8" style="414"/>
    <col min="10497" max="10497" width="2.85546875" style="414" customWidth="1"/>
    <col min="10498" max="10498" width="32.42578125" style="414" bestFit="1" customWidth="1"/>
    <col min="10499" max="10499" width="9.85546875" style="414" bestFit="1" customWidth="1"/>
    <col min="10500" max="10500" width="8.85546875" style="414" bestFit="1" customWidth="1"/>
    <col min="10501" max="10501" width="7.42578125" style="414" bestFit="1" customWidth="1"/>
    <col min="10502" max="10502" width="8.7109375" style="414" customWidth="1"/>
    <col min="10503" max="10503" width="8" style="414" bestFit="1" customWidth="1"/>
    <col min="10504" max="10505" width="7.42578125" style="414" bestFit="1" customWidth="1"/>
    <col min="10506" max="10506" width="8.85546875" style="414" bestFit="1" customWidth="1"/>
    <col min="10507" max="10510" width="8.42578125" style="414" bestFit="1" customWidth="1"/>
    <col min="10511" max="10511" width="8.85546875" style="414" customWidth="1"/>
    <col min="10512" max="10512" width="10.140625" style="414" bestFit="1" customWidth="1"/>
    <col min="10513" max="10752" width="8" style="414"/>
    <col min="10753" max="10753" width="2.85546875" style="414" customWidth="1"/>
    <col min="10754" max="10754" width="32.42578125" style="414" bestFit="1" customWidth="1"/>
    <col min="10755" max="10755" width="9.85546875" style="414" bestFit="1" customWidth="1"/>
    <col min="10756" max="10756" width="8.85546875" style="414" bestFit="1" customWidth="1"/>
    <col min="10757" max="10757" width="7.42578125" style="414" bestFit="1" customWidth="1"/>
    <col min="10758" max="10758" width="8.7109375" style="414" customWidth="1"/>
    <col min="10759" max="10759" width="8" style="414" bestFit="1" customWidth="1"/>
    <col min="10760" max="10761" width="7.42578125" style="414" bestFit="1" customWidth="1"/>
    <col min="10762" max="10762" width="8.85546875" style="414" bestFit="1" customWidth="1"/>
    <col min="10763" max="10766" width="8.42578125" style="414" bestFit="1" customWidth="1"/>
    <col min="10767" max="10767" width="8.85546875" style="414" customWidth="1"/>
    <col min="10768" max="10768" width="10.140625" style="414" bestFit="1" customWidth="1"/>
    <col min="10769" max="11008" width="8" style="414"/>
    <col min="11009" max="11009" width="2.85546875" style="414" customWidth="1"/>
    <col min="11010" max="11010" width="32.42578125" style="414" bestFit="1" customWidth="1"/>
    <col min="11011" max="11011" width="9.85546875" style="414" bestFit="1" customWidth="1"/>
    <col min="11012" max="11012" width="8.85546875" style="414" bestFit="1" customWidth="1"/>
    <col min="11013" max="11013" width="7.42578125" style="414" bestFit="1" customWidth="1"/>
    <col min="11014" max="11014" width="8.7109375" style="414" customWidth="1"/>
    <col min="11015" max="11015" width="8" style="414" bestFit="1" customWidth="1"/>
    <col min="11016" max="11017" width="7.42578125" style="414" bestFit="1" customWidth="1"/>
    <col min="11018" max="11018" width="8.85546875" style="414" bestFit="1" customWidth="1"/>
    <col min="11019" max="11022" width="8.42578125" style="414" bestFit="1" customWidth="1"/>
    <col min="11023" max="11023" width="8.85546875" style="414" customWidth="1"/>
    <col min="11024" max="11024" width="10.140625" style="414" bestFit="1" customWidth="1"/>
    <col min="11025" max="11264" width="8" style="414"/>
    <col min="11265" max="11265" width="2.85546875" style="414" customWidth="1"/>
    <col min="11266" max="11266" width="32.42578125" style="414" bestFit="1" customWidth="1"/>
    <col min="11267" max="11267" width="9.85546875" style="414" bestFit="1" customWidth="1"/>
    <col min="11268" max="11268" width="8.85546875" style="414" bestFit="1" customWidth="1"/>
    <col min="11269" max="11269" width="7.42578125" style="414" bestFit="1" customWidth="1"/>
    <col min="11270" max="11270" width="8.7109375" style="414" customWidth="1"/>
    <col min="11271" max="11271" width="8" style="414" bestFit="1" customWidth="1"/>
    <col min="11272" max="11273" width="7.42578125" style="414" bestFit="1" customWidth="1"/>
    <col min="11274" max="11274" width="8.85546875" style="414" bestFit="1" customWidth="1"/>
    <col min="11275" max="11278" width="8.42578125" style="414" bestFit="1" customWidth="1"/>
    <col min="11279" max="11279" width="8.85546875" style="414" customWidth="1"/>
    <col min="11280" max="11280" width="10.140625" style="414" bestFit="1" customWidth="1"/>
    <col min="11281" max="11520" width="8" style="414"/>
    <col min="11521" max="11521" width="2.85546875" style="414" customWidth="1"/>
    <col min="11522" max="11522" width="32.42578125" style="414" bestFit="1" customWidth="1"/>
    <col min="11523" max="11523" width="9.85546875" style="414" bestFit="1" customWidth="1"/>
    <col min="11524" max="11524" width="8.85546875" style="414" bestFit="1" customWidth="1"/>
    <col min="11525" max="11525" width="7.42578125" style="414" bestFit="1" customWidth="1"/>
    <col min="11526" max="11526" width="8.7109375" style="414" customWidth="1"/>
    <col min="11527" max="11527" width="8" style="414" bestFit="1" customWidth="1"/>
    <col min="11528" max="11529" width="7.42578125" style="414" bestFit="1" customWidth="1"/>
    <col min="11530" max="11530" width="8.85546875" style="414" bestFit="1" customWidth="1"/>
    <col min="11531" max="11534" width="8.42578125" style="414" bestFit="1" customWidth="1"/>
    <col min="11535" max="11535" width="8.85546875" style="414" customWidth="1"/>
    <col min="11536" max="11536" width="10.140625" style="414" bestFit="1" customWidth="1"/>
    <col min="11537" max="11776" width="8" style="414"/>
    <col min="11777" max="11777" width="2.85546875" style="414" customWidth="1"/>
    <col min="11778" max="11778" width="32.42578125" style="414" bestFit="1" customWidth="1"/>
    <col min="11779" max="11779" width="9.85546875" style="414" bestFit="1" customWidth="1"/>
    <col min="11780" max="11780" width="8.85546875" style="414" bestFit="1" customWidth="1"/>
    <col min="11781" max="11781" width="7.42578125" style="414" bestFit="1" customWidth="1"/>
    <col min="11782" max="11782" width="8.7109375" style="414" customWidth="1"/>
    <col min="11783" max="11783" width="8" style="414" bestFit="1" customWidth="1"/>
    <col min="11784" max="11785" width="7.42578125" style="414" bestFit="1" customWidth="1"/>
    <col min="11786" max="11786" width="8.85546875" style="414" bestFit="1" customWidth="1"/>
    <col min="11787" max="11790" width="8.42578125" style="414" bestFit="1" customWidth="1"/>
    <col min="11791" max="11791" width="8.85546875" style="414" customWidth="1"/>
    <col min="11792" max="11792" width="10.140625" style="414" bestFit="1" customWidth="1"/>
    <col min="11793" max="12032" width="8" style="414"/>
    <col min="12033" max="12033" width="2.85546875" style="414" customWidth="1"/>
    <col min="12034" max="12034" width="32.42578125" style="414" bestFit="1" customWidth="1"/>
    <col min="12035" max="12035" width="9.85546875" style="414" bestFit="1" customWidth="1"/>
    <col min="12036" max="12036" width="8.85546875" style="414" bestFit="1" customWidth="1"/>
    <col min="12037" max="12037" width="7.42578125" style="414" bestFit="1" customWidth="1"/>
    <col min="12038" max="12038" width="8.7109375" style="414" customWidth="1"/>
    <col min="12039" max="12039" width="8" style="414" bestFit="1" customWidth="1"/>
    <col min="12040" max="12041" width="7.42578125" style="414" bestFit="1" customWidth="1"/>
    <col min="12042" max="12042" width="8.85546875" style="414" bestFit="1" customWidth="1"/>
    <col min="12043" max="12046" width="8.42578125" style="414" bestFit="1" customWidth="1"/>
    <col min="12047" max="12047" width="8.85546875" style="414" customWidth="1"/>
    <col min="12048" max="12048" width="10.140625" style="414" bestFit="1" customWidth="1"/>
    <col min="12049" max="12288" width="8" style="414"/>
    <col min="12289" max="12289" width="2.85546875" style="414" customWidth="1"/>
    <col min="12290" max="12290" width="32.42578125" style="414" bestFit="1" customWidth="1"/>
    <col min="12291" max="12291" width="9.85546875" style="414" bestFit="1" customWidth="1"/>
    <col min="12292" max="12292" width="8.85546875" style="414" bestFit="1" customWidth="1"/>
    <col min="12293" max="12293" width="7.42578125" style="414" bestFit="1" customWidth="1"/>
    <col min="12294" max="12294" width="8.7109375" style="414" customWidth="1"/>
    <col min="12295" max="12295" width="8" style="414" bestFit="1" customWidth="1"/>
    <col min="12296" max="12297" width="7.42578125" style="414" bestFit="1" customWidth="1"/>
    <col min="12298" max="12298" width="8.85546875" style="414" bestFit="1" customWidth="1"/>
    <col min="12299" max="12302" width="8.42578125" style="414" bestFit="1" customWidth="1"/>
    <col min="12303" max="12303" width="8.85546875" style="414" customWidth="1"/>
    <col min="12304" max="12304" width="10.140625" style="414" bestFit="1" customWidth="1"/>
    <col min="12305" max="12544" width="8" style="414"/>
    <col min="12545" max="12545" width="2.85546875" style="414" customWidth="1"/>
    <col min="12546" max="12546" width="32.42578125" style="414" bestFit="1" customWidth="1"/>
    <col min="12547" max="12547" width="9.85546875" style="414" bestFit="1" customWidth="1"/>
    <col min="12548" max="12548" width="8.85546875" style="414" bestFit="1" customWidth="1"/>
    <col min="12549" max="12549" width="7.42578125" style="414" bestFit="1" customWidth="1"/>
    <col min="12550" max="12550" width="8.7109375" style="414" customWidth="1"/>
    <col min="12551" max="12551" width="8" style="414" bestFit="1" customWidth="1"/>
    <col min="12552" max="12553" width="7.42578125" style="414" bestFit="1" customWidth="1"/>
    <col min="12554" max="12554" width="8.85546875" style="414" bestFit="1" customWidth="1"/>
    <col min="12555" max="12558" width="8.42578125" style="414" bestFit="1" customWidth="1"/>
    <col min="12559" max="12559" width="8.85546875" style="414" customWidth="1"/>
    <col min="12560" max="12560" width="10.140625" style="414" bestFit="1" customWidth="1"/>
    <col min="12561" max="12800" width="8" style="414"/>
    <col min="12801" max="12801" width="2.85546875" style="414" customWidth="1"/>
    <col min="12802" max="12802" width="32.42578125" style="414" bestFit="1" customWidth="1"/>
    <col min="12803" max="12803" width="9.85546875" style="414" bestFit="1" customWidth="1"/>
    <col min="12804" max="12804" width="8.85546875" style="414" bestFit="1" customWidth="1"/>
    <col min="12805" max="12805" width="7.42578125" style="414" bestFit="1" customWidth="1"/>
    <col min="12806" max="12806" width="8.7109375" style="414" customWidth="1"/>
    <col min="12807" max="12807" width="8" style="414" bestFit="1" customWidth="1"/>
    <col min="12808" max="12809" width="7.42578125" style="414" bestFit="1" customWidth="1"/>
    <col min="12810" max="12810" width="8.85546875" style="414" bestFit="1" customWidth="1"/>
    <col min="12811" max="12814" width="8.42578125" style="414" bestFit="1" customWidth="1"/>
    <col min="12815" max="12815" width="8.85546875" style="414" customWidth="1"/>
    <col min="12816" max="12816" width="10.140625" style="414" bestFit="1" customWidth="1"/>
    <col min="12817" max="13056" width="8" style="414"/>
    <col min="13057" max="13057" width="2.85546875" style="414" customWidth="1"/>
    <col min="13058" max="13058" width="32.42578125" style="414" bestFit="1" customWidth="1"/>
    <col min="13059" max="13059" width="9.85546875" style="414" bestFit="1" customWidth="1"/>
    <col min="13060" max="13060" width="8.85546875" style="414" bestFit="1" customWidth="1"/>
    <col min="13061" max="13061" width="7.42578125" style="414" bestFit="1" customWidth="1"/>
    <col min="13062" max="13062" width="8.7109375" style="414" customWidth="1"/>
    <col min="13063" max="13063" width="8" style="414" bestFit="1" customWidth="1"/>
    <col min="13064" max="13065" width="7.42578125" style="414" bestFit="1" customWidth="1"/>
    <col min="13066" max="13066" width="8.85546875" style="414" bestFit="1" customWidth="1"/>
    <col min="13067" max="13070" width="8.42578125" style="414" bestFit="1" customWidth="1"/>
    <col min="13071" max="13071" width="8.85546875" style="414" customWidth="1"/>
    <col min="13072" max="13072" width="10.140625" style="414" bestFit="1" customWidth="1"/>
    <col min="13073" max="13312" width="8" style="414"/>
    <col min="13313" max="13313" width="2.85546875" style="414" customWidth="1"/>
    <col min="13314" max="13314" width="32.42578125" style="414" bestFit="1" customWidth="1"/>
    <col min="13315" max="13315" width="9.85546875" style="414" bestFit="1" customWidth="1"/>
    <col min="13316" max="13316" width="8.85546875" style="414" bestFit="1" customWidth="1"/>
    <col min="13317" max="13317" width="7.42578125" style="414" bestFit="1" customWidth="1"/>
    <col min="13318" max="13318" width="8.7109375" style="414" customWidth="1"/>
    <col min="13319" max="13319" width="8" style="414" bestFit="1" customWidth="1"/>
    <col min="13320" max="13321" width="7.42578125" style="414" bestFit="1" customWidth="1"/>
    <col min="13322" max="13322" width="8.85546875" style="414" bestFit="1" customWidth="1"/>
    <col min="13323" max="13326" width="8.42578125" style="414" bestFit="1" customWidth="1"/>
    <col min="13327" max="13327" width="8.85546875" style="414" customWidth="1"/>
    <col min="13328" max="13328" width="10.140625" style="414" bestFit="1" customWidth="1"/>
    <col min="13329" max="13568" width="8" style="414"/>
    <col min="13569" max="13569" width="2.85546875" style="414" customWidth="1"/>
    <col min="13570" max="13570" width="32.42578125" style="414" bestFit="1" customWidth="1"/>
    <col min="13571" max="13571" width="9.85546875" style="414" bestFit="1" customWidth="1"/>
    <col min="13572" max="13572" width="8.85546875" style="414" bestFit="1" customWidth="1"/>
    <col min="13573" max="13573" width="7.42578125" style="414" bestFit="1" customWidth="1"/>
    <col min="13574" max="13574" width="8.7109375" style="414" customWidth="1"/>
    <col min="13575" max="13575" width="8" style="414" bestFit="1" customWidth="1"/>
    <col min="13576" max="13577" width="7.42578125" style="414" bestFit="1" customWidth="1"/>
    <col min="13578" max="13578" width="8.85546875" style="414" bestFit="1" customWidth="1"/>
    <col min="13579" max="13582" width="8.42578125" style="414" bestFit="1" customWidth="1"/>
    <col min="13583" max="13583" width="8.85546875" style="414" customWidth="1"/>
    <col min="13584" max="13584" width="10.140625" style="414" bestFit="1" customWidth="1"/>
    <col min="13585" max="13824" width="8" style="414"/>
    <col min="13825" max="13825" width="2.85546875" style="414" customWidth="1"/>
    <col min="13826" max="13826" width="32.42578125" style="414" bestFit="1" customWidth="1"/>
    <col min="13827" max="13827" width="9.85546875" style="414" bestFit="1" customWidth="1"/>
    <col min="13828" max="13828" width="8.85546875" style="414" bestFit="1" customWidth="1"/>
    <col min="13829" max="13829" width="7.42578125" style="414" bestFit="1" customWidth="1"/>
    <col min="13830" max="13830" width="8.7109375" style="414" customWidth="1"/>
    <col min="13831" max="13831" width="8" style="414" bestFit="1" customWidth="1"/>
    <col min="13832" max="13833" width="7.42578125" style="414" bestFit="1" customWidth="1"/>
    <col min="13834" max="13834" width="8.85546875" style="414" bestFit="1" customWidth="1"/>
    <col min="13835" max="13838" width="8.42578125" style="414" bestFit="1" customWidth="1"/>
    <col min="13839" max="13839" width="8.85546875" style="414" customWidth="1"/>
    <col min="13840" max="13840" width="10.140625" style="414" bestFit="1" customWidth="1"/>
    <col min="13841" max="14080" width="8" style="414"/>
    <col min="14081" max="14081" width="2.85546875" style="414" customWidth="1"/>
    <col min="14082" max="14082" width="32.42578125" style="414" bestFit="1" customWidth="1"/>
    <col min="14083" max="14083" width="9.85546875" style="414" bestFit="1" customWidth="1"/>
    <col min="14084" max="14084" width="8.85546875" style="414" bestFit="1" customWidth="1"/>
    <col min="14085" max="14085" width="7.42578125" style="414" bestFit="1" customWidth="1"/>
    <col min="14086" max="14086" width="8.7109375" style="414" customWidth="1"/>
    <col min="14087" max="14087" width="8" style="414" bestFit="1" customWidth="1"/>
    <col min="14088" max="14089" width="7.42578125" style="414" bestFit="1" customWidth="1"/>
    <col min="14090" max="14090" width="8.85546875" style="414" bestFit="1" customWidth="1"/>
    <col min="14091" max="14094" width="8.42578125" style="414" bestFit="1" customWidth="1"/>
    <col min="14095" max="14095" width="8.85546875" style="414" customWidth="1"/>
    <col min="14096" max="14096" width="10.140625" style="414" bestFit="1" customWidth="1"/>
    <col min="14097" max="14336" width="8" style="414"/>
    <col min="14337" max="14337" width="2.85546875" style="414" customWidth="1"/>
    <col min="14338" max="14338" width="32.42578125" style="414" bestFit="1" customWidth="1"/>
    <col min="14339" max="14339" width="9.85546875" style="414" bestFit="1" customWidth="1"/>
    <col min="14340" max="14340" width="8.85546875" style="414" bestFit="1" customWidth="1"/>
    <col min="14341" max="14341" width="7.42578125" style="414" bestFit="1" customWidth="1"/>
    <col min="14342" max="14342" width="8.7109375" style="414" customWidth="1"/>
    <col min="14343" max="14343" width="8" style="414" bestFit="1" customWidth="1"/>
    <col min="14344" max="14345" width="7.42578125" style="414" bestFit="1" customWidth="1"/>
    <col min="14346" max="14346" width="8.85546875" style="414" bestFit="1" customWidth="1"/>
    <col min="14347" max="14350" width="8.42578125" style="414" bestFit="1" customWidth="1"/>
    <col min="14351" max="14351" width="8.85546875" style="414" customWidth="1"/>
    <col min="14352" max="14352" width="10.140625" style="414" bestFit="1" customWidth="1"/>
    <col min="14353" max="14592" width="8" style="414"/>
    <col min="14593" max="14593" width="2.85546875" style="414" customWidth="1"/>
    <col min="14594" max="14594" width="32.42578125" style="414" bestFit="1" customWidth="1"/>
    <col min="14595" max="14595" width="9.85546875" style="414" bestFit="1" customWidth="1"/>
    <col min="14596" max="14596" width="8.85546875" style="414" bestFit="1" customWidth="1"/>
    <col min="14597" max="14597" width="7.42578125" style="414" bestFit="1" customWidth="1"/>
    <col min="14598" max="14598" width="8.7109375" style="414" customWidth="1"/>
    <col min="14599" max="14599" width="8" style="414" bestFit="1" customWidth="1"/>
    <col min="14600" max="14601" width="7.42578125" style="414" bestFit="1" customWidth="1"/>
    <col min="14602" max="14602" width="8.85546875" style="414" bestFit="1" customWidth="1"/>
    <col min="14603" max="14606" width="8.42578125" style="414" bestFit="1" customWidth="1"/>
    <col min="14607" max="14607" width="8.85546875" style="414" customWidth="1"/>
    <col min="14608" max="14608" width="10.140625" style="414" bestFit="1" customWidth="1"/>
    <col min="14609" max="14848" width="8" style="414"/>
    <col min="14849" max="14849" width="2.85546875" style="414" customWidth="1"/>
    <col min="14850" max="14850" width="32.42578125" style="414" bestFit="1" customWidth="1"/>
    <col min="14851" max="14851" width="9.85546875" style="414" bestFit="1" customWidth="1"/>
    <col min="14852" max="14852" width="8.85546875" style="414" bestFit="1" customWidth="1"/>
    <col min="14853" max="14853" width="7.42578125" style="414" bestFit="1" customWidth="1"/>
    <col min="14854" max="14854" width="8.7109375" style="414" customWidth="1"/>
    <col min="14855" max="14855" width="8" style="414" bestFit="1" customWidth="1"/>
    <col min="14856" max="14857" width="7.42578125" style="414" bestFit="1" customWidth="1"/>
    <col min="14858" max="14858" width="8.85546875" style="414" bestFit="1" customWidth="1"/>
    <col min="14859" max="14862" width="8.42578125" style="414" bestFit="1" customWidth="1"/>
    <col min="14863" max="14863" width="8.85546875" style="414" customWidth="1"/>
    <col min="14864" max="14864" width="10.140625" style="414" bestFit="1" customWidth="1"/>
    <col min="14865" max="15104" width="8" style="414"/>
    <col min="15105" max="15105" width="2.85546875" style="414" customWidth="1"/>
    <col min="15106" max="15106" width="32.42578125" style="414" bestFit="1" customWidth="1"/>
    <col min="15107" max="15107" width="9.85546875" style="414" bestFit="1" customWidth="1"/>
    <col min="15108" max="15108" width="8.85546875" style="414" bestFit="1" customWidth="1"/>
    <col min="15109" max="15109" width="7.42578125" style="414" bestFit="1" customWidth="1"/>
    <col min="15110" max="15110" width="8.7109375" style="414" customWidth="1"/>
    <col min="15111" max="15111" width="8" style="414" bestFit="1" customWidth="1"/>
    <col min="15112" max="15113" width="7.42578125" style="414" bestFit="1" customWidth="1"/>
    <col min="15114" max="15114" width="8.85546875" style="414" bestFit="1" customWidth="1"/>
    <col min="15115" max="15118" width="8.42578125" style="414" bestFit="1" customWidth="1"/>
    <col min="15119" max="15119" width="8.85546875" style="414" customWidth="1"/>
    <col min="15120" max="15120" width="10.140625" style="414" bestFit="1" customWidth="1"/>
    <col min="15121" max="15360" width="8" style="414"/>
    <col min="15361" max="15361" width="2.85546875" style="414" customWidth="1"/>
    <col min="15362" max="15362" width="32.42578125" style="414" bestFit="1" customWidth="1"/>
    <col min="15363" max="15363" width="9.85546875" style="414" bestFit="1" customWidth="1"/>
    <col min="15364" max="15364" width="8.85546875" style="414" bestFit="1" customWidth="1"/>
    <col min="15365" max="15365" width="7.42578125" style="414" bestFit="1" customWidth="1"/>
    <col min="15366" max="15366" width="8.7109375" style="414" customWidth="1"/>
    <col min="15367" max="15367" width="8" style="414" bestFit="1" customWidth="1"/>
    <col min="15368" max="15369" width="7.42578125" style="414" bestFit="1" customWidth="1"/>
    <col min="15370" max="15370" width="8.85546875" style="414" bestFit="1" customWidth="1"/>
    <col min="15371" max="15374" width="8.42578125" style="414" bestFit="1" customWidth="1"/>
    <col min="15375" max="15375" width="8.85546875" style="414" customWidth="1"/>
    <col min="15376" max="15376" width="10.140625" style="414" bestFit="1" customWidth="1"/>
    <col min="15377" max="15616" width="8" style="414"/>
    <col min="15617" max="15617" width="2.85546875" style="414" customWidth="1"/>
    <col min="15618" max="15618" width="32.42578125" style="414" bestFit="1" customWidth="1"/>
    <col min="15619" max="15619" width="9.85546875" style="414" bestFit="1" customWidth="1"/>
    <col min="15620" max="15620" width="8.85546875" style="414" bestFit="1" customWidth="1"/>
    <col min="15621" max="15621" width="7.42578125" style="414" bestFit="1" customWidth="1"/>
    <col min="15622" max="15622" width="8.7109375" style="414" customWidth="1"/>
    <col min="15623" max="15623" width="8" style="414" bestFit="1" customWidth="1"/>
    <col min="15624" max="15625" width="7.42578125" style="414" bestFit="1" customWidth="1"/>
    <col min="15626" max="15626" width="8.85546875" style="414" bestFit="1" customWidth="1"/>
    <col min="15627" max="15630" width="8.42578125" style="414" bestFit="1" customWidth="1"/>
    <col min="15631" max="15631" width="8.85546875" style="414" customWidth="1"/>
    <col min="15632" max="15632" width="10.140625" style="414" bestFit="1" customWidth="1"/>
    <col min="15633" max="15872" width="8" style="414"/>
    <col min="15873" max="15873" width="2.85546875" style="414" customWidth="1"/>
    <col min="15874" max="15874" width="32.42578125" style="414" bestFit="1" customWidth="1"/>
    <col min="15875" max="15875" width="9.85546875" style="414" bestFit="1" customWidth="1"/>
    <col min="15876" max="15876" width="8.85546875" style="414" bestFit="1" customWidth="1"/>
    <col min="15877" max="15877" width="7.42578125" style="414" bestFit="1" customWidth="1"/>
    <col min="15878" max="15878" width="8.7109375" style="414" customWidth="1"/>
    <col min="15879" max="15879" width="8" style="414" bestFit="1" customWidth="1"/>
    <col min="15880" max="15881" width="7.42578125" style="414" bestFit="1" customWidth="1"/>
    <col min="15882" max="15882" width="8.85546875" style="414" bestFit="1" customWidth="1"/>
    <col min="15883" max="15886" width="8.42578125" style="414" bestFit="1" customWidth="1"/>
    <col min="15887" max="15887" width="8.85546875" style="414" customWidth="1"/>
    <col min="15888" max="15888" width="10.140625" style="414" bestFit="1" customWidth="1"/>
    <col min="15889" max="16128" width="8" style="414"/>
    <col min="16129" max="16129" width="2.85546875" style="414" customWidth="1"/>
    <col min="16130" max="16130" width="32.42578125" style="414" bestFit="1" customWidth="1"/>
    <col min="16131" max="16131" width="9.85546875" style="414" bestFit="1" customWidth="1"/>
    <col min="16132" max="16132" width="8.85546875" style="414" bestFit="1" customWidth="1"/>
    <col min="16133" max="16133" width="7.42578125" style="414" bestFit="1" customWidth="1"/>
    <col min="16134" max="16134" width="8.7109375" style="414" customWidth="1"/>
    <col min="16135" max="16135" width="8" style="414" bestFit="1" customWidth="1"/>
    <col min="16136" max="16137" width="7.42578125" style="414" bestFit="1" customWidth="1"/>
    <col min="16138" max="16138" width="8.85546875" style="414" bestFit="1" customWidth="1"/>
    <col min="16139" max="16142" width="8.42578125" style="414" bestFit="1" customWidth="1"/>
    <col min="16143" max="16143" width="8.85546875" style="414" customWidth="1"/>
    <col min="16144" max="16144" width="10.140625" style="414" bestFit="1" customWidth="1"/>
    <col min="16145" max="16384" width="8" style="414"/>
  </cols>
  <sheetData>
    <row r="1" spans="1:17" x14ac:dyDescent="0.2"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6" t="s">
        <v>978</v>
      </c>
    </row>
    <row r="2" spans="1:17" x14ac:dyDescent="0.2">
      <c r="A2" s="569" t="s">
        <v>955</v>
      </c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</row>
    <row r="3" spans="1:17" x14ac:dyDescent="0.2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9"/>
    </row>
    <row r="4" spans="1:17" ht="8.25" customHeight="1" x14ac:dyDescent="0.2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</row>
    <row r="5" spans="1:17" x14ac:dyDescent="0.2"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18" t="s">
        <v>50</v>
      </c>
    </row>
    <row r="6" spans="1:17" x14ac:dyDescent="0.2">
      <c r="A6" s="421"/>
      <c r="B6" s="421"/>
      <c r="C6" s="422" t="s">
        <v>885</v>
      </c>
      <c r="D6" s="422" t="s">
        <v>886</v>
      </c>
      <c r="E6" s="422" t="s">
        <v>887</v>
      </c>
      <c r="F6" s="422" t="s">
        <v>888</v>
      </c>
      <c r="G6" s="422" t="s">
        <v>889</v>
      </c>
      <c r="H6" s="422" t="s">
        <v>890</v>
      </c>
      <c r="I6" s="422" t="s">
        <v>891</v>
      </c>
      <c r="J6" s="422" t="s">
        <v>892</v>
      </c>
      <c r="K6" s="422" t="s">
        <v>893</v>
      </c>
      <c r="L6" s="422" t="s">
        <v>894</v>
      </c>
      <c r="M6" s="422" t="s">
        <v>895</v>
      </c>
      <c r="N6" s="422" t="s">
        <v>896</v>
      </c>
      <c r="O6" s="423" t="s">
        <v>382</v>
      </c>
    </row>
    <row r="7" spans="1:17" x14ac:dyDescent="0.2">
      <c r="A7" s="424" t="s">
        <v>807</v>
      </c>
      <c r="B7" s="421"/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</row>
    <row r="8" spans="1:17" s="432" customFormat="1" x14ac:dyDescent="0.2">
      <c r="A8" s="426">
        <v>1</v>
      </c>
      <c r="B8" s="427" t="s">
        <v>897</v>
      </c>
      <c r="C8" s="428">
        <v>11068</v>
      </c>
      <c r="D8" s="428">
        <v>14500</v>
      </c>
      <c r="E8" s="428">
        <v>14500</v>
      </c>
      <c r="F8" s="428">
        <v>14041</v>
      </c>
      <c r="G8" s="428">
        <v>15077</v>
      </c>
      <c r="H8" s="428">
        <v>14444</v>
      </c>
      <c r="I8" s="428">
        <v>14000</v>
      </c>
      <c r="J8" s="428">
        <v>14000</v>
      </c>
      <c r="K8" s="428">
        <v>16688</v>
      </c>
      <c r="L8" s="428">
        <v>15000</v>
      </c>
      <c r="M8" s="428">
        <v>15538</v>
      </c>
      <c r="N8" s="428">
        <v>13743</v>
      </c>
      <c r="O8" s="429">
        <f t="shared" ref="O8:O16" si="0">SUM(C8:N8)</f>
        <v>172599</v>
      </c>
      <c r="P8" s="430"/>
      <c r="Q8" s="431"/>
    </row>
    <row r="9" spans="1:17" s="432" customFormat="1" x14ac:dyDescent="0.2">
      <c r="A9" s="426">
        <v>2</v>
      </c>
      <c r="B9" s="427" t="s">
        <v>97</v>
      </c>
      <c r="C9" s="428">
        <v>12000</v>
      </c>
      <c r="D9" s="428">
        <v>25000</v>
      </c>
      <c r="E9" s="428">
        <v>251000</v>
      </c>
      <c r="F9" s="428">
        <v>22000</v>
      </c>
      <c r="G9" s="428">
        <v>20000</v>
      </c>
      <c r="H9" s="428">
        <v>12602</v>
      </c>
      <c r="I9" s="428">
        <v>12620</v>
      </c>
      <c r="J9" s="428">
        <v>21543</v>
      </c>
      <c r="K9" s="428">
        <v>293863</v>
      </c>
      <c r="L9" s="428">
        <v>21000</v>
      </c>
      <c r="M9" s="428">
        <v>22000</v>
      </c>
      <c r="N9" s="428">
        <v>91672</v>
      </c>
      <c r="O9" s="429">
        <f t="shared" si="0"/>
        <v>805300</v>
      </c>
      <c r="P9" s="430"/>
      <c r="Q9" s="431"/>
    </row>
    <row r="10" spans="1:17" s="432" customFormat="1" x14ac:dyDescent="0.2">
      <c r="A10" s="426"/>
      <c r="B10" s="427" t="s">
        <v>898</v>
      </c>
      <c r="C10" s="428">
        <v>5500</v>
      </c>
      <c r="D10" s="428">
        <v>20000</v>
      </c>
      <c r="E10" s="428">
        <v>236500</v>
      </c>
      <c r="F10" s="428">
        <v>13000</v>
      </c>
      <c r="G10" s="428">
        <v>16000</v>
      </c>
      <c r="H10" s="428">
        <v>3500</v>
      </c>
      <c r="I10" s="428">
        <v>4500</v>
      </c>
      <c r="J10" s="428">
        <v>17000</v>
      </c>
      <c r="K10" s="428">
        <v>275000</v>
      </c>
      <c r="L10" s="428">
        <v>14000</v>
      </c>
      <c r="M10" s="428">
        <v>15000</v>
      </c>
      <c r="N10" s="428">
        <v>85000</v>
      </c>
      <c r="O10" s="429">
        <f t="shared" si="0"/>
        <v>705000</v>
      </c>
      <c r="P10" s="430"/>
      <c r="Q10" s="431"/>
    </row>
    <row r="11" spans="1:17" s="432" customFormat="1" x14ac:dyDescent="0.2">
      <c r="A11" s="426">
        <v>3</v>
      </c>
      <c r="B11" s="427" t="s">
        <v>112</v>
      </c>
      <c r="C11" s="428">
        <v>1650</v>
      </c>
      <c r="D11" s="428">
        <v>5000</v>
      </c>
      <c r="E11" s="428">
        <v>28000</v>
      </c>
      <c r="F11" s="428">
        <v>15000</v>
      </c>
      <c r="G11" s="428">
        <v>15000</v>
      </c>
      <c r="H11" s="428">
        <v>15000</v>
      </c>
      <c r="I11" s="428">
        <v>40257</v>
      </c>
      <c r="J11" s="428">
        <v>45000</v>
      </c>
      <c r="K11" s="428">
        <v>25000</v>
      </c>
      <c r="L11" s="428">
        <v>38500</v>
      </c>
      <c r="M11" s="428">
        <v>32256</v>
      </c>
      <c r="N11" s="428">
        <v>32000</v>
      </c>
      <c r="O11" s="429">
        <f t="shared" si="0"/>
        <v>292663</v>
      </c>
      <c r="P11" s="430"/>
      <c r="Q11" s="431"/>
    </row>
    <row r="12" spans="1:17" s="432" customFormat="1" x14ac:dyDescent="0.2">
      <c r="A12" s="426">
        <v>4</v>
      </c>
      <c r="B12" s="427" t="s">
        <v>53</v>
      </c>
      <c r="C12" s="428">
        <v>128435</v>
      </c>
      <c r="D12" s="428">
        <v>85624</v>
      </c>
      <c r="E12" s="428">
        <v>85624</v>
      </c>
      <c r="F12" s="428">
        <v>85624</v>
      </c>
      <c r="G12" s="428">
        <v>85624</v>
      </c>
      <c r="H12" s="428">
        <v>85624</v>
      </c>
      <c r="I12" s="428">
        <v>85624</v>
      </c>
      <c r="J12" s="428">
        <v>85624</v>
      </c>
      <c r="K12" s="428">
        <v>85624</v>
      </c>
      <c r="L12" s="428">
        <v>85624</v>
      </c>
      <c r="M12" s="428">
        <v>85624</v>
      </c>
      <c r="N12" s="428">
        <v>85619</v>
      </c>
      <c r="O12" s="429">
        <f t="shared" si="0"/>
        <v>1070294</v>
      </c>
      <c r="P12" s="430"/>
      <c r="Q12" s="431"/>
    </row>
    <row r="13" spans="1:17" s="432" customFormat="1" ht="25.5" x14ac:dyDescent="0.2">
      <c r="A13" s="426">
        <v>5</v>
      </c>
      <c r="B13" s="433" t="s">
        <v>899</v>
      </c>
      <c r="C13" s="428">
        <f t="shared" ref="C13:N13" si="1">SUM(C14:C15)</f>
        <v>9000</v>
      </c>
      <c r="D13" s="428">
        <f t="shared" si="1"/>
        <v>7500</v>
      </c>
      <c r="E13" s="428">
        <f t="shared" si="1"/>
        <v>7500</v>
      </c>
      <c r="F13" s="428">
        <f t="shared" si="1"/>
        <v>33901</v>
      </c>
      <c r="G13" s="428">
        <f t="shared" si="1"/>
        <v>13900</v>
      </c>
      <c r="H13" s="428">
        <f t="shared" si="1"/>
        <v>12500</v>
      </c>
      <c r="I13" s="428">
        <f t="shared" si="1"/>
        <v>13500</v>
      </c>
      <c r="J13" s="428">
        <f t="shared" si="1"/>
        <v>16016</v>
      </c>
      <c r="K13" s="428">
        <f t="shared" si="1"/>
        <v>14479</v>
      </c>
      <c r="L13" s="428">
        <f t="shared" si="1"/>
        <v>14800</v>
      </c>
      <c r="M13" s="428">
        <f t="shared" si="1"/>
        <v>9900</v>
      </c>
      <c r="N13" s="428">
        <f t="shared" si="1"/>
        <v>6719</v>
      </c>
      <c r="O13" s="429">
        <f t="shared" si="0"/>
        <v>159715</v>
      </c>
      <c r="P13" s="430"/>
      <c r="Q13" s="431"/>
    </row>
    <row r="14" spans="1:17" s="432" customFormat="1" x14ac:dyDescent="0.2">
      <c r="A14" s="426"/>
      <c r="B14" s="427" t="s">
        <v>900</v>
      </c>
      <c r="C14" s="428">
        <v>6500</v>
      </c>
      <c r="D14" s="428">
        <v>5500</v>
      </c>
      <c r="E14" s="428">
        <v>5500</v>
      </c>
      <c r="F14" s="428">
        <v>6500</v>
      </c>
      <c r="G14" s="428">
        <v>8900</v>
      </c>
      <c r="H14" s="428">
        <v>8500</v>
      </c>
      <c r="I14" s="428">
        <v>8500</v>
      </c>
      <c r="J14" s="428">
        <v>9000</v>
      </c>
      <c r="K14" s="428">
        <v>12814</v>
      </c>
      <c r="L14" s="428">
        <v>12500</v>
      </c>
      <c r="M14" s="428">
        <v>8400</v>
      </c>
      <c r="N14" s="428">
        <v>6219</v>
      </c>
      <c r="O14" s="429">
        <f t="shared" si="0"/>
        <v>98833</v>
      </c>
      <c r="P14" s="430"/>
      <c r="Q14" s="431"/>
    </row>
    <row r="15" spans="1:17" s="432" customFormat="1" x14ac:dyDescent="0.2">
      <c r="A15" s="426"/>
      <c r="B15" s="427" t="s">
        <v>901</v>
      </c>
      <c r="C15" s="428">
        <v>2500</v>
      </c>
      <c r="D15" s="428">
        <v>2000</v>
      </c>
      <c r="E15" s="428">
        <v>2000</v>
      </c>
      <c r="F15" s="428">
        <v>27401</v>
      </c>
      <c r="G15" s="428">
        <v>5000</v>
      </c>
      <c r="H15" s="428">
        <v>4000</v>
      </c>
      <c r="I15" s="428">
        <v>5000</v>
      </c>
      <c r="J15" s="428">
        <v>7016</v>
      </c>
      <c r="K15" s="428">
        <v>1665</v>
      </c>
      <c r="L15" s="428">
        <v>2300</v>
      </c>
      <c r="M15" s="428">
        <v>1500</v>
      </c>
      <c r="N15" s="428">
        <v>500</v>
      </c>
      <c r="O15" s="429">
        <f t="shared" si="0"/>
        <v>60882</v>
      </c>
      <c r="P15" s="430"/>
      <c r="Q15" s="431"/>
    </row>
    <row r="16" spans="1:17" s="432" customFormat="1" ht="25.5" x14ac:dyDescent="0.2">
      <c r="A16" s="426">
        <v>6</v>
      </c>
      <c r="B16" s="434" t="s">
        <v>902</v>
      </c>
      <c r="C16" s="428">
        <v>378028</v>
      </c>
      <c r="D16" s="428">
        <v>500</v>
      </c>
      <c r="E16" s="428">
        <v>0</v>
      </c>
      <c r="F16" s="428">
        <v>500</v>
      </c>
      <c r="G16" s="428">
        <v>0</v>
      </c>
      <c r="H16" s="428">
        <v>0</v>
      </c>
      <c r="I16" s="428">
        <v>500</v>
      </c>
      <c r="J16" s="428">
        <v>500</v>
      </c>
      <c r="K16" s="428">
        <v>0</v>
      </c>
      <c r="L16" s="428">
        <v>500</v>
      </c>
      <c r="M16" s="428">
        <v>0</v>
      </c>
      <c r="N16" s="428">
        <v>825</v>
      </c>
      <c r="O16" s="429">
        <f t="shared" si="0"/>
        <v>381353</v>
      </c>
      <c r="P16" s="430"/>
      <c r="Q16" s="431"/>
    </row>
    <row r="17" spans="1:17" s="432" customFormat="1" x14ac:dyDescent="0.2">
      <c r="A17" s="426">
        <v>7</v>
      </c>
      <c r="B17" s="426" t="s">
        <v>903</v>
      </c>
      <c r="C17" s="428">
        <f t="shared" ref="C17:O17" si="2">C8+C9+C11+C12+C13+C16</f>
        <v>540181</v>
      </c>
      <c r="D17" s="428">
        <f t="shared" si="2"/>
        <v>138124</v>
      </c>
      <c r="E17" s="428">
        <f t="shared" si="2"/>
        <v>386624</v>
      </c>
      <c r="F17" s="428">
        <f t="shared" si="2"/>
        <v>171066</v>
      </c>
      <c r="G17" s="428">
        <f t="shared" si="2"/>
        <v>149601</v>
      </c>
      <c r="H17" s="428">
        <f t="shared" si="2"/>
        <v>140170</v>
      </c>
      <c r="I17" s="428">
        <f t="shared" si="2"/>
        <v>166501</v>
      </c>
      <c r="J17" s="428">
        <f t="shared" si="2"/>
        <v>182683</v>
      </c>
      <c r="K17" s="428">
        <f t="shared" si="2"/>
        <v>435654</v>
      </c>
      <c r="L17" s="428">
        <f t="shared" si="2"/>
        <v>175424</v>
      </c>
      <c r="M17" s="428">
        <f t="shared" si="2"/>
        <v>165318</v>
      </c>
      <c r="N17" s="428">
        <f t="shared" si="2"/>
        <v>230578</v>
      </c>
      <c r="O17" s="429">
        <f t="shared" si="2"/>
        <v>2881924</v>
      </c>
      <c r="P17" s="430"/>
      <c r="Q17" s="431"/>
    </row>
    <row r="18" spans="1:17" s="437" customFormat="1" x14ac:dyDescent="0.2">
      <c r="A18" s="435">
        <v>8</v>
      </c>
      <c r="B18" s="435" t="s">
        <v>904</v>
      </c>
      <c r="C18" s="436">
        <f t="shared" ref="C18:N18" si="3">C19+C20+C21</f>
        <v>16072</v>
      </c>
      <c r="D18" s="436">
        <f t="shared" si="3"/>
        <v>12000</v>
      </c>
      <c r="E18" s="436">
        <f t="shared" si="3"/>
        <v>12679</v>
      </c>
      <c r="F18" s="436">
        <f t="shared" si="3"/>
        <v>0</v>
      </c>
      <c r="G18" s="436">
        <f t="shared" si="3"/>
        <v>0</v>
      </c>
      <c r="H18" s="436">
        <f t="shared" si="3"/>
        <v>0</v>
      </c>
      <c r="I18" s="436">
        <f t="shared" si="3"/>
        <v>0</v>
      </c>
      <c r="J18" s="436">
        <f t="shared" si="3"/>
        <v>0</v>
      </c>
      <c r="K18" s="436">
        <f t="shared" si="3"/>
        <v>0</v>
      </c>
      <c r="L18" s="436">
        <f t="shared" si="3"/>
        <v>0</v>
      </c>
      <c r="M18" s="436">
        <f t="shared" si="3"/>
        <v>0</v>
      </c>
      <c r="N18" s="436">
        <f t="shared" si="3"/>
        <v>0</v>
      </c>
      <c r="O18" s="429">
        <f>SUM(O19:O21)</f>
        <v>40751</v>
      </c>
      <c r="P18" s="431"/>
      <c r="Q18" s="431"/>
    </row>
    <row r="19" spans="1:17" s="437" customFormat="1" x14ac:dyDescent="0.2">
      <c r="A19" s="435"/>
      <c r="B19" s="435" t="s">
        <v>905</v>
      </c>
      <c r="C19" s="436">
        <v>0</v>
      </c>
      <c r="D19" s="436">
        <v>0</v>
      </c>
      <c r="E19" s="436">
        <v>0</v>
      </c>
      <c r="F19" s="436">
        <v>0</v>
      </c>
      <c r="G19" s="436">
        <v>0</v>
      </c>
      <c r="H19" s="436">
        <v>0</v>
      </c>
      <c r="I19" s="436">
        <v>0</v>
      </c>
      <c r="J19" s="436">
        <v>0</v>
      </c>
      <c r="K19" s="436">
        <v>0</v>
      </c>
      <c r="L19" s="436">
        <v>0</v>
      </c>
      <c r="M19" s="436">
        <v>0</v>
      </c>
      <c r="N19" s="436">
        <v>0</v>
      </c>
      <c r="O19" s="436">
        <f>SUM(C19:N19)</f>
        <v>0</v>
      </c>
      <c r="P19" s="431"/>
      <c r="Q19" s="431"/>
    </row>
    <row r="20" spans="1:17" s="437" customFormat="1" x14ac:dyDescent="0.2">
      <c r="A20" s="435"/>
      <c r="B20" s="435" t="s">
        <v>906</v>
      </c>
      <c r="C20" s="436">
        <v>16072</v>
      </c>
      <c r="D20" s="436">
        <v>12000</v>
      </c>
      <c r="E20" s="436">
        <v>12679</v>
      </c>
      <c r="F20" s="436">
        <v>0</v>
      </c>
      <c r="G20" s="436">
        <v>0</v>
      </c>
      <c r="H20" s="436">
        <v>0</v>
      </c>
      <c r="I20" s="436">
        <v>0</v>
      </c>
      <c r="J20" s="436">
        <v>0</v>
      </c>
      <c r="K20" s="436">
        <v>0</v>
      </c>
      <c r="L20" s="436">
        <v>0</v>
      </c>
      <c r="M20" s="436">
        <v>0</v>
      </c>
      <c r="N20" s="436">
        <v>0</v>
      </c>
      <c r="O20" s="436">
        <f>SUM(C20:N20)</f>
        <v>40751</v>
      </c>
      <c r="P20" s="431"/>
      <c r="Q20" s="431"/>
    </row>
    <row r="21" spans="1:17" s="437" customFormat="1" x14ac:dyDescent="0.2">
      <c r="A21" s="435"/>
      <c r="B21" s="435"/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6"/>
      <c r="O21" s="436"/>
      <c r="P21" s="431"/>
      <c r="Q21" s="431"/>
    </row>
    <row r="22" spans="1:17" s="432" customFormat="1" x14ac:dyDescent="0.2">
      <c r="A22" s="438">
        <v>9</v>
      </c>
      <c r="B22" s="438" t="s">
        <v>907</v>
      </c>
      <c r="C22" s="439">
        <f t="shared" ref="C22:O22" si="4">C17+C18</f>
        <v>556253</v>
      </c>
      <c r="D22" s="439">
        <f t="shared" si="4"/>
        <v>150124</v>
      </c>
      <c r="E22" s="439">
        <f t="shared" si="4"/>
        <v>399303</v>
      </c>
      <c r="F22" s="439">
        <f t="shared" si="4"/>
        <v>171066</v>
      </c>
      <c r="G22" s="439">
        <f t="shared" si="4"/>
        <v>149601</v>
      </c>
      <c r="H22" s="439">
        <f t="shared" si="4"/>
        <v>140170</v>
      </c>
      <c r="I22" s="439">
        <f t="shared" si="4"/>
        <v>166501</v>
      </c>
      <c r="J22" s="439">
        <f t="shared" si="4"/>
        <v>182683</v>
      </c>
      <c r="K22" s="439">
        <f t="shared" si="4"/>
        <v>435654</v>
      </c>
      <c r="L22" s="439">
        <f t="shared" si="4"/>
        <v>175424</v>
      </c>
      <c r="M22" s="439">
        <f t="shared" si="4"/>
        <v>165318</v>
      </c>
      <c r="N22" s="439">
        <f t="shared" si="4"/>
        <v>230578</v>
      </c>
      <c r="O22" s="439">
        <f t="shared" si="4"/>
        <v>2922675</v>
      </c>
      <c r="P22" s="430"/>
      <c r="Q22" s="431"/>
    </row>
    <row r="23" spans="1:17" s="432" customFormat="1" x14ac:dyDescent="0.2">
      <c r="A23" s="440"/>
      <c r="B23" s="440"/>
      <c r="C23" s="441"/>
      <c r="D23" s="441"/>
      <c r="E23" s="441"/>
      <c r="F23" s="441"/>
      <c r="G23" s="441"/>
      <c r="H23" s="441"/>
      <c r="I23" s="441"/>
      <c r="J23" s="441"/>
      <c r="K23" s="441"/>
      <c r="L23" s="441"/>
      <c r="M23" s="441"/>
      <c r="N23" s="441"/>
      <c r="O23" s="441"/>
      <c r="Q23" s="431"/>
    </row>
    <row r="24" spans="1:17" s="432" customFormat="1" x14ac:dyDescent="0.2">
      <c r="A24" s="438" t="s">
        <v>822</v>
      </c>
      <c r="B24" s="426"/>
      <c r="C24" s="442"/>
      <c r="D24" s="442"/>
      <c r="E24" s="442"/>
      <c r="F24" s="442"/>
      <c r="G24" s="442"/>
      <c r="H24" s="442"/>
      <c r="I24" s="442"/>
      <c r="J24" s="442"/>
      <c r="K24" s="442"/>
      <c r="L24" s="442"/>
      <c r="M24" s="442"/>
      <c r="N24" s="442"/>
      <c r="O24" s="443"/>
      <c r="P24" s="444"/>
      <c r="Q24" s="431"/>
    </row>
    <row r="25" spans="1:17" s="432" customFormat="1" x14ac:dyDescent="0.2">
      <c r="A25" s="426">
        <v>10</v>
      </c>
      <c r="B25" s="427" t="s">
        <v>908</v>
      </c>
      <c r="C25" s="428">
        <v>56000</v>
      </c>
      <c r="D25" s="428">
        <v>56500</v>
      </c>
      <c r="E25" s="428">
        <v>55800</v>
      </c>
      <c r="F25" s="428">
        <v>55900</v>
      </c>
      <c r="G25" s="428">
        <v>55000</v>
      </c>
      <c r="H25" s="428">
        <v>53600</v>
      </c>
      <c r="I25" s="428">
        <v>54500</v>
      </c>
      <c r="J25" s="428">
        <v>54500</v>
      </c>
      <c r="K25" s="428">
        <v>53500</v>
      </c>
      <c r="L25" s="428">
        <v>54900</v>
      </c>
      <c r="M25" s="428">
        <v>56200</v>
      </c>
      <c r="N25" s="428">
        <v>54259</v>
      </c>
      <c r="O25" s="429">
        <f>SUM(C25:N25)</f>
        <v>660659</v>
      </c>
      <c r="P25" s="430"/>
      <c r="Q25" s="431"/>
    </row>
    <row r="26" spans="1:17" s="432" customFormat="1" x14ac:dyDescent="0.2">
      <c r="A26" s="426">
        <v>11</v>
      </c>
      <c r="B26" s="427" t="s">
        <v>909</v>
      </c>
      <c r="C26" s="428">
        <v>12119</v>
      </c>
      <c r="D26" s="428">
        <v>12227</v>
      </c>
      <c r="E26" s="428">
        <v>12075</v>
      </c>
      <c r="F26" s="428">
        <v>12097</v>
      </c>
      <c r="G26" s="428">
        <v>11902</v>
      </c>
      <c r="H26" s="428">
        <v>11599</v>
      </c>
      <c r="I26" s="428">
        <v>11794</v>
      </c>
      <c r="J26" s="428">
        <v>11794</v>
      </c>
      <c r="K26" s="428">
        <v>11578</v>
      </c>
      <c r="L26" s="428">
        <v>11881</v>
      </c>
      <c r="M26" s="428">
        <v>12162</v>
      </c>
      <c r="N26" s="428">
        <v>11741</v>
      </c>
      <c r="O26" s="429">
        <f>SUM(C26:N26)</f>
        <v>142969</v>
      </c>
      <c r="P26" s="430"/>
      <c r="Q26" s="431"/>
    </row>
    <row r="27" spans="1:17" s="432" customFormat="1" x14ac:dyDescent="0.2">
      <c r="A27" s="426">
        <v>12</v>
      </c>
      <c r="B27" s="427" t="s">
        <v>910</v>
      </c>
      <c r="C27" s="428">
        <v>74000</v>
      </c>
      <c r="D27" s="428">
        <v>75000</v>
      </c>
      <c r="E27" s="428">
        <v>73000</v>
      </c>
      <c r="F27" s="428">
        <v>76500</v>
      </c>
      <c r="G27" s="428">
        <v>76000</v>
      </c>
      <c r="H27" s="428">
        <v>74000</v>
      </c>
      <c r="I27" s="428">
        <v>75000</v>
      </c>
      <c r="J27" s="428">
        <v>76000</v>
      </c>
      <c r="K27" s="428">
        <v>75000</v>
      </c>
      <c r="L27" s="428">
        <v>79000</v>
      </c>
      <c r="M27" s="428">
        <v>74000</v>
      </c>
      <c r="N27" s="428">
        <v>73799</v>
      </c>
      <c r="O27" s="429">
        <f>SUM(C27:N27)</f>
        <v>901299</v>
      </c>
      <c r="P27" s="430"/>
      <c r="Q27" s="431"/>
    </row>
    <row r="28" spans="1:17" s="432" customFormat="1" x14ac:dyDescent="0.2">
      <c r="A28" s="426">
        <v>13</v>
      </c>
      <c r="B28" s="427" t="s">
        <v>82</v>
      </c>
      <c r="C28" s="428">
        <v>3500</v>
      </c>
      <c r="D28" s="428">
        <v>3200</v>
      </c>
      <c r="E28" s="428">
        <v>3200</v>
      </c>
      <c r="F28" s="428">
        <v>3500</v>
      </c>
      <c r="G28" s="428">
        <v>3200</v>
      </c>
      <c r="H28" s="428">
        <v>3000</v>
      </c>
      <c r="I28" s="428">
        <v>2895</v>
      </c>
      <c r="J28" s="428">
        <v>3100</v>
      </c>
      <c r="K28" s="428">
        <v>3300</v>
      </c>
      <c r="L28" s="428">
        <v>3100</v>
      </c>
      <c r="M28" s="428">
        <v>3000</v>
      </c>
      <c r="N28" s="428">
        <v>3155</v>
      </c>
      <c r="O28" s="429">
        <f>SUM(C28:N28)</f>
        <v>38150</v>
      </c>
      <c r="P28" s="430"/>
      <c r="Q28" s="431"/>
    </row>
    <row r="29" spans="1:17" s="432" customFormat="1" x14ac:dyDescent="0.2">
      <c r="A29" s="426">
        <v>14</v>
      </c>
      <c r="B29" s="427" t="s">
        <v>911</v>
      </c>
      <c r="C29" s="428">
        <v>42000</v>
      </c>
      <c r="D29" s="428">
        <v>44000</v>
      </c>
      <c r="E29" s="428">
        <v>41000</v>
      </c>
      <c r="F29" s="428">
        <v>41000</v>
      </c>
      <c r="G29" s="428">
        <v>36500</v>
      </c>
      <c r="H29" s="428">
        <v>42500</v>
      </c>
      <c r="I29" s="428">
        <v>26529</v>
      </c>
      <c r="J29" s="428">
        <v>43500</v>
      </c>
      <c r="K29" s="428">
        <v>42500</v>
      </c>
      <c r="L29" s="428">
        <v>43000</v>
      </c>
      <c r="M29" s="428">
        <v>42000</v>
      </c>
      <c r="N29" s="428">
        <v>41925</v>
      </c>
      <c r="O29" s="429">
        <f>SUM(C29:N29)</f>
        <v>486454</v>
      </c>
      <c r="P29" s="430"/>
      <c r="Q29" s="431"/>
    </row>
    <row r="30" spans="1:17" s="432" customFormat="1" x14ac:dyDescent="0.2">
      <c r="A30" s="426">
        <v>15</v>
      </c>
      <c r="B30" s="427" t="s">
        <v>912</v>
      </c>
      <c r="C30" s="428">
        <f t="shared" ref="C30:O30" si="5">C25+C26+C27+C28+C29</f>
        <v>187619</v>
      </c>
      <c r="D30" s="428">
        <f t="shared" si="5"/>
        <v>190927</v>
      </c>
      <c r="E30" s="428">
        <f t="shared" si="5"/>
        <v>185075</v>
      </c>
      <c r="F30" s="428">
        <f t="shared" si="5"/>
        <v>188997</v>
      </c>
      <c r="G30" s="428">
        <f t="shared" si="5"/>
        <v>182602</v>
      </c>
      <c r="H30" s="428">
        <f t="shared" si="5"/>
        <v>184699</v>
      </c>
      <c r="I30" s="428">
        <f t="shared" si="5"/>
        <v>170718</v>
      </c>
      <c r="J30" s="428">
        <f t="shared" si="5"/>
        <v>188894</v>
      </c>
      <c r="K30" s="428">
        <f t="shared" si="5"/>
        <v>185878</v>
      </c>
      <c r="L30" s="428">
        <f t="shared" si="5"/>
        <v>191881</v>
      </c>
      <c r="M30" s="428">
        <f t="shared" si="5"/>
        <v>187362</v>
      </c>
      <c r="N30" s="428">
        <f t="shared" si="5"/>
        <v>184879</v>
      </c>
      <c r="O30" s="429">
        <f t="shared" si="5"/>
        <v>2229531</v>
      </c>
      <c r="P30" s="430"/>
      <c r="Q30" s="431"/>
    </row>
    <row r="31" spans="1:17" s="432" customFormat="1" x14ac:dyDescent="0.2">
      <c r="A31" s="426">
        <v>16</v>
      </c>
      <c r="B31" s="427" t="s">
        <v>913</v>
      </c>
      <c r="C31" s="428">
        <v>5000</v>
      </c>
      <c r="D31" s="428">
        <v>8362</v>
      </c>
      <c r="E31" s="428">
        <v>8500</v>
      </c>
      <c r="F31" s="428">
        <v>12000</v>
      </c>
      <c r="G31" s="428">
        <v>7000</v>
      </c>
      <c r="H31" s="428">
        <v>5000</v>
      </c>
      <c r="I31" s="428">
        <v>6000</v>
      </c>
      <c r="J31" s="428">
        <v>8000</v>
      </c>
      <c r="K31" s="428">
        <v>32000</v>
      </c>
      <c r="L31" s="428">
        <v>5000</v>
      </c>
      <c r="M31" s="428">
        <v>24267</v>
      </c>
      <c r="N31" s="428">
        <v>30043</v>
      </c>
      <c r="O31" s="429">
        <f>SUM(C31:N31)</f>
        <v>151172</v>
      </c>
      <c r="P31" s="430"/>
      <c r="Q31" s="431"/>
    </row>
    <row r="32" spans="1:17" s="432" customFormat="1" x14ac:dyDescent="0.2">
      <c r="A32" s="426">
        <v>17</v>
      </c>
      <c r="B32" s="427" t="s">
        <v>914</v>
      </c>
      <c r="C32" s="428">
        <v>1650</v>
      </c>
      <c r="D32" s="428">
        <v>7500</v>
      </c>
      <c r="E32" s="428">
        <v>13000</v>
      </c>
      <c r="F32" s="428">
        <v>10000</v>
      </c>
      <c r="G32" s="428">
        <v>8500</v>
      </c>
      <c r="H32" s="428">
        <v>4000</v>
      </c>
      <c r="I32" s="428">
        <v>5000</v>
      </c>
      <c r="J32" s="428">
        <v>15000</v>
      </c>
      <c r="K32" s="428">
        <v>45000</v>
      </c>
      <c r="L32" s="428">
        <v>8000</v>
      </c>
      <c r="M32" s="428">
        <v>15000</v>
      </c>
      <c r="N32" s="428">
        <v>29413</v>
      </c>
      <c r="O32" s="429">
        <f>SUM(C32:N32)</f>
        <v>162063</v>
      </c>
      <c r="P32" s="430"/>
      <c r="Q32" s="431"/>
    </row>
    <row r="33" spans="1:17" s="432" customFormat="1" x14ac:dyDescent="0.2">
      <c r="A33" s="426">
        <v>18</v>
      </c>
      <c r="B33" s="427" t="s">
        <v>915</v>
      </c>
      <c r="C33" s="428">
        <v>0</v>
      </c>
      <c r="D33" s="428">
        <v>3000</v>
      </c>
      <c r="E33" s="428">
        <v>4953</v>
      </c>
      <c r="F33" s="428">
        <v>3040</v>
      </c>
      <c r="G33" s="428">
        <v>0</v>
      </c>
      <c r="H33" s="428">
        <v>4500</v>
      </c>
      <c r="I33" s="428">
        <v>0</v>
      </c>
      <c r="J33" s="428">
        <v>500</v>
      </c>
      <c r="K33" s="428">
        <v>1710</v>
      </c>
      <c r="L33" s="428">
        <v>0</v>
      </c>
      <c r="M33" s="428">
        <v>4000</v>
      </c>
      <c r="N33" s="428">
        <v>2000</v>
      </c>
      <c r="O33" s="429">
        <f>SUM(C33:N33)</f>
        <v>23703</v>
      </c>
      <c r="P33" s="430"/>
      <c r="Q33" s="431"/>
    </row>
    <row r="34" spans="1:17" s="432" customFormat="1" x14ac:dyDescent="0.2">
      <c r="A34" s="426">
        <v>19</v>
      </c>
      <c r="B34" s="427" t="s">
        <v>916</v>
      </c>
      <c r="C34" s="428">
        <f t="shared" ref="C34:O34" si="6">C31+C32+C33</f>
        <v>6650</v>
      </c>
      <c r="D34" s="428">
        <f t="shared" si="6"/>
        <v>18862</v>
      </c>
      <c r="E34" s="428">
        <f t="shared" si="6"/>
        <v>26453</v>
      </c>
      <c r="F34" s="428">
        <f t="shared" si="6"/>
        <v>25040</v>
      </c>
      <c r="G34" s="428">
        <f t="shared" si="6"/>
        <v>15500</v>
      </c>
      <c r="H34" s="428">
        <f t="shared" si="6"/>
        <v>13500</v>
      </c>
      <c r="I34" s="428">
        <f t="shared" si="6"/>
        <v>11000</v>
      </c>
      <c r="J34" s="428">
        <f t="shared" si="6"/>
        <v>23500</v>
      </c>
      <c r="K34" s="428">
        <f t="shared" si="6"/>
        <v>78710</v>
      </c>
      <c r="L34" s="428">
        <f t="shared" si="6"/>
        <v>13000</v>
      </c>
      <c r="M34" s="428">
        <f t="shared" si="6"/>
        <v>43267</v>
      </c>
      <c r="N34" s="428">
        <f t="shared" si="6"/>
        <v>61456</v>
      </c>
      <c r="O34" s="429">
        <f t="shared" si="6"/>
        <v>336938</v>
      </c>
      <c r="P34" s="430"/>
      <c r="Q34" s="431"/>
    </row>
    <row r="35" spans="1:17" s="432" customFormat="1" x14ac:dyDescent="0.2">
      <c r="A35" s="426">
        <v>20</v>
      </c>
      <c r="B35" s="427" t="s">
        <v>917</v>
      </c>
      <c r="C35" s="429"/>
      <c r="D35" s="429"/>
      <c r="E35" s="429"/>
      <c r="F35" s="429"/>
      <c r="G35" s="429">
        <v>8000</v>
      </c>
      <c r="H35" s="429">
        <v>8000</v>
      </c>
      <c r="I35" s="429">
        <v>10000</v>
      </c>
      <c r="J35" s="429">
        <v>45000</v>
      </c>
      <c r="K35" s="429">
        <v>45000</v>
      </c>
      <c r="L35" s="429">
        <v>50000</v>
      </c>
      <c r="M35" s="429">
        <v>50000</v>
      </c>
      <c r="N35" s="429">
        <v>83470</v>
      </c>
      <c r="O35" s="429">
        <f>SUM(C35:N35)</f>
        <v>299470</v>
      </c>
      <c r="P35" s="430"/>
      <c r="Q35" s="431"/>
    </row>
    <row r="36" spans="1:17" x14ac:dyDescent="0.2">
      <c r="A36" s="426">
        <v>21</v>
      </c>
      <c r="B36" s="427" t="s">
        <v>918</v>
      </c>
      <c r="C36" s="428">
        <f t="shared" ref="C36:O36" si="7">C30+C34+C35</f>
        <v>194269</v>
      </c>
      <c r="D36" s="428">
        <f t="shared" si="7"/>
        <v>209789</v>
      </c>
      <c r="E36" s="428">
        <f t="shared" si="7"/>
        <v>211528</v>
      </c>
      <c r="F36" s="428">
        <f t="shared" si="7"/>
        <v>214037</v>
      </c>
      <c r="G36" s="428">
        <f t="shared" si="7"/>
        <v>206102</v>
      </c>
      <c r="H36" s="428">
        <f t="shared" si="7"/>
        <v>206199</v>
      </c>
      <c r="I36" s="428">
        <f t="shared" si="7"/>
        <v>191718</v>
      </c>
      <c r="J36" s="428">
        <f t="shared" si="7"/>
        <v>257394</v>
      </c>
      <c r="K36" s="428">
        <f t="shared" si="7"/>
        <v>309588</v>
      </c>
      <c r="L36" s="428">
        <f t="shared" si="7"/>
        <v>254881</v>
      </c>
      <c r="M36" s="428">
        <f t="shared" si="7"/>
        <v>280629</v>
      </c>
      <c r="N36" s="428">
        <f t="shared" si="7"/>
        <v>329805</v>
      </c>
      <c r="O36" s="428">
        <f t="shared" si="7"/>
        <v>2865939</v>
      </c>
    </row>
    <row r="37" spans="1:17" s="445" customFormat="1" ht="25.5" x14ac:dyDescent="0.2">
      <c r="A37" s="435">
        <v>22</v>
      </c>
      <c r="B37" s="434" t="s">
        <v>954</v>
      </c>
      <c r="C37" s="436">
        <v>39627</v>
      </c>
      <c r="D37" s="436">
        <f t="shared" ref="D37:N37" si="8">D38+D39</f>
        <v>0</v>
      </c>
      <c r="E37" s="436">
        <f t="shared" si="8"/>
        <v>4277</v>
      </c>
      <c r="F37" s="436">
        <f t="shared" si="8"/>
        <v>0</v>
      </c>
      <c r="G37" s="436">
        <f t="shared" si="8"/>
        <v>0</v>
      </c>
      <c r="H37" s="436">
        <f t="shared" si="8"/>
        <v>4277</v>
      </c>
      <c r="I37" s="436">
        <f t="shared" si="8"/>
        <v>0</v>
      </c>
      <c r="J37" s="436">
        <f t="shared" si="8"/>
        <v>0</v>
      </c>
      <c r="K37" s="436">
        <f t="shared" si="8"/>
        <v>4277</v>
      </c>
      <c r="L37" s="436">
        <f t="shared" si="8"/>
        <v>0</v>
      </c>
      <c r="M37" s="436">
        <f t="shared" si="8"/>
        <v>0</v>
      </c>
      <c r="N37" s="436">
        <f t="shared" si="8"/>
        <v>4278</v>
      </c>
      <c r="O37" s="429">
        <f>SUM(C37:N37)</f>
        <v>56736</v>
      </c>
      <c r="P37" s="417"/>
      <c r="Q37" s="417"/>
    </row>
    <row r="38" spans="1:17" s="445" customFormat="1" x14ac:dyDescent="0.2">
      <c r="A38" s="435"/>
      <c r="B38" s="435" t="s">
        <v>919</v>
      </c>
      <c r="C38" s="436">
        <v>0</v>
      </c>
      <c r="D38" s="436">
        <v>0</v>
      </c>
      <c r="E38" s="436">
        <v>0</v>
      </c>
      <c r="F38" s="436">
        <v>0</v>
      </c>
      <c r="G38" s="436">
        <v>0</v>
      </c>
      <c r="H38" s="436">
        <v>0</v>
      </c>
      <c r="I38" s="436">
        <v>0</v>
      </c>
      <c r="J38" s="436">
        <v>0</v>
      </c>
      <c r="K38" s="436">
        <v>0</v>
      </c>
      <c r="L38" s="436">
        <v>0</v>
      </c>
      <c r="M38" s="436">
        <v>0</v>
      </c>
      <c r="N38" s="436">
        <v>0</v>
      </c>
      <c r="O38" s="429">
        <f>SUM(C38:N38)</f>
        <v>0</v>
      </c>
      <c r="P38" s="417"/>
      <c r="Q38" s="417"/>
    </row>
    <row r="39" spans="1:17" s="445" customFormat="1" x14ac:dyDescent="0.2">
      <c r="A39" s="435"/>
      <c r="B39" s="435" t="s">
        <v>920</v>
      </c>
      <c r="C39" s="436">
        <v>0</v>
      </c>
      <c r="D39" s="436">
        <v>0</v>
      </c>
      <c r="E39" s="436">
        <v>4277</v>
      </c>
      <c r="F39" s="436">
        <v>0</v>
      </c>
      <c r="G39" s="436">
        <v>0</v>
      </c>
      <c r="H39" s="436">
        <v>4277</v>
      </c>
      <c r="I39" s="436">
        <v>0</v>
      </c>
      <c r="J39" s="436">
        <v>0</v>
      </c>
      <c r="K39" s="436">
        <v>4277</v>
      </c>
      <c r="L39" s="436">
        <v>0</v>
      </c>
      <c r="M39" s="436">
        <v>0</v>
      </c>
      <c r="N39" s="436">
        <v>4278</v>
      </c>
      <c r="O39" s="429">
        <f>SUM(C39:N39)</f>
        <v>17109</v>
      </c>
      <c r="P39" s="417"/>
      <c r="Q39" s="417"/>
    </row>
    <row r="40" spans="1:17" x14ac:dyDescent="0.2">
      <c r="A40" s="438">
        <v>23</v>
      </c>
      <c r="B40" s="438" t="s">
        <v>921</v>
      </c>
      <c r="C40" s="439">
        <f t="shared" ref="C40:O40" si="9">C36+C37</f>
        <v>233896</v>
      </c>
      <c r="D40" s="439">
        <f t="shared" si="9"/>
        <v>209789</v>
      </c>
      <c r="E40" s="439">
        <f t="shared" si="9"/>
        <v>215805</v>
      </c>
      <c r="F40" s="439">
        <f t="shared" si="9"/>
        <v>214037</v>
      </c>
      <c r="G40" s="439">
        <f t="shared" si="9"/>
        <v>206102</v>
      </c>
      <c r="H40" s="439">
        <f t="shared" si="9"/>
        <v>210476</v>
      </c>
      <c r="I40" s="439">
        <f t="shared" si="9"/>
        <v>191718</v>
      </c>
      <c r="J40" s="439">
        <f t="shared" si="9"/>
        <v>257394</v>
      </c>
      <c r="K40" s="439">
        <f t="shared" si="9"/>
        <v>313865</v>
      </c>
      <c r="L40" s="439">
        <f t="shared" si="9"/>
        <v>254881</v>
      </c>
      <c r="M40" s="439">
        <f t="shared" si="9"/>
        <v>280629</v>
      </c>
      <c r="N40" s="439">
        <f t="shared" si="9"/>
        <v>334083</v>
      </c>
      <c r="O40" s="439">
        <f t="shared" si="9"/>
        <v>2922675</v>
      </c>
      <c r="P40" s="420"/>
    </row>
    <row r="41" spans="1:17" x14ac:dyDescent="0.2">
      <c r="A41" s="426">
        <v>24</v>
      </c>
      <c r="B41" s="435" t="s">
        <v>922</v>
      </c>
      <c r="C41" s="428">
        <f t="shared" ref="C41:N41" si="10">C17-C36</f>
        <v>345912</v>
      </c>
      <c r="D41" s="428">
        <f t="shared" si="10"/>
        <v>-71665</v>
      </c>
      <c r="E41" s="428">
        <f t="shared" si="10"/>
        <v>175096</v>
      </c>
      <c r="F41" s="428">
        <f t="shared" si="10"/>
        <v>-42971</v>
      </c>
      <c r="G41" s="428">
        <f t="shared" si="10"/>
        <v>-56501</v>
      </c>
      <c r="H41" s="428">
        <f t="shared" si="10"/>
        <v>-66029</v>
      </c>
      <c r="I41" s="428">
        <f t="shared" si="10"/>
        <v>-25217</v>
      </c>
      <c r="J41" s="428">
        <f t="shared" si="10"/>
        <v>-74711</v>
      </c>
      <c r="K41" s="428">
        <f t="shared" si="10"/>
        <v>126066</v>
      </c>
      <c r="L41" s="428">
        <f t="shared" si="10"/>
        <v>-79457</v>
      </c>
      <c r="M41" s="428">
        <f t="shared" si="10"/>
        <v>-115311</v>
      </c>
      <c r="N41" s="428">
        <f t="shared" si="10"/>
        <v>-99227</v>
      </c>
      <c r="O41" s="429">
        <f>SUM(C41:N41)</f>
        <v>15985</v>
      </c>
      <c r="P41" s="420"/>
    </row>
    <row r="42" spans="1:17" x14ac:dyDescent="0.2">
      <c r="A42" s="426">
        <v>25</v>
      </c>
      <c r="B42" s="435" t="s">
        <v>923</v>
      </c>
      <c r="C42" s="428">
        <f t="shared" ref="C42:N42" si="11">C22-C40</f>
        <v>322357</v>
      </c>
      <c r="D42" s="428">
        <f t="shared" si="11"/>
        <v>-59665</v>
      </c>
      <c r="E42" s="428">
        <f t="shared" si="11"/>
        <v>183498</v>
      </c>
      <c r="F42" s="428">
        <f t="shared" si="11"/>
        <v>-42971</v>
      </c>
      <c r="G42" s="428">
        <f t="shared" si="11"/>
        <v>-56501</v>
      </c>
      <c r="H42" s="428">
        <f t="shared" si="11"/>
        <v>-70306</v>
      </c>
      <c r="I42" s="428">
        <f t="shared" si="11"/>
        <v>-25217</v>
      </c>
      <c r="J42" s="428">
        <f t="shared" si="11"/>
        <v>-74711</v>
      </c>
      <c r="K42" s="428">
        <f t="shared" si="11"/>
        <v>121789</v>
      </c>
      <c r="L42" s="428">
        <f t="shared" si="11"/>
        <v>-79457</v>
      </c>
      <c r="M42" s="428">
        <f t="shared" si="11"/>
        <v>-115311</v>
      </c>
      <c r="N42" s="428">
        <f t="shared" si="11"/>
        <v>-103505</v>
      </c>
      <c r="O42" s="429">
        <f>SUM(C42:N42)</f>
        <v>0</v>
      </c>
    </row>
    <row r="43" spans="1:17" x14ac:dyDescent="0.2">
      <c r="A43" s="421">
        <v>26</v>
      </c>
      <c r="B43" s="421" t="s">
        <v>924</v>
      </c>
      <c r="C43" s="425">
        <f>C22-C40</f>
        <v>322357</v>
      </c>
      <c r="D43" s="425">
        <f t="shared" ref="D43:O43" si="12">C43+D22-D40</f>
        <v>262692</v>
      </c>
      <c r="E43" s="425">
        <f t="shared" si="12"/>
        <v>446190</v>
      </c>
      <c r="F43" s="425">
        <f t="shared" si="12"/>
        <v>403219</v>
      </c>
      <c r="G43" s="425">
        <f t="shared" si="12"/>
        <v>346718</v>
      </c>
      <c r="H43" s="425">
        <f t="shared" si="12"/>
        <v>276412</v>
      </c>
      <c r="I43" s="425">
        <f t="shared" si="12"/>
        <v>251195</v>
      </c>
      <c r="J43" s="425">
        <f t="shared" si="12"/>
        <v>176484</v>
      </c>
      <c r="K43" s="425">
        <f t="shared" si="12"/>
        <v>298273</v>
      </c>
      <c r="L43" s="425">
        <f t="shared" si="12"/>
        <v>218816</v>
      </c>
      <c r="M43" s="425">
        <f t="shared" si="12"/>
        <v>103505</v>
      </c>
      <c r="N43" s="425">
        <f t="shared" si="12"/>
        <v>0</v>
      </c>
      <c r="O43" s="425">
        <f t="shared" si="12"/>
        <v>0</v>
      </c>
    </row>
    <row r="45" spans="1:17" x14ac:dyDescent="0.2"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</row>
  </sheetData>
  <mergeCells count="1">
    <mergeCell ref="A2:O2"/>
  </mergeCells>
  <pageMargins left="0.19685039370078741" right="0.19685039370078741" top="0.35433070866141736" bottom="0.35433070866141736" header="0.31496062992125984" footer="0.31496062992125984"/>
  <pageSetup paperSize="9" scale="9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"/>
  <sheetViews>
    <sheetView workbookViewId="0"/>
  </sheetViews>
  <sheetFormatPr defaultRowHeight="12.75" x14ac:dyDescent="0.2"/>
  <cols>
    <col min="6" max="6" width="11.28515625" customWidth="1"/>
    <col min="9" max="9" width="10.7109375" customWidth="1"/>
    <col min="14" max="14" width="6" bestFit="1" customWidth="1"/>
    <col min="15" max="15" width="7.28515625" bestFit="1" customWidth="1"/>
    <col min="262" max="262" width="11.28515625" customWidth="1"/>
    <col min="270" max="270" width="6" bestFit="1" customWidth="1"/>
    <col min="271" max="271" width="7.28515625" bestFit="1" customWidth="1"/>
    <col min="518" max="518" width="11.28515625" customWidth="1"/>
    <col min="526" max="526" width="6" bestFit="1" customWidth="1"/>
    <col min="527" max="527" width="7.28515625" bestFit="1" customWidth="1"/>
    <col min="774" max="774" width="11.28515625" customWidth="1"/>
    <col min="782" max="782" width="6" bestFit="1" customWidth="1"/>
    <col min="783" max="783" width="7.28515625" bestFit="1" customWidth="1"/>
    <col min="1030" max="1030" width="11.28515625" customWidth="1"/>
    <col min="1038" max="1038" width="6" bestFit="1" customWidth="1"/>
    <col min="1039" max="1039" width="7.28515625" bestFit="1" customWidth="1"/>
    <col min="1286" max="1286" width="11.28515625" customWidth="1"/>
    <col min="1294" max="1294" width="6" bestFit="1" customWidth="1"/>
    <col min="1295" max="1295" width="7.28515625" bestFit="1" customWidth="1"/>
    <col min="1542" max="1542" width="11.28515625" customWidth="1"/>
    <col min="1550" max="1550" width="6" bestFit="1" customWidth="1"/>
    <col min="1551" max="1551" width="7.28515625" bestFit="1" customWidth="1"/>
    <col min="1798" max="1798" width="11.28515625" customWidth="1"/>
    <col min="1806" max="1806" width="6" bestFit="1" customWidth="1"/>
    <col min="1807" max="1807" width="7.28515625" bestFit="1" customWidth="1"/>
    <col min="2054" max="2054" width="11.28515625" customWidth="1"/>
    <col min="2062" max="2062" width="6" bestFit="1" customWidth="1"/>
    <col min="2063" max="2063" width="7.28515625" bestFit="1" customWidth="1"/>
    <col min="2310" max="2310" width="11.28515625" customWidth="1"/>
    <col min="2318" max="2318" width="6" bestFit="1" customWidth="1"/>
    <col min="2319" max="2319" width="7.28515625" bestFit="1" customWidth="1"/>
    <col min="2566" max="2566" width="11.28515625" customWidth="1"/>
    <col min="2574" max="2574" width="6" bestFit="1" customWidth="1"/>
    <col min="2575" max="2575" width="7.28515625" bestFit="1" customWidth="1"/>
    <col min="2822" max="2822" width="11.28515625" customWidth="1"/>
    <col min="2830" max="2830" width="6" bestFit="1" customWidth="1"/>
    <col min="2831" max="2831" width="7.28515625" bestFit="1" customWidth="1"/>
    <col min="3078" max="3078" width="11.28515625" customWidth="1"/>
    <col min="3086" max="3086" width="6" bestFit="1" customWidth="1"/>
    <col min="3087" max="3087" width="7.28515625" bestFit="1" customWidth="1"/>
    <col min="3334" max="3334" width="11.28515625" customWidth="1"/>
    <col min="3342" max="3342" width="6" bestFit="1" customWidth="1"/>
    <col min="3343" max="3343" width="7.28515625" bestFit="1" customWidth="1"/>
    <col min="3590" max="3590" width="11.28515625" customWidth="1"/>
    <col min="3598" max="3598" width="6" bestFit="1" customWidth="1"/>
    <col min="3599" max="3599" width="7.28515625" bestFit="1" customWidth="1"/>
    <col min="3846" max="3846" width="11.28515625" customWidth="1"/>
    <col min="3854" max="3854" width="6" bestFit="1" customWidth="1"/>
    <col min="3855" max="3855" width="7.28515625" bestFit="1" customWidth="1"/>
    <col min="4102" max="4102" width="11.28515625" customWidth="1"/>
    <col min="4110" max="4110" width="6" bestFit="1" customWidth="1"/>
    <col min="4111" max="4111" width="7.28515625" bestFit="1" customWidth="1"/>
    <col min="4358" max="4358" width="11.28515625" customWidth="1"/>
    <col min="4366" max="4366" width="6" bestFit="1" customWidth="1"/>
    <col min="4367" max="4367" width="7.28515625" bestFit="1" customWidth="1"/>
    <col min="4614" max="4614" width="11.28515625" customWidth="1"/>
    <col min="4622" max="4622" width="6" bestFit="1" customWidth="1"/>
    <col min="4623" max="4623" width="7.28515625" bestFit="1" customWidth="1"/>
    <col min="4870" max="4870" width="11.28515625" customWidth="1"/>
    <col min="4878" max="4878" width="6" bestFit="1" customWidth="1"/>
    <col min="4879" max="4879" width="7.28515625" bestFit="1" customWidth="1"/>
    <col min="5126" max="5126" width="11.28515625" customWidth="1"/>
    <col min="5134" max="5134" width="6" bestFit="1" customWidth="1"/>
    <col min="5135" max="5135" width="7.28515625" bestFit="1" customWidth="1"/>
    <col min="5382" max="5382" width="11.28515625" customWidth="1"/>
    <col min="5390" max="5390" width="6" bestFit="1" customWidth="1"/>
    <col min="5391" max="5391" width="7.28515625" bestFit="1" customWidth="1"/>
    <col min="5638" max="5638" width="11.28515625" customWidth="1"/>
    <col min="5646" max="5646" width="6" bestFit="1" customWidth="1"/>
    <col min="5647" max="5647" width="7.28515625" bestFit="1" customWidth="1"/>
    <col min="5894" max="5894" width="11.28515625" customWidth="1"/>
    <col min="5902" max="5902" width="6" bestFit="1" customWidth="1"/>
    <col min="5903" max="5903" width="7.28515625" bestFit="1" customWidth="1"/>
    <col min="6150" max="6150" width="11.28515625" customWidth="1"/>
    <col min="6158" max="6158" width="6" bestFit="1" customWidth="1"/>
    <col min="6159" max="6159" width="7.28515625" bestFit="1" customWidth="1"/>
    <col min="6406" max="6406" width="11.28515625" customWidth="1"/>
    <col min="6414" max="6414" width="6" bestFit="1" customWidth="1"/>
    <col min="6415" max="6415" width="7.28515625" bestFit="1" customWidth="1"/>
    <col min="6662" max="6662" width="11.28515625" customWidth="1"/>
    <col min="6670" max="6670" width="6" bestFit="1" customWidth="1"/>
    <col min="6671" max="6671" width="7.28515625" bestFit="1" customWidth="1"/>
    <col min="6918" max="6918" width="11.28515625" customWidth="1"/>
    <col min="6926" max="6926" width="6" bestFit="1" customWidth="1"/>
    <col min="6927" max="6927" width="7.28515625" bestFit="1" customWidth="1"/>
    <col min="7174" max="7174" width="11.28515625" customWidth="1"/>
    <col min="7182" max="7182" width="6" bestFit="1" customWidth="1"/>
    <col min="7183" max="7183" width="7.28515625" bestFit="1" customWidth="1"/>
    <col min="7430" max="7430" width="11.28515625" customWidth="1"/>
    <col min="7438" max="7438" width="6" bestFit="1" customWidth="1"/>
    <col min="7439" max="7439" width="7.28515625" bestFit="1" customWidth="1"/>
    <col min="7686" max="7686" width="11.28515625" customWidth="1"/>
    <col min="7694" max="7694" width="6" bestFit="1" customWidth="1"/>
    <col min="7695" max="7695" width="7.28515625" bestFit="1" customWidth="1"/>
    <col min="7942" max="7942" width="11.28515625" customWidth="1"/>
    <col min="7950" max="7950" width="6" bestFit="1" customWidth="1"/>
    <col min="7951" max="7951" width="7.28515625" bestFit="1" customWidth="1"/>
    <col min="8198" max="8198" width="11.28515625" customWidth="1"/>
    <col min="8206" max="8206" width="6" bestFit="1" customWidth="1"/>
    <col min="8207" max="8207" width="7.28515625" bestFit="1" customWidth="1"/>
    <col min="8454" max="8454" width="11.28515625" customWidth="1"/>
    <col min="8462" max="8462" width="6" bestFit="1" customWidth="1"/>
    <col min="8463" max="8463" width="7.28515625" bestFit="1" customWidth="1"/>
    <col min="8710" max="8710" width="11.28515625" customWidth="1"/>
    <col min="8718" max="8718" width="6" bestFit="1" customWidth="1"/>
    <col min="8719" max="8719" width="7.28515625" bestFit="1" customWidth="1"/>
    <col min="8966" max="8966" width="11.28515625" customWidth="1"/>
    <col min="8974" max="8974" width="6" bestFit="1" customWidth="1"/>
    <col min="8975" max="8975" width="7.28515625" bestFit="1" customWidth="1"/>
    <col min="9222" max="9222" width="11.28515625" customWidth="1"/>
    <col min="9230" max="9230" width="6" bestFit="1" customWidth="1"/>
    <col min="9231" max="9231" width="7.28515625" bestFit="1" customWidth="1"/>
    <col min="9478" max="9478" width="11.28515625" customWidth="1"/>
    <col min="9486" max="9486" width="6" bestFit="1" customWidth="1"/>
    <col min="9487" max="9487" width="7.28515625" bestFit="1" customWidth="1"/>
    <col min="9734" max="9734" width="11.28515625" customWidth="1"/>
    <col min="9742" max="9742" width="6" bestFit="1" customWidth="1"/>
    <col min="9743" max="9743" width="7.28515625" bestFit="1" customWidth="1"/>
    <col min="9990" max="9990" width="11.28515625" customWidth="1"/>
    <col min="9998" max="9998" width="6" bestFit="1" customWidth="1"/>
    <col min="9999" max="9999" width="7.28515625" bestFit="1" customWidth="1"/>
    <col min="10246" max="10246" width="11.28515625" customWidth="1"/>
    <col min="10254" max="10254" width="6" bestFit="1" customWidth="1"/>
    <col min="10255" max="10255" width="7.28515625" bestFit="1" customWidth="1"/>
    <col min="10502" max="10502" width="11.28515625" customWidth="1"/>
    <col min="10510" max="10510" width="6" bestFit="1" customWidth="1"/>
    <col min="10511" max="10511" width="7.28515625" bestFit="1" customWidth="1"/>
    <col min="10758" max="10758" width="11.28515625" customWidth="1"/>
    <col min="10766" max="10766" width="6" bestFit="1" customWidth="1"/>
    <col min="10767" max="10767" width="7.28515625" bestFit="1" customWidth="1"/>
    <col min="11014" max="11014" width="11.28515625" customWidth="1"/>
    <col min="11022" max="11022" width="6" bestFit="1" customWidth="1"/>
    <col min="11023" max="11023" width="7.28515625" bestFit="1" customWidth="1"/>
    <col min="11270" max="11270" width="11.28515625" customWidth="1"/>
    <col min="11278" max="11278" width="6" bestFit="1" customWidth="1"/>
    <col min="11279" max="11279" width="7.28515625" bestFit="1" customWidth="1"/>
    <col min="11526" max="11526" width="11.28515625" customWidth="1"/>
    <col min="11534" max="11534" width="6" bestFit="1" customWidth="1"/>
    <col min="11535" max="11535" width="7.28515625" bestFit="1" customWidth="1"/>
    <col min="11782" max="11782" width="11.28515625" customWidth="1"/>
    <col min="11790" max="11790" width="6" bestFit="1" customWidth="1"/>
    <col min="11791" max="11791" width="7.28515625" bestFit="1" customWidth="1"/>
    <col min="12038" max="12038" width="11.28515625" customWidth="1"/>
    <col min="12046" max="12046" width="6" bestFit="1" customWidth="1"/>
    <col min="12047" max="12047" width="7.28515625" bestFit="1" customWidth="1"/>
    <col min="12294" max="12294" width="11.28515625" customWidth="1"/>
    <col min="12302" max="12302" width="6" bestFit="1" customWidth="1"/>
    <col min="12303" max="12303" width="7.28515625" bestFit="1" customWidth="1"/>
    <col min="12550" max="12550" width="11.28515625" customWidth="1"/>
    <col min="12558" max="12558" width="6" bestFit="1" customWidth="1"/>
    <col min="12559" max="12559" width="7.28515625" bestFit="1" customWidth="1"/>
    <col min="12806" max="12806" width="11.28515625" customWidth="1"/>
    <col min="12814" max="12814" width="6" bestFit="1" customWidth="1"/>
    <col min="12815" max="12815" width="7.28515625" bestFit="1" customWidth="1"/>
    <col min="13062" max="13062" width="11.28515625" customWidth="1"/>
    <col min="13070" max="13070" width="6" bestFit="1" customWidth="1"/>
    <col min="13071" max="13071" width="7.28515625" bestFit="1" customWidth="1"/>
    <col min="13318" max="13318" width="11.28515625" customWidth="1"/>
    <col min="13326" max="13326" width="6" bestFit="1" customWidth="1"/>
    <col min="13327" max="13327" width="7.28515625" bestFit="1" customWidth="1"/>
    <col min="13574" max="13574" width="11.28515625" customWidth="1"/>
    <col min="13582" max="13582" width="6" bestFit="1" customWidth="1"/>
    <col min="13583" max="13583" width="7.28515625" bestFit="1" customWidth="1"/>
    <col min="13830" max="13830" width="11.28515625" customWidth="1"/>
    <col min="13838" max="13838" width="6" bestFit="1" customWidth="1"/>
    <col min="13839" max="13839" width="7.28515625" bestFit="1" customWidth="1"/>
    <col min="14086" max="14086" width="11.28515625" customWidth="1"/>
    <col min="14094" max="14094" width="6" bestFit="1" customWidth="1"/>
    <col min="14095" max="14095" width="7.28515625" bestFit="1" customWidth="1"/>
    <col min="14342" max="14342" width="11.28515625" customWidth="1"/>
    <col min="14350" max="14350" width="6" bestFit="1" customWidth="1"/>
    <col min="14351" max="14351" width="7.28515625" bestFit="1" customWidth="1"/>
    <col min="14598" max="14598" width="11.28515625" customWidth="1"/>
    <col min="14606" max="14606" width="6" bestFit="1" customWidth="1"/>
    <col min="14607" max="14607" width="7.28515625" bestFit="1" customWidth="1"/>
    <col min="14854" max="14854" width="11.28515625" customWidth="1"/>
    <col min="14862" max="14862" width="6" bestFit="1" customWidth="1"/>
    <col min="14863" max="14863" width="7.28515625" bestFit="1" customWidth="1"/>
    <col min="15110" max="15110" width="11.28515625" customWidth="1"/>
    <col min="15118" max="15118" width="6" bestFit="1" customWidth="1"/>
    <col min="15119" max="15119" width="7.28515625" bestFit="1" customWidth="1"/>
    <col min="15366" max="15366" width="11.28515625" customWidth="1"/>
    <col min="15374" max="15374" width="6" bestFit="1" customWidth="1"/>
    <col min="15375" max="15375" width="7.28515625" bestFit="1" customWidth="1"/>
    <col min="15622" max="15622" width="11.28515625" customWidth="1"/>
    <col min="15630" max="15630" width="6" bestFit="1" customWidth="1"/>
    <col min="15631" max="15631" width="7.28515625" bestFit="1" customWidth="1"/>
    <col min="15878" max="15878" width="11.28515625" customWidth="1"/>
    <col min="15886" max="15886" width="6" bestFit="1" customWidth="1"/>
    <col min="15887" max="15887" width="7.28515625" bestFit="1" customWidth="1"/>
    <col min="16134" max="16134" width="11.28515625" customWidth="1"/>
    <col min="16142" max="16142" width="6" bestFit="1" customWidth="1"/>
    <col min="16143" max="16143" width="7.28515625" bestFit="1" customWidth="1"/>
  </cols>
  <sheetData>
    <row r="1" spans="1:19" x14ac:dyDescent="0.2">
      <c r="A1" s="414"/>
      <c r="B1" s="414"/>
      <c r="C1" s="414"/>
      <c r="D1" s="570" t="s">
        <v>979</v>
      </c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</row>
    <row r="2" spans="1:19" x14ac:dyDescent="0.2">
      <c r="A2" s="571" t="s">
        <v>956</v>
      </c>
      <c r="B2" s="571"/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571"/>
    </row>
    <row r="3" spans="1:19" x14ac:dyDescent="0.2">
      <c r="A3" s="571"/>
      <c r="B3" s="571"/>
      <c r="C3" s="571"/>
      <c r="D3" s="571"/>
      <c r="E3" s="571"/>
      <c r="F3" s="571"/>
      <c r="G3" s="571"/>
      <c r="H3" s="571"/>
      <c r="I3" s="571"/>
      <c r="J3" s="571"/>
      <c r="K3" s="571"/>
      <c r="L3" s="571"/>
      <c r="M3" s="571"/>
      <c r="N3" s="571"/>
      <c r="O3" s="571"/>
      <c r="P3" s="571"/>
      <c r="Q3" s="571"/>
      <c r="R3" s="571"/>
      <c r="S3" s="571"/>
    </row>
    <row r="4" spans="1:19" ht="19.5" thickBot="1" x14ac:dyDescent="0.35">
      <c r="A4" s="414"/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46"/>
      <c r="R4" s="414"/>
      <c r="S4" s="447" t="s">
        <v>50</v>
      </c>
    </row>
    <row r="5" spans="1:19" ht="77.25" thickTop="1" x14ac:dyDescent="0.2">
      <c r="A5" s="448"/>
      <c r="B5" s="449"/>
      <c r="C5" s="449"/>
      <c r="D5" s="450"/>
      <c r="E5" s="451" t="s">
        <v>908</v>
      </c>
      <c r="F5" s="452" t="s">
        <v>139</v>
      </c>
      <c r="G5" s="451" t="s">
        <v>52</v>
      </c>
      <c r="H5" s="453" t="s">
        <v>83</v>
      </c>
      <c r="I5" s="453" t="s">
        <v>84</v>
      </c>
      <c r="J5" s="453" t="s">
        <v>45</v>
      </c>
      <c r="K5" s="454" t="s">
        <v>382</v>
      </c>
      <c r="L5" s="455" t="s">
        <v>925</v>
      </c>
      <c r="M5" s="456" t="s">
        <v>926</v>
      </c>
      <c r="N5" s="451" t="s">
        <v>927</v>
      </c>
      <c r="O5" s="451" t="s">
        <v>928</v>
      </c>
      <c r="P5" s="451" t="s">
        <v>929</v>
      </c>
      <c r="Q5" s="457" t="s">
        <v>930</v>
      </c>
      <c r="R5" s="457" t="s">
        <v>382</v>
      </c>
      <c r="S5" s="458" t="s">
        <v>931</v>
      </c>
    </row>
    <row r="6" spans="1:19" x14ac:dyDescent="0.2">
      <c r="A6" s="459" t="s">
        <v>75</v>
      </c>
      <c r="B6" s="460"/>
      <c r="C6" s="460"/>
      <c r="D6" s="461"/>
      <c r="E6" s="436" t="e">
        <f>#REF!</f>
        <v>#REF!</v>
      </c>
      <c r="F6" s="436" t="e">
        <f>#REF!</f>
        <v>#REF!</v>
      </c>
      <c r="G6" s="436" t="e">
        <f>#REF!</f>
        <v>#REF!</v>
      </c>
      <c r="H6" s="436">
        <v>0</v>
      </c>
      <c r="I6" s="436" t="e">
        <f>#REF!</f>
        <v>#REF!</v>
      </c>
      <c r="J6" s="436">
        <v>0</v>
      </c>
      <c r="K6" s="462" t="e">
        <f>SUM(E6:J6)</f>
        <v>#REF!</v>
      </c>
      <c r="L6" s="463">
        <v>0</v>
      </c>
      <c r="M6" s="436">
        <v>0</v>
      </c>
      <c r="N6" s="436">
        <v>0</v>
      </c>
      <c r="O6" s="436">
        <v>0</v>
      </c>
      <c r="P6" s="436">
        <v>70584</v>
      </c>
      <c r="Q6" s="436" t="e">
        <f>K6-L6-N6-O6-P6-M6</f>
        <v>#REF!</v>
      </c>
      <c r="R6" s="436" t="e">
        <f>SUM(L6:Q6)</f>
        <v>#REF!</v>
      </c>
      <c r="S6" s="464" t="e">
        <f>P6+Q6</f>
        <v>#REF!</v>
      </c>
    </row>
    <row r="7" spans="1:19" x14ac:dyDescent="0.2">
      <c r="A7" s="465" t="s">
        <v>76</v>
      </c>
      <c r="B7" s="466"/>
      <c r="C7" s="466"/>
      <c r="D7" s="467"/>
      <c r="E7" s="436" t="e">
        <f>#REF!</f>
        <v>#REF!</v>
      </c>
      <c r="F7" s="436" t="e">
        <f>#REF!</f>
        <v>#REF!</v>
      </c>
      <c r="G7" s="436" t="e">
        <f>#REF!</f>
        <v>#REF!</v>
      </c>
      <c r="H7" s="436">
        <v>0</v>
      </c>
      <c r="I7" s="436" t="e">
        <f>#REF!</f>
        <v>#REF!</v>
      </c>
      <c r="J7" s="436" t="e">
        <f>#REF!</f>
        <v>#REF!</v>
      </c>
      <c r="K7" s="462" t="e">
        <f>SUM(E7:J7)</f>
        <v>#REF!</v>
      </c>
      <c r="L7" s="468" t="e">
        <f>#REF!</f>
        <v>#REF!</v>
      </c>
      <c r="M7" s="469">
        <v>0</v>
      </c>
      <c r="N7" s="436">
        <v>0</v>
      </c>
      <c r="O7" s="436">
        <v>0</v>
      </c>
      <c r="P7" s="436">
        <v>178270</v>
      </c>
      <c r="Q7" s="436" t="e">
        <f>K7-L7-N7-O7-P7-M7</f>
        <v>#REF!</v>
      </c>
      <c r="R7" s="436" t="e">
        <f>SUM(L7:Q7)</f>
        <v>#REF!</v>
      </c>
      <c r="S7" s="464" t="e">
        <f>P7+Q7</f>
        <v>#REF!</v>
      </c>
    </row>
    <row r="8" spans="1:19" x14ac:dyDescent="0.2">
      <c r="A8" s="459" t="s">
        <v>932</v>
      </c>
      <c r="B8" s="460"/>
      <c r="C8" s="460"/>
      <c r="D8" s="461"/>
      <c r="E8" s="436" t="e">
        <f>#REF!</f>
        <v>#REF!</v>
      </c>
      <c r="F8" s="436" t="e">
        <f>#REF!</f>
        <v>#REF!</v>
      </c>
      <c r="G8" s="436" t="e">
        <f>#REF!</f>
        <v>#REF!</v>
      </c>
      <c r="H8" s="436">
        <v>0</v>
      </c>
      <c r="I8" s="436" t="e">
        <f>#REF!</f>
        <v>#REF!</v>
      </c>
      <c r="J8" s="436">
        <v>0</v>
      </c>
      <c r="K8" s="462" t="e">
        <f>SUM(E8:J8)</f>
        <v>#REF!</v>
      </c>
      <c r="L8" s="468" t="e">
        <f>#REF!</f>
        <v>#REF!</v>
      </c>
      <c r="M8" s="469">
        <v>0</v>
      </c>
      <c r="N8" s="436">
        <v>0</v>
      </c>
      <c r="O8" s="436">
        <v>0</v>
      </c>
      <c r="P8" s="436">
        <v>151050</v>
      </c>
      <c r="Q8" s="436" t="e">
        <f>K8-L8-N8-O8-P8-M8</f>
        <v>#REF!</v>
      </c>
      <c r="R8" s="436" t="e">
        <f>SUM(L8:Q8)</f>
        <v>#REF!</v>
      </c>
      <c r="S8" s="464" t="e">
        <f>P8+Q8</f>
        <v>#REF!</v>
      </c>
    </row>
    <row r="9" spans="1:19" x14ac:dyDescent="0.2">
      <c r="A9" s="459" t="s">
        <v>77</v>
      </c>
      <c r="B9" s="460"/>
      <c r="C9" s="460"/>
      <c r="D9" s="461"/>
      <c r="E9" s="436" t="e">
        <f>#REF!</f>
        <v>#REF!</v>
      </c>
      <c r="F9" s="436" t="e">
        <f>#REF!</f>
        <v>#REF!</v>
      </c>
      <c r="G9" s="436" t="e">
        <f>#REF!</f>
        <v>#REF!</v>
      </c>
      <c r="H9" s="436">
        <v>0</v>
      </c>
      <c r="I9" s="436" t="e">
        <f>#REF!</f>
        <v>#REF!</v>
      </c>
      <c r="J9" s="436">
        <v>0</v>
      </c>
      <c r="K9" s="462" t="e">
        <f>SUM(E9:J9)</f>
        <v>#REF!</v>
      </c>
      <c r="L9" s="468" t="e">
        <f>#REF!</f>
        <v>#REF!</v>
      </c>
      <c r="M9" s="469">
        <v>0</v>
      </c>
      <c r="N9" s="436">
        <v>0</v>
      </c>
      <c r="O9" s="436">
        <v>0</v>
      </c>
      <c r="P9" s="436">
        <v>0</v>
      </c>
      <c r="Q9" s="436" t="e">
        <f>K9-L9-N9-O9-P9-M9</f>
        <v>#REF!</v>
      </c>
      <c r="R9" s="436" t="e">
        <f>SUM(L9:Q9)</f>
        <v>#REF!</v>
      </c>
      <c r="S9" s="464" t="e">
        <f>P9+Q9</f>
        <v>#REF!</v>
      </c>
    </row>
    <row r="10" spans="1:19" ht="13.5" thickBot="1" x14ac:dyDescent="0.25">
      <c r="A10" s="470" t="s">
        <v>80</v>
      </c>
      <c r="B10" s="471"/>
      <c r="C10" s="471"/>
      <c r="D10" s="472"/>
      <c r="E10" s="473" t="e">
        <f>#REF!</f>
        <v>#REF!</v>
      </c>
      <c r="F10" s="473" t="e">
        <f>#REF!</f>
        <v>#REF!</v>
      </c>
      <c r="G10" s="473" t="e">
        <f>#REF!</f>
        <v>#REF!</v>
      </c>
      <c r="H10" s="473">
        <v>0</v>
      </c>
      <c r="I10" s="473" t="e">
        <f>#REF!</f>
        <v>#REF!</v>
      </c>
      <c r="J10" s="473">
        <v>0</v>
      </c>
      <c r="K10" s="474" t="e">
        <f>SUM(E10:J10)</f>
        <v>#REF!</v>
      </c>
      <c r="L10" s="475" t="e">
        <f>#REF!</f>
        <v>#REF!</v>
      </c>
      <c r="M10" s="476">
        <v>0</v>
      </c>
      <c r="N10" s="473" t="e">
        <f>#REF!</f>
        <v>#REF!</v>
      </c>
      <c r="O10" s="473">
        <v>0</v>
      </c>
      <c r="P10" s="473">
        <v>224832</v>
      </c>
      <c r="Q10" s="473" t="e">
        <f>K10-L10-N10-O10-P10-M10</f>
        <v>#REF!</v>
      </c>
      <c r="R10" s="473" t="e">
        <f>SUM(L10:Q10)</f>
        <v>#REF!</v>
      </c>
      <c r="S10" s="477" t="e">
        <f>P10+Q10</f>
        <v>#REF!</v>
      </c>
    </row>
    <row r="11" spans="1:19" ht="14.25" thickTop="1" thickBot="1" x14ac:dyDescent="0.25">
      <c r="A11" s="572" t="s">
        <v>49</v>
      </c>
      <c r="B11" s="573"/>
      <c r="C11" s="573"/>
      <c r="D11" s="574"/>
      <c r="E11" s="478" t="e">
        <f t="shared" ref="E11:S11" si="0">E6+E7+E8+E9+E10</f>
        <v>#REF!</v>
      </c>
      <c r="F11" s="478" t="e">
        <f t="shared" si="0"/>
        <v>#REF!</v>
      </c>
      <c r="G11" s="478" t="e">
        <f t="shared" si="0"/>
        <v>#REF!</v>
      </c>
      <c r="H11" s="478">
        <f t="shared" si="0"/>
        <v>0</v>
      </c>
      <c r="I11" s="478" t="e">
        <f t="shared" si="0"/>
        <v>#REF!</v>
      </c>
      <c r="J11" s="478" t="e">
        <f t="shared" si="0"/>
        <v>#REF!</v>
      </c>
      <c r="K11" s="479" t="e">
        <f t="shared" si="0"/>
        <v>#REF!</v>
      </c>
      <c r="L11" s="480" t="e">
        <f t="shared" si="0"/>
        <v>#REF!</v>
      </c>
      <c r="M11" s="478">
        <f t="shared" si="0"/>
        <v>0</v>
      </c>
      <c r="N11" s="478" t="e">
        <f t="shared" si="0"/>
        <v>#REF!</v>
      </c>
      <c r="O11" s="478">
        <f t="shared" si="0"/>
        <v>0</v>
      </c>
      <c r="P11" s="478">
        <f t="shared" si="0"/>
        <v>624736</v>
      </c>
      <c r="Q11" s="478" t="e">
        <f t="shared" si="0"/>
        <v>#REF!</v>
      </c>
      <c r="R11" s="478" t="e">
        <f t="shared" si="0"/>
        <v>#REF!</v>
      </c>
      <c r="S11" s="479" t="e">
        <f t="shared" si="0"/>
        <v>#REF!</v>
      </c>
    </row>
    <row r="12" spans="1:19" ht="13.5" thickTop="1" x14ac:dyDescent="0.2"/>
  </sheetData>
  <mergeCells count="3">
    <mergeCell ref="D1:S1"/>
    <mergeCell ref="A2:S3"/>
    <mergeCell ref="A11:D11"/>
  </mergeCells>
  <pageMargins left="0.7" right="0.7" top="0.75" bottom="0.75" header="0.3" footer="0.3"/>
  <pageSetup paperSize="9" scale="7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sqref="A1:I1"/>
    </sheetView>
  </sheetViews>
  <sheetFormatPr defaultRowHeight="12.75" x14ac:dyDescent="0.2"/>
  <cols>
    <col min="7" max="7" width="10.140625" bestFit="1" customWidth="1"/>
  </cols>
  <sheetData>
    <row r="1" spans="1:9" ht="15.75" x14ac:dyDescent="0.25">
      <c r="A1" s="575" t="s">
        <v>980</v>
      </c>
      <c r="B1" s="575"/>
      <c r="C1" s="575"/>
      <c r="D1" s="575"/>
      <c r="E1" s="575"/>
      <c r="F1" s="575"/>
      <c r="G1" s="575"/>
      <c r="H1" s="575"/>
      <c r="I1" s="575"/>
    </row>
    <row r="2" spans="1:9" ht="15.75" x14ac:dyDescent="0.25">
      <c r="A2" s="506"/>
      <c r="B2" s="506"/>
      <c r="C2" s="506"/>
      <c r="D2" s="506"/>
      <c r="E2" s="506"/>
      <c r="F2" s="506"/>
      <c r="G2" s="481"/>
      <c r="H2" s="506"/>
    </row>
    <row r="3" spans="1:9" ht="15.75" x14ac:dyDescent="0.25">
      <c r="A3" s="576" t="s">
        <v>957</v>
      </c>
      <c r="B3" s="576"/>
      <c r="C3" s="576"/>
      <c r="D3" s="576"/>
      <c r="E3" s="576"/>
      <c r="F3" s="576"/>
      <c r="G3" s="576"/>
      <c r="H3" s="576"/>
    </row>
    <row r="4" spans="1:9" ht="15.75" x14ac:dyDescent="0.25">
      <c r="A4" s="576" t="s">
        <v>933</v>
      </c>
      <c r="B4" s="576"/>
      <c r="C4" s="576"/>
      <c r="D4" s="576"/>
      <c r="E4" s="576"/>
      <c r="F4" s="576"/>
      <c r="G4" s="576"/>
      <c r="H4" s="482"/>
    </row>
    <row r="5" spans="1:9" ht="15.75" x14ac:dyDescent="0.25">
      <c r="A5" s="483"/>
      <c r="B5" s="483"/>
      <c r="C5" s="483"/>
      <c r="D5" s="483"/>
      <c r="E5" s="483"/>
      <c r="F5" s="483"/>
      <c r="G5" s="484"/>
      <c r="H5" s="201"/>
    </row>
    <row r="6" spans="1:9" ht="15.75" x14ac:dyDescent="0.25">
      <c r="A6" s="201"/>
      <c r="B6" s="201"/>
      <c r="C6" s="201"/>
      <c r="D6" s="201"/>
      <c r="E6" s="201"/>
      <c r="F6" s="201"/>
      <c r="G6" s="481" t="s">
        <v>50</v>
      </c>
      <c r="H6" s="201"/>
    </row>
    <row r="7" spans="1:9" ht="15.75" x14ac:dyDescent="0.25">
      <c r="A7" s="201" t="s">
        <v>934</v>
      </c>
      <c r="B7" s="201"/>
      <c r="C7" s="201"/>
      <c r="D7" s="201"/>
      <c r="E7" s="201"/>
      <c r="F7" s="201"/>
      <c r="G7" s="485">
        <v>387</v>
      </c>
      <c r="H7" s="201"/>
    </row>
    <row r="8" spans="1:9" ht="15.75" x14ac:dyDescent="0.25">
      <c r="A8" s="201" t="s">
        <v>935</v>
      </c>
      <c r="B8" s="201"/>
      <c r="C8" s="201"/>
      <c r="D8" s="201"/>
      <c r="E8" s="201"/>
      <c r="F8" s="201"/>
      <c r="G8" s="485">
        <v>600</v>
      </c>
      <c r="H8" s="201"/>
    </row>
    <row r="9" spans="1:9" ht="15.75" x14ac:dyDescent="0.25">
      <c r="A9" s="201" t="s">
        <v>936</v>
      </c>
      <c r="B9" s="201"/>
      <c r="C9" s="201"/>
      <c r="D9" s="201"/>
      <c r="E9" s="201"/>
      <c r="F9" s="201"/>
      <c r="G9" s="485">
        <v>2500</v>
      </c>
      <c r="H9" s="201"/>
    </row>
    <row r="10" spans="1:9" ht="15.75" x14ac:dyDescent="0.25">
      <c r="A10" s="201" t="s">
        <v>937</v>
      </c>
      <c r="B10" s="201"/>
      <c r="C10" s="201"/>
      <c r="D10" s="201"/>
      <c r="E10" s="201"/>
      <c r="F10" s="201"/>
      <c r="G10" s="485">
        <v>580</v>
      </c>
      <c r="H10" s="201"/>
    </row>
    <row r="11" spans="1:9" ht="15.75" x14ac:dyDescent="0.25">
      <c r="A11" s="507" t="s">
        <v>961</v>
      </c>
      <c r="B11" s="201"/>
      <c r="C11" s="201"/>
      <c r="D11" s="201"/>
      <c r="E11" s="201"/>
      <c r="F11" s="201"/>
      <c r="G11" s="485"/>
      <c r="H11" s="201"/>
    </row>
    <row r="12" spans="1:9" ht="15.75" x14ac:dyDescent="0.25">
      <c r="A12" s="201" t="s">
        <v>962</v>
      </c>
      <c r="B12" s="201"/>
      <c r="C12" s="201"/>
      <c r="D12" s="201"/>
      <c r="E12" s="201"/>
      <c r="F12" s="201"/>
      <c r="G12" s="485">
        <v>9182</v>
      </c>
      <c r="H12" s="201"/>
    </row>
    <row r="13" spans="1:9" ht="15.75" x14ac:dyDescent="0.25">
      <c r="A13" s="201" t="s">
        <v>963</v>
      </c>
      <c r="B13" s="201"/>
      <c r="C13" s="201"/>
      <c r="D13" s="201"/>
      <c r="E13" s="201"/>
      <c r="F13" s="201"/>
      <c r="G13" s="485">
        <v>1043</v>
      </c>
      <c r="H13" s="201"/>
    </row>
    <row r="14" spans="1:9" ht="15.75" x14ac:dyDescent="0.25">
      <c r="A14" s="201"/>
      <c r="B14" s="201"/>
      <c r="C14" s="201"/>
      <c r="D14" s="201"/>
      <c r="E14" s="201"/>
      <c r="F14" s="201"/>
      <c r="G14" s="485"/>
      <c r="H14" s="201"/>
    </row>
    <row r="15" spans="1:9" ht="15.75" x14ac:dyDescent="0.25">
      <c r="A15" s="482" t="s">
        <v>49</v>
      </c>
      <c r="B15" s="201"/>
      <c r="C15" s="201"/>
      <c r="D15" s="201"/>
      <c r="E15" s="201"/>
      <c r="F15" s="201"/>
      <c r="G15" s="486">
        <f>SUM(G7:G14)</f>
        <v>14292</v>
      </c>
      <c r="H15" s="201"/>
    </row>
    <row r="16" spans="1:9" ht="15.75" x14ac:dyDescent="0.25">
      <c r="A16" s="201"/>
      <c r="B16" s="201"/>
      <c r="C16" s="201"/>
      <c r="D16" s="201"/>
      <c r="E16" s="201"/>
      <c r="F16" s="201"/>
      <c r="G16" s="485"/>
      <c r="H16" s="201"/>
    </row>
    <row r="17" spans="1:10" ht="15.75" x14ac:dyDescent="0.25">
      <c r="A17" s="201"/>
      <c r="B17" s="201"/>
      <c r="C17" s="201"/>
      <c r="D17" s="201"/>
      <c r="E17" s="201"/>
      <c r="F17" s="201"/>
      <c r="G17" s="485"/>
      <c r="H17" s="201"/>
    </row>
    <row r="18" spans="1:10" ht="15.75" x14ac:dyDescent="0.25">
      <c r="A18" s="201" t="s">
        <v>938</v>
      </c>
      <c r="B18" s="201"/>
      <c r="C18" s="201"/>
      <c r="D18" s="201"/>
      <c r="E18" s="201"/>
      <c r="F18" s="201"/>
      <c r="G18" s="508">
        <v>3501</v>
      </c>
      <c r="H18" s="201"/>
      <c r="J18" s="201"/>
    </row>
    <row r="19" spans="1:10" ht="15.75" x14ac:dyDescent="0.25">
      <c r="A19" s="201"/>
      <c r="B19" s="201"/>
      <c r="C19" s="201"/>
      <c r="D19" s="201"/>
      <c r="E19" s="201"/>
      <c r="F19" s="201"/>
      <c r="G19" s="485"/>
      <c r="H19" s="201"/>
    </row>
    <row r="20" spans="1:10" ht="15.75" x14ac:dyDescent="0.25">
      <c r="A20" s="201" t="s">
        <v>939</v>
      </c>
      <c r="B20" s="201"/>
      <c r="C20" s="201"/>
      <c r="D20" s="201"/>
      <c r="E20" s="201"/>
      <c r="F20" s="201"/>
      <c r="G20" s="485">
        <v>1600</v>
      </c>
      <c r="H20" s="201"/>
    </row>
    <row r="21" spans="1:10" ht="15.75" x14ac:dyDescent="0.25">
      <c r="A21" s="201"/>
      <c r="B21" s="201"/>
      <c r="C21" s="201"/>
      <c r="D21" s="201"/>
      <c r="E21" s="201"/>
      <c r="F21" s="201"/>
      <c r="G21" s="485"/>
      <c r="H21" s="201"/>
    </row>
    <row r="22" spans="1:10" ht="15.75" x14ac:dyDescent="0.25">
      <c r="A22" s="201" t="s">
        <v>964</v>
      </c>
      <c r="B22" s="201"/>
      <c r="C22" s="201"/>
      <c r="D22" s="201"/>
      <c r="E22" s="201"/>
      <c r="F22" s="201"/>
      <c r="G22" s="485"/>
      <c r="H22" s="201"/>
    </row>
    <row r="23" spans="1:10" ht="15.75" x14ac:dyDescent="0.25">
      <c r="A23" s="487" t="s">
        <v>965</v>
      </c>
      <c r="G23" s="310"/>
    </row>
    <row r="24" spans="1:10" ht="15.75" x14ac:dyDescent="0.25">
      <c r="A24" s="487" t="s">
        <v>940</v>
      </c>
      <c r="G24" s="310"/>
    </row>
    <row r="25" spans="1:10" x14ac:dyDescent="0.2">
      <c r="G25" s="310"/>
    </row>
    <row r="26" spans="1:10" x14ac:dyDescent="0.2">
      <c r="G26" s="310"/>
    </row>
    <row r="27" spans="1:10" x14ac:dyDescent="0.2">
      <c r="G27" s="310"/>
    </row>
    <row r="28" spans="1:10" x14ac:dyDescent="0.2">
      <c r="G28" s="310"/>
    </row>
    <row r="29" spans="1:10" x14ac:dyDescent="0.2">
      <c r="G29" s="310"/>
    </row>
    <row r="30" spans="1:10" x14ac:dyDescent="0.2">
      <c r="G30" s="310"/>
    </row>
    <row r="31" spans="1:10" x14ac:dyDescent="0.2">
      <c r="G31" s="310"/>
    </row>
  </sheetData>
  <mergeCells count="3">
    <mergeCell ref="A1:I1"/>
    <mergeCell ref="A3:H3"/>
    <mergeCell ref="A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6"/>
  <sheetViews>
    <sheetView view="pageBreakPreview" zoomScaleNormal="80" zoomScaleSheetLayoutView="100" workbookViewId="0"/>
  </sheetViews>
  <sheetFormatPr defaultRowHeight="16.5" x14ac:dyDescent="0.25"/>
  <cols>
    <col min="1" max="1" width="5.85546875" style="79" bestFit="1" customWidth="1"/>
    <col min="2" max="2" width="7.7109375" style="37" bestFit="1" customWidth="1"/>
    <col min="3" max="3" width="65.42578125" style="37" customWidth="1"/>
    <col min="4" max="4" width="10" style="10" customWidth="1"/>
    <col min="5" max="5" width="11.42578125" style="10" bestFit="1" customWidth="1"/>
    <col min="6" max="7" width="9.140625" style="10"/>
    <col min="8" max="8" width="10" style="10" customWidth="1"/>
    <col min="9" max="9" width="11.42578125" style="10" bestFit="1" customWidth="1"/>
    <col min="10" max="11" width="9.140625" style="10"/>
    <col min="12" max="16384" width="9.140625" style="9"/>
  </cols>
  <sheetData>
    <row r="1" spans="1:11" s="12" customFormat="1" x14ac:dyDescent="0.25">
      <c r="A1" s="24"/>
      <c r="B1" s="24"/>
      <c r="C1" s="24"/>
      <c r="D1" s="112"/>
      <c r="E1" s="112"/>
      <c r="F1" s="112"/>
      <c r="G1" s="110"/>
      <c r="H1" s="112"/>
      <c r="I1" s="112"/>
      <c r="J1" s="112"/>
      <c r="K1" s="110" t="s">
        <v>969</v>
      </c>
    </row>
    <row r="2" spans="1:11" s="12" customFormat="1" x14ac:dyDescent="0.25">
      <c r="A2" s="24"/>
      <c r="B2" s="24"/>
      <c r="C2" s="24"/>
      <c r="D2" s="112"/>
      <c r="E2" s="112"/>
      <c r="F2" s="112"/>
      <c r="G2" s="116"/>
      <c r="H2" s="112"/>
      <c r="I2" s="112"/>
      <c r="J2" s="112"/>
      <c r="K2" s="116"/>
    </row>
    <row r="3" spans="1:11" s="12" customFormat="1" x14ac:dyDescent="0.25">
      <c r="A3" s="111"/>
      <c r="B3" s="121"/>
      <c r="C3" s="121"/>
      <c r="D3" s="112"/>
      <c r="E3" s="112"/>
      <c r="F3" s="112"/>
      <c r="G3" s="116"/>
      <c r="H3" s="112"/>
      <c r="I3" s="112"/>
      <c r="J3" s="112"/>
      <c r="K3" s="116"/>
    </row>
    <row r="4" spans="1:11" s="10" customFormat="1" x14ac:dyDescent="0.25">
      <c r="A4" s="25"/>
      <c r="B4" s="25"/>
      <c r="C4" s="25" t="s">
        <v>57</v>
      </c>
      <c r="D4" s="112"/>
      <c r="E4" s="112"/>
      <c r="F4" s="112"/>
      <c r="G4" s="112"/>
      <c r="H4" s="112"/>
      <c r="I4" s="112"/>
      <c r="J4" s="112"/>
      <c r="K4" s="112"/>
    </row>
    <row r="5" spans="1:11" s="10" customFormat="1" ht="17.25" thickBot="1" x14ac:dyDescent="0.3">
      <c r="A5" s="58"/>
      <c r="B5" s="58"/>
      <c r="C5" s="58" t="s">
        <v>369</v>
      </c>
      <c r="D5" s="113"/>
      <c r="E5" s="113"/>
      <c r="F5" s="113"/>
      <c r="G5" s="113"/>
      <c r="H5" s="113"/>
      <c r="I5" s="113"/>
      <c r="J5" s="113"/>
      <c r="K5" s="113"/>
    </row>
    <row r="6" spans="1:11" s="10" customFormat="1" ht="17.25" thickBot="1" x14ac:dyDescent="0.3">
      <c r="A6" s="59"/>
      <c r="B6" s="60"/>
      <c r="C6" s="80"/>
      <c r="D6" s="513" t="s">
        <v>367</v>
      </c>
      <c r="E6" s="514"/>
      <c r="F6" s="514"/>
      <c r="G6" s="515"/>
      <c r="H6" s="513" t="s">
        <v>1016</v>
      </c>
      <c r="I6" s="514"/>
      <c r="J6" s="514"/>
      <c r="K6" s="515"/>
    </row>
    <row r="7" spans="1:11" s="57" customFormat="1" ht="45.75" thickBot="1" x14ac:dyDescent="0.3">
      <c r="A7" s="61"/>
      <c r="B7" s="62"/>
      <c r="C7" s="128"/>
      <c r="D7" s="86" t="s">
        <v>50</v>
      </c>
      <c r="E7" s="87" t="s">
        <v>71</v>
      </c>
      <c r="F7" s="88" t="s">
        <v>72</v>
      </c>
      <c r="G7" s="89" t="s">
        <v>73</v>
      </c>
      <c r="H7" s="86" t="s">
        <v>50</v>
      </c>
      <c r="I7" s="87" t="s">
        <v>71</v>
      </c>
      <c r="J7" s="88" t="s">
        <v>72</v>
      </c>
      <c r="K7" s="89" t="s">
        <v>73</v>
      </c>
    </row>
    <row r="8" spans="1:11" s="10" customFormat="1" x14ac:dyDescent="0.25">
      <c r="A8" s="63" t="s">
        <v>27</v>
      </c>
      <c r="B8" s="64" t="s">
        <v>28</v>
      </c>
      <c r="C8" s="129" t="s">
        <v>29</v>
      </c>
      <c r="D8" s="81"/>
      <c r="E8" s="127"/>
      <c r="F8" s="127"/>
      <c r="G8" s="154"/>
      <c r="H8" s="81"/>
      <c r="I8" s="127"/>
      <c r="J8" s="127"/>
      <c r="K8" s="154"/>
    </row>
    <row r="9" spans="1:11" s="10" customFormat="1" x14ac:dyDescent="0.25">
      <c r="A9" s="48"/>
      <c r="B9" s="65"/>
      <c r="C9" s="96"/>
      <c r="D9" s="119"/>
      <c r="E9" s="39"/>
      <c r="F9" s="39"/>
      <c r="G9" s="155"/>
      <c r="H9" s="119"/>
      <c r="I9" s="39"/>
      <c r="J9" s="39"/>
      <c r="K9" s="155"/>
    </row>
    <row r="10" spans="1:11" s="10" customFormat="1" x14ac:dyDescent="0.25">
      <c r="A10" s="48">
        <v>101</v>
      </c>
      <c r="B10" s="65"/>
      <c r="C10" s="96" t="s">
        <v>75</v>
      </c>
      <c r="D10" s="135"/>
      <c r="E10" s="39"/>
      <c r="F10" s="39"/>
      <c r="G10" s="155"/>
      <c r="H10" s="135"/>
      <c r="I10" s="39"/>
      <c r="J10" s="39"/>
      <c r="K10" s="155"/>
    </row>
    <row r="11" spans="1:11" s="10" customFormat="1" x14ac:dyDescent="0.25">
      <c r="A11" s="66"/>
      <c r="B11" s="49" t="s">
        <v>30</v>
      </c>
      <c r="C11" s="95" t="s">
        <v>47</v>
      </c>
      <c r="D11" s="132">
        <v>59000</v>
      </c>
      <c r="E11" s="36">
        <v>59000</v>
      </c>
      <c r="F11" s="36"/>
      <c r="G11" s="156"/>
      <c r="H11" s="132">
        <v>59108</v>
      </c>
      <c r="I11" s="36">
        <v>59108</v>
      </c>
      <c r="J11" s="36"/>
      <c r="K11" s="156"/>
    </row>
    <row r="12" spans="1:11" s="10" customFormat="1" x14ac:dyDescent="0.25">
      <c r="A12" s="66"/>
      <c r="B12" s="49" t="s">
        <v>36</v>
      </c>
      <c r="C12" s="95" t="s">
        <v>89</v>
      </c>
      <c r="D12" s="132">
        <v>12900</v>
      </c>
      <c r="E12" s="36">
        <v>12900</v>
      </c>
      <c r="F12" s="36"/>
      <c r="G12" s="156"/>
      <c r="H12" s="132">
        <v>12926</v>
      </c>
      <c r="I12" s="36">
        <v>12926</v>
      </c>
      <c r="J12" s="36"/>
      <c r="K12" s="156"/>
    </row>
    <row r="13" spans="1:11" s="10" customFormat="1" x14ac:dyDescent="0.25">
      <c r="A13" s="66"/>
      <c r="B13" s="49" t="s">
        <v>37</v>
      </c>
      <c r="C13" s="95" t="s">
        <v>52</v>
      </c>
      <c r="D13" s="132">
        <v>5500</v>
      </c>
      <c r="E13" s="36">
        <v>5500</v>
      </c>
      <c r="F13" s="36"/>
      <c r="G13" s="156"/>
      <c r="H13" s="132">
        <v>5630</v>
      </c>
      <c r="I13" s="36">
        <v>5630</v>
      </c>
      <c r="J13" s="36"/>
      <c r="K13" s="156"/>
    </row>
    <row r="14" spans="1:11" s="10" customFormat="1" x14ac:dyDescent="0.25">
      <c r="A14" s="66"/>
      <c r="B14" s="49" t="s">
        <v>44</v>
      </c>
      <c r="C14" s="95" t="s">
        <v>84</v>
      </c>
      <c r="D14" s="132"/>
      <c r="E14" s="36"/>
      <c r="F14" s="36"/>
      <c r="G14" s="156"/>
      <c r="H14" s="132"/>
      <c r="I14" s="36"/>
      <c r="J14" s="36"/>
      <c r="K14" s="156"/>
    </row>
    <row r="15" spans="1:11" s="10" customFormat="1" x14ac:dyDescent="0.25">
      <c r="A15" s="66"/>
      <c r="B15" s="49"/>
      <c r="C15" s="95" t="s">
        <v>140</v>
      </c>
      <c r="D15" s="132">
        <v>500</v>
      </c>
      <c r="E15" s="36">
        <v>500</v>
      </c>
      <c r="F15" s="36"/>
      <c r="G15" s="156"/>
      <c r="H15" s="132">
        <v>500</v>
      </c>
      <c r="I15" s="36">
        <v>500</v>
      </c>
      <c r="J15" s="36"/>
      <c r="K15" s="156"/>
    </row>
    <row r="16" spans="1:11" s="22" customFormat="1" x14ac:dyDescent="0.25">
      <c r="A16" s="67"/>
      <c r="B16" s="68"/>
      <c r="C16" s="97" t="s">
        <v>86</v>
      </c>
      <c r="D16" s="134">
        <f t="shared" ref="D16:G16" si="0">SUM(D15:D15)</f>
        <v>500</v>
      </c>
      <c r="E16" s="46">
        <f t="shared" si="0"/>
        <v>500</v>
      </c>
      <c r="F16" s="46">
        <f t="shared" si="0"/>
        <v>0</v>
      </c>
      <c r="G16" s="157">
        <f t="shared" si="0"/>
        <v>0</v>
      </c>
      <c r="H16" s="134">
        <f t="shared" ref="H16:K16" si="1">SUM(H15:H15)</f>
        <v>500</v>
      </c>
      <c r="I16" s="46">
        <f t="shared" si="1"/>
        <v>500</v>
      </c>
      <c r="J16" s="46">
        <f t="shared" si="1"/>
        <v>0</v>
      </c>
      <c r="K16" s="157">
        <f t="shared" si="1"/>
        <v>0</v>
      </c>
    </row>
    <row r="17" spans="1:11" s="10" customFormat="1" x14ac:dyDescent="0.25">
      <c r="A17" s="66"/>
      <c r="B17" s="49"/>
      <c r="C17" s="96" t="s">
        <v>32</v>
      </c>
      <c r="D17" s="136">
        <f>D11+D12+D13+D16</f>
        <v>77900</v>
      </c>
      <c r="E17" s="69">
        <f t="shared" ref="E17:G17" si="2">E11+E12+E13+E16</f>
        <v>77900</v>
      </c>
      <c r="F17" s="69">
        <f t="shared" si="2"/>
        <v>0</v>
      </c>
      <c r="G17" s="172">
        <f t="shared" si="2"/>
        <v>0</v>
      </c>
      <c r="H17" s="136">
        <f>H11+H12+H13+H16</f>
        <v>78164</v>
      </c>
      <c r="I17" s="69">
        <f t="shared" ref="I17:K17" si="3">I11+I12+I13+I16</f>
        <v>78164</v>
      </c>
      <c r="J17" s="69">
        <f t="shared" si="3"/>
        <v>0</v>
      </c>
      <c r="K17" s="172">
        <f t="shared" si="3"/>
        <v>0</v>
      </c>
    </row>
    <row r="18" spans="1:11" s="10" customFormat="1" x14ac:dyDescent="0.25">
      <c r="A18" s="66"/>
      <c r="B18" s="49"/>
      <c r="C18" s="95"/>
      <c r="D18" s="95"/>
      <c r="E18" s="37"/>
      <c r="F18" s="37"/>
      <c r="G18" s="38"/>
      <c r="H18" s="95"/>
      <c r="I18" s="37"/>
      <c r="J18" s="37"/>
      <c r="K18" s="38"/>
    </row>
    <row r="19" spans="1:11" s="10" customFormat="1" x14ac:dyDescent="0.25">
      <c r="A19" s="48">
        <v>102</v>
      </c>
      <c r="B19" s="65"/>
      <c r="C19" s="96" t="s">
        <v>76</v>
      </c>
      <c r="D19" s="96"/>
      <c r="E19" s="40"/>
      <c r="F19" s="40"/>
      <c r="G19" s="159"/>
      <c r="H19" s="96"/>
      <c r="I19" s="40"/>
      <c r="J19" s="40"/>
      <c r="K19" s="159"/>
    </row>
    <row r="20" spans="1:11" s="10" customFormat="1" x14ac:dyDescent="0.25">
      <c r="A20" s="66"/>
      <c r="B20" s="49" t="s">
        <v>30</v>
      </c>
      <c r="C20" s="95" t="s">
        <v>47</v>
      </c>
      <c r="D20" s="132">
        <v>143500</v>
      </c>
      <c r="E20" s="36">
        <v>143500</v>
      </c>
      <c r="F20" s="36"/>
      <c r="G20" s="156"/>
      <c r="H20" s="132">
        <v>145181</v>
      </c>
      <c r="I20" s="36">
        <v>145181</v>
      </c>
      <c r="J20" s="36"/>
      <c r="K20" s="156"/>
    </row>
    <row r="21" spans="1:11" s="10" customFormat="1" x14ac:dyDescent="0.25">
      <c r="A21" s="66"/>
      <c r="B21" s="49" t="s">
        <v>36</v>
      </c>
      <c r="C21" s="95" t="s">
        <v>89</v>
      </c>
      <c r="D21" s="132">
        <v>31000</v>
      </c>
      <c r="E21" s="36">
        <v>31000</v>
      </c>
      <c r="F21" s="36"/>
      <c r="G21" s="156"/>
      <c r="H21" s="132">
        <v>31373</v>
      </c>
      <c r="I21" s="36">
        <v>31373</v>
      </c>
      <c r="J21" s="36"/>
      <c r="K21" s="156"/>
    </row>
    <row r="22" spans="1:11" s="10" customFormat="1" x14ac:dyDescent="0.25">
      <c r="A22" s="66"/>
      <c r="B22" s="49" t="s">
        <v>37</v>
      </c>
      <c r="C22" s="95" t="s">
        <v>52</v>
      </c>
      <c r="D22" s="132">
        <v>16500</v>
      </c>
      <c r="E22" s="36">
        <v>16500</v>
      </c>
      <c r="F22" s="36"/>
      <c r="G22" s="156"/>
      <c r="H22" s="132">
        <v>17013</v>
      </c>
      <c r="I22" s="36">
        <v>17013</v>
      </c>
      <c r="J22" s="36"/>
      <c r="K22" s="156"/>
    </row>
    <row r="23" spans="1:11" s="10" customFormat="1" x14ac:dyDescent="0.25">
      <c r="A23" s="66"/>
      <c r="B23" s="49" t="s">
        <v>44</v>
      </c>
      <c r="C23" s="95" t="s">
        <v>84</v>
      </c>
      <c r="D23" s="132"/>
      <c r="E23" s="36"/>
      <c r="F23" s="36"/>
      <c r="G23" s="156"/>
      <c r="H23" s="132"/>
      <c r="I23" s="36"/>
      <c r="J23" s="36"/>
      <c r="K23" s="156"/>
    </row>
    <row r="24" spans="1:11" s="10" customFormat="1" x14ac:dyDescent="0.25">
      <c r="A24" s="66"/>
      <c r="B24" s="49"/>
      <c r="C24" s="95" t="s">
        <v>140</v>
      </c>
      <c r="D24" s="132">
        <v>500</v>
      </c>
      <c r="E24" s="36">
        <v>500</v>
      </c>
      <c r="F24" s="36"/>
      <c r="G24" s="156"/>
      <c r="H24" s="132">
        <v>500</v>
      </c>
      <c r="I24" s="36">
        <v>500</v>
      </c>
      <c r="J24" s="36"/>
      <c r="K24" s="156"/>
    </row>
    <row r="25" spans="1:11" s="22" customFormat="1" x14ac:dyDescent="0.25">
      <c r="A25" s="67"/>
      <c r="B25" s="68"/>
      <c r="C25" s="97" t="s">
        <v>86</v>
      </c>
      <c r="D25" s="134">
        <f t="shared" ref="D25:G25" si="4">SUM(D24:D24)</f>
        <v>500</v>
      </c>
      <c r="E25" s="46">
        <f t="shared" si="4"/>
        <v>500</v>
      </c>
      <c r="F25" s="46">
        <f t="shared" si="4"/>
        <v>0</v>
      </c>
      <c r="G25" s="157">
        <f t="shared" si="4"/>
        <v>0</v>
      </c>
      <c r="H25" s="134">
        <f t="shared" ref="H25:K25" si="5">SUM(H24:H24)</f>
        <v>500</v>
      </c>
      <c r="I25" s="46">
        <f t="shared" si="5"/>
        <v>500</v>
      </c>
      <c r="J25" s="46">
        <f t="shared" si="5"/>
        <v>0</v>
      </c>
      <c r="K25" s="157">
        <f t="shared" si="5"/>
        <v>0</v>
      </c>
    </row>
    <row r="26" spans="1:11" s="22" customFormat="1" x14ac:dyDescent="0.25">
      <c r="A26" s="67"/>
      <c r="B26" s="49" t="s">
        <v>46</v>
      </c>
      <c r="C26" s="95" t="s">
        <v>45</v>
      </c>
      <c r="D26" s="134"/>
      <c r="E26" s="46"/>
      <c r="F26" s="46"/>
      <c r="G26" s="160"/>
      <c r="H26" s="134"/>
      <c r="I26" s="46"/>
      <c r="J26" s="46"/>
      <c r="K26" s="160"/>
    </row>
    <row r="27" spans="1:11" s="22" customFormat="1" x14ac:dyDescent="0.25">
      <c r="A27" s="67"/>
      <c r="B27" s="49"/>
      <c r="C27" s="95" t="s">
        <v>364</v>
      </c>
      <c r="D27" s="132">
        <v>4000</v>
      </c>
      <c r="E27" s="36">
        <v>4000</v>
      </c>
      <c r="F27" s="36"/>
      <c r="G27" s="165"/>
      <c r="H27" s="132">
        <v>4000</v>
      </c>
      <c r="I27" s="36">
        <v>4000</v>
      </c>
      <c r="J27" s="36"/>
      <c r="K27" s="165"/>
    </row>
    <row r="28" spans="1:11" s="22" customFormat="1" x14ac:dyDescent="0.25">
      <c r="A28" s="67"/>
      <c r="B28" s="49"/>
      <c r="C28" s="97" t="s">
        <v>365</v>
      </c>
      <c r="D28" s="134">
        <f>SUM(D26:D27)</f>
        <v>4000</v>
      </c>
      <c r="E28" s="46">
        <f t="shared" ref="E28:G28" si="6">SUM(E26:E27)</f>
        <v>4000</v>
      </c>
      <c r="F28" s="46">
        <f t="shared" si="6"/>
        <v>0</v>
      </c>
      <c r="G28" s="169">
        <f t="shared" si="6"/>
        <v>0</v>
      </c>
      <c r="H28" s="134">
        <f>SUM(H26:H27)</f>
        <v>4000</v>
      </c>
      <c r="I28" s="46">
        <f t="shared" ref="I28:K28" si="7">SUM(I26:I27)</f>
        <v>4000</v>
      </c>
      <c r="J28" s="46">
        <f t="shared" si="7"/>
        <v>0</v>
      </c>
      <c r="K28" s="169">
        <f t="shared" si="7"/>
        <v>0</v>
      </c>
    </row>
    <row r="29" spans="1:11" s="10" customFormat="1" x14ac:dyDescent="0.25">
      <c r="A29" s="66"/>
      <c r="B29" s="49"/>
      <c r="C29" s="96" t="s">
        <v>55</v>
      </c>
      <c r="D29" s="136">
        <f>D20+D21+D22+D25+D28</f>
        <v>195500</v>
      </c>
      <c r="E29" s="69">
        <f t="shared" ref="E29:G29" si="8">E20+E21+E22+E25+E28</f>
        <v>195500</v>
      </c>
      <c r="F29" s="69">
        <f t="shared" si="8"/>
        <v>0</v>
      </c>
      <c r="G29" s="172">
        <f t="shared" si="8"/>
        <v>0</v>
      </c>
      <c r="H29" s="136">
        <f>H20+H21+H22+H25+H28</f>
        <v>198067</v>
      </c>
      <c r="I29" s="69">
        <f t="shared" ref="I29:K29" si="9">I20+I21+I22+I25+I28</f>
        <v>198067</v>
      </c>
      <c r="J29" s="69">
        <f t="shared" si="9"/>
        <v>0</v>
      </c>
      <c r="K29" s="172">
        <f t="shared" si="9"/>
        <v>0</v>
      </c>
    </row>
    <row r="30" spans="1:11" s="10" customFormat="1" x14ac:dyDescent="0.25">
      <c r="A30" s="66"/>
      <c r="B30" s="49"/>
      <c r="C30" s="96"/>
      <c r="D30" s="119"/>
      <c r="E30" s="39"/>
      <c r="F30" s="39"/>
      <c r="G30" s="155"/>
      <c r="H30" s="119"/>
      <c r="I30" s="39"/>
      <c r="J30" s="39"/>
      <c r="K30" s="155"/>
    </row>
    <row r="31" spans="1:11" s="10" customFormat="1" x14ac:dyDescent="0.25">
      <c r="A31" s="48">
        <v>103</v>
      </c>
      <c r="B31" s="65"/>
      <c r="C31" s="96" t="s">
        <v>79</v>
      </c>
      <c r="D31" s="33"/>
      <c r="E31" s="40"/>
      <c r="F31" s="40"/>
      <c r="G31" s="159"/>
      <c r="H31" s="33"/>
      <c r="I31" s="40"/>
      <c r="J31" s="40"/>
      <c r="K31" s="159"/>
    </row>
    <row r="32" spans="1:11" s="10" customFormat="1" x14ac:dyDescent="0.25">
      <c r="A32" s="66"/>
      <c r="B32" s="49" t="s">
        <v>30</v>
      </c>
      <c r="C32" s="95" t="s">
        <v>47</v>
      </c>
      <c r="D32" s="132">
        <v>135000</v>
      </c>
      <c r="E32" s="36">
        <v>135000</v>
      </c>
      <c r="F32" s="36"/>
      <c r="G32" s="156"/>
      <c r="H32" s="132">
        <v>136523</v>
      </c>
      <c r="I32" s="36">
        <v>136523</v>
      </c>
      <c r="J32" s="36"/>
      <c r="K32" s="156"/>
    </row>
    <row r="33" spans="1:11" s="10" customFormat="1" x14ac:dyDescent="0.25">
      <c r="A33" s="66"/>
      <c r="B33" s="49" t="s">
        <v>36</v>
      </c>
      <c r="C33" s="95" t="s">
        <v>89</v>
      </c>
      <c r="D33" s="132">
        <v>30600</v>
      </c>
      <c r="E33" s="36">
        <v>30600</v>
      </c>
      <c r="F33" s="36"/>
      <c r="G33" s="156"/>
      <c r="H33" s="132">
        <v>30959</v>
      </c>
      <c r="I33" s="36">
        <v>30959</v>
      </c>
      <c r="J33" s="36"/>
      <c r="K33" s="156"/>
    </row>
    <row r="34" spans="1:11" s="10" customFormat="1" x14ac:dyDescent="0.25">
      <c r="A34" s="66"/>
      <c r="B34" s="49" t="s">
        <v>37</v>
      </c>
      <c r="C34" s="95" t="s">
        <v>52</v>
      </c>
      <c r="D34" s="132">
        <v>150000</v>
      </c>
      <c r="E34" s="36">
        <v>150000</v>
      </c>
      <c r="F34" s="36"/>
      <c r="G34" s="156"/>
      <c r="H34" s="132">
        <v>150465</v>
      </c>
      <c r="I34" s="36">
        <v>150465</v>
      </c>
      <c r="J34" s="36"/>
      <c r="K34" s="156"/>
    </row>
    <row r="35" spans="1:11" s="10" customFormat="1" x14ac:dyDescent="0.25">
      <c r="A35" s="66"/>
      <c r="B35" s="49" t="s">
        <v>44</v>
      </c>
      <c r="C35" s="95" t="s">
        <v>84</v>
      </c>
      <c r="D35" s="132"/>
      <c r="E35" s="36"/>
      <c r="F35" s="36"/>
      <c r="G35" s="156"/>
      <c r="H35" s="132"/>
      <c r="I35" s="36"/>
      <c r="J35" s="36"/>
      <c r="K35" s="156"/>
    </row>
    <row r="36" spans="1:11" s="10" customFormat="1" x14ac:dyDescent="0.25">
      <c r="A36" s="66"/>
      <c r="B36" s="49"/>
      <c r="C36" s="95" t="s">
        <v>140</v>
      </c>
      <c r="D36" s="132">
        <v>500</v>
      </c>
      <c r="E36" s="36">
        <v>500</v>
      </c>
      <c r="F36" s="36"/>
      <c r="G36" s="156"/>
      <c r="H36" s="132">
        <v>500</v>
      </c>
      <c r="I36" s="36">
        <v>500</v>
      </c>
      <c r="J36" s="36"/>
      <c r="K36" s="156"/>
    </row>
    <row r="37" spans="1:11" s="22" customFormat="1" x14ac:dyDescent="0.25">
      <c r="A37" s="67"/>
      <c r="B37" s="68"/>
      <c r="C37" s="97" t="s">
        <v>86</v>
      </c>
      <c r="D37" s="134">
        <v>500</v>
      </c>
      <c r="E37" s="46">
        <f t="shared" ref="E37:G37" si="10">SUM(E36:E36)</f>
        <v>500</v>
      </c>
      <c r="F37" s="46">
        <f t="shared" si="10"/>
        <v>0</v>
      </c>
      <c r="G37" s="160">
        <f t="shared" si="10"/>
        <v>0</v>
      </c>
      <c r="H37" s="134">
        <v>500</v>
      </c>
      <c r="I37" s="46">
        <f t="shared" ref="I37:K37" si="11">SUM(I36:I36)</f>
        <v>500</v>
      </c>
      <c r="J37" s="46">
        <f t="shared" si="11"/>
        <v>0</v>
      </c>
      <c r="K37" s="160">
        <f t="shared" si="11"/>
        <v>0</v>
      </c>
    </row>
    <row r="38" spans="1:11" s="10" customFormat="1" x14ac:dyDescent="0.25">
      <c r="A38" s="66"/>
      <c r="B38" s="49"/>
      <c r="C38" s="96" t="s">
        <v>43</v>
      </c>
      <c r="D38" s="120">
        <f t="shared" ref="D38:G38" si="12">SUM(D32:D34)+D37</f>
        <v>316100</v>
      </c>
      <c r="E38" s="69">
        <f t="shared" si="12"/>
        <v>316100</v>
      </c>
      <c r="F38" s="69">
        <f t="shared" si="12"/>
        <v>0</v>
      </c>
      <c r="G38" s="161">
        <f t="shared" si="12"/>
        <v>0</v>
      </c>
      <c r="H38" s="120">
        <f t="shared" ref="H38:K38" si="13">SUM(H32:H34)+H37</f>
        <v>318447</v>
      </c>
      <c r="I38" s="69">
        <f t="shared" si="13"/>
        <v>318447</v>
      </c>
      <c r="J38" s="69">
        <f t="shared" si="13"/>
        <v>0</v>
      </c>
      <c r="K38" s="161">
        <f t="shared" si="13"/>
        <v>0</v>
      </c>
    </row>
    <row r="39" spans="1:11" s="10" customFormat="1" x14ac:dyDescent="0.25">
      <c r="A39" s="66"/>
      <c r="B39" s="49"/>
      <c r="C39" s="95"/>
      <c r="D39" s="30"/>
      <c r="E39" s="37"/>
      <c r="F39" s="37"/>
      <c r="G39" s="38"/>
      <c r="H39" s="30"/>
      <c r="I39" s="37"/>
      <c r="J39" s="37"/>
      <c r="K39" s="38"/>
    </row>
    <row r="40" spans="1:11" s="10" customFormat="1" x14ac:dyDescent="0.25">
      <c r="A40" s="48">
        <v>104</v>
      </c>
      <c r="B40" s="49"/>
      <c r="C40" s="96" t="s">
        <v>77</v>
      </c>
      <c r="D40" s="33"/>
      <c r="E40" s="40"/>
      <c r="F40" s="40"/>
      <c r="G40" s="159"/>
      <c r="H40" s="33"/>
      <c r="I40" s="40"/>
      <c r="J40" s="40"/>
      <c r="K40" s="159"/>
    </row>
    <row r="41" spans="1:11" s="10" customFormat="1" x14ac:dyDescent="0.25">
      <c r="A41" s="66"/>
      <c r="B41" s="49" t="s">
        <v>30</v>
      </c>
      <c r="C41" s="95" t="s">
        <v>47</v>
      </c>
      <c r="D41" s="132">
        <v>14800</v>
      </c>
      <c r="E41" s="36">
        <v>14800</v>
      </c>
      <c r="F41" s="36"/>
      <c r="G41" s="156"/>
      <c r="H41" s="132">
        <v>15739</v>
      </c>
      <c r="I41" s="36">
        <v>15739</v>
      </c>
      <c r="J41" s="36"/>
      <c r="K41" s="156"/>
    </row>
    <row r="42" spans="1:11" s="10" customFormat="1" x14ac:dyDescent="0.25">
      <c r="A42" s="66"/>
      <c r="B42" s="49" t="s">
        <v>36</v>
      </c>
      <c r="C42" s="95" t="s">
        <v>89</v>
      </c>
      <c r="D42" s="132">
        <v>3250</v>
      </c>
      <c r="E42" s="36">
        <v>3250</v>
      </c>
      <c r="F42" s="36"/>
      <c r="G42" s="156"/>
      <c r="H42" s="132">
        <v>3451</v>
      </c>
      <c r="I42" s="36">
        <v>3451</v>
      </c>
      <c r="J42" s="36"/>
      <c r="K42" s="156"/>
    </row>
    <row r="43" spans="1:11" s="10" customFormat="1" x14ac:dyDescent="0.25">
      <c r="A43" s="66"/>
      <c r="B43" s="49" t="s">
        <v>37</v>
      </c>
      <c r="C43" s="95" t="s">
        <v>52</v>
      </c>
      <c r="D43" s="132">
        <v>12000</v>
      </c>
      <c r="E43" s="36">
        <v>12000</v>
      </c>
      <c r="F43" s="36"/>
      <c r="G43" s="156"/>
      <c r="H43" s="132">
        <v>13503</v>
      </c>
      <c r="I43" s="36">
        <v>13503</v>
      </c>
      <c r="J43" s="36"/>
      <c r="K43" s="156"/>
    </row>
    <row r="44" spans="1:11" s="10" customFormat="1" x14ac:dyDescent="0.25">
      <c r="A44" s="66"/>
      <c r="B44" s="49" t="s">
        <v>44</v>
      </c>
      <c r="C44" s="95" t="s">
        <v>84</v>
      </c>
      <c r="D44" s="132"/>
      <c r="E44" s="36"/>
      <c r="F44" s="36"/>
      <c r="G44" s="156"/>
      <c r="H44" s="132"/>
      <c r="I44" s="36"/>
      <c r="J44" s="36"/>
      <c r="K44" s="156"/>
    </row>
    <row r="45" spans="1:11" s="10" customFormat="1" x14ac:dyDescent="0.25">
      <c r="A45" s="66"/>
      <c r="B45" s="49"/>
      <c r="C45" s="95" t="s">
        <v>140</v>
      </c>
      <c r="D45" s="132">
        <v>1000</v>
      </c>
      <c r="E45" s="36">
        <v>1000</v>
      </c>
      <c r="F45" s="36"/>
      <c r="G45" s="156"/>
      <c r="H45" s="132">
        <v>1000</v>
      </c>
      <c r="I45" s="36">
        <v>1000</v>
      </c>
      <c r="J45" s="36"/>
      <c r="K45" s="156"/>
    </row>
    <row r="46" spans="1:11" s="22" customFormat="1" x14ac:dyDescent="0.25">
      <c r="A46" s="67"/>
      <c r="B46" s="68"/>
      <c r="C46" s="97" t="s">
        <v>86</v>
      </c>
      <c r="D46" s="134">
        <f t="shared" ref="D46:K46" si="14">SUM(D45:D45)</f>
        <v>1000</v>
      </c>
      <c r="E46" s="46">
        <f t="shared" si="14"/>
        <v>1000</v>
      </c>
      <c r="F46" s="46">
        <f t="shared" si="14"/>
        <v>0</v>
      </c>
      <c r="G46" s="160">
        <f t="shared" si="14"/>
        <v>0</v>
      </c>
      <c r="H46" s="134">
        <f t="shared" si="14"/>
        <v>1000</v>
      </c>
      <c r="I46" s="46">
        <f t="shared" si="14"/>
        <v>1000</v>
      </c>
      <c r="J46" s="46">
        <f t="shared" si="14"/>
        <v>0</v>
      </c>
      <c r="K46" s="160">
        <f t="shared" si="14"/>
        <v>0</v>
      </c>
    </row>
    <row r="47" spans="1:11" s="10" customFormat="1" x14ac:dyDescent="0.25">
      <c r="A47" s="66"/>
      <c r="B47" s="49"/>
      <c r="C47" s="96" t="s">
        <v>81</v>
      </c>
      <c r="D47" s="120">
        <f t="shared" ref="D47:K47" si="15">SUM(D41:D43)+D46</f>
        <v>31050</v>
      </c>
      <c r="E47" s="69">
        <f t="shared" si="15"/>
        <v>31050</v>
      </c>
      <c r="F47" s="69">
        <f t="shared" si="15"/>
        <v>0</v>
      </c>
      <c r="G47" s="161">
        <f t="shared" si="15"/>
        <v>0</v>
      </c>
      <c r="H47" s="120">
        <f t="shared" si="15"/>
        <v>33693</v>
      </c>
      <c r="I47" s="69">
        <f t="shared" si="15"/>
        <v>33693</v>
      </c>
      <c r="J47" s="69">
        <f t="shared" si="15"/>
        <v>0</v>
      </c>
      <c r="K47" s="161">
        <f t="shared" si="15"/>
        <v>0</v>
      </c>
    </row>
    <row r="48" spans="1:11" s="10" customFormat="1" x14ac:dyDescent="0.25">
      <c r="A48" s="66"/>
      <c r="B48" s="49"/>
      <c r="C48" s="96"/>
      <c r="D48" s="33"/>
      <c r="E48" s="40"/>
      <c r="F48" s="40"/>
      <c r="G48" s="159"/>
      <c r="H48" s="33"/>
      <c r="I48" s="40"/>
      <c r="J48" s="40"/>
      <c r="K48" s="159"/>
    </row>
    <row r="49" spans="1:11" s="10" customFormat="1" x14ac:dyDescent="0.25">
      <c r="A49" s="66"/>
      <c r="B49" s="49"/>
      <c r="C49" s="96" t="s">
        <v>78</v>
      </c>
      <c r="D49" s="120">
        <f t="shared" ref="D49:K49" si="16">SUM(D17,D29,D38,D47)</f>
        <v>620550</v>
      </c>
      <c r="E49" s="69">
        <f t="shared" si="16"/>
        <v>620550</v>
      </c>
      <c r="F49" s="69">
        <f t="shared" si="16"/>
        <v>0</v>
      </c>
      <c r="G49" s="161">
        <f t="shared" si="16"/>
        <v>0</v>
      </c>
      <c r="H49" s="120">
        <f t="shared" si="16"/>
        <v>628371</v>
      </c>
      <c r="I49" s="69">
        <f t="shared" si="16"/>
        <v>628371</v>
      </c>
      <c r="J49" s="69">
        <f t="shared" si="16"/>
        <v>0</v>
      </c>
      <c r="K49" s="161">
        <f t="shared" si="16"/>
        <v>0</v>
      </c>
    </row>
    <row r="50" spans="1:11" s="10" customFormat="1" x14ac:dyDescent="0.25">
      <c r="A50" s="66"/>
      <c r="B50" s="49"/>
      <c r="C50" s="96"/>
      <c r="D50" s="33"/>
      <c r="E50" s="40"/>
      <c r="F50" s="40"/>
      <c r="G50" s="159"/>
      <c r="H50" s="33"/>
      <c r="I50" s="40"/>
      <c r="J50" s="40"/>
      <c r="K50" s="159"/>
    </row>
    <row r="51" spans="1:11" s="10" customFormat="1" x14ac:dyDescent="0.25">
      <c r="A51" s="48">
        <v>105</v>
      </c>
      <c r="B51" s="49"/>
      <c r="C51" s="96" t="s">
        <v>80</v>
      </c>
      <c r="D51" s="96"/>
      <c r="E51" s="40"/>
      <c r="F51" s="40"/>
      <c r="G51" s="159"/>
      <c r="H51" s="96"/>
      <c r="I51" s="40"/>
      <c r="J51" s="40"/>
      <c r="K51" s="159"/>
    </row>
    <row r="52" spans="1:11" s="10" customFormat="1" x14ac:dyDescent="0.25">
      <c r="A52" s="66"/>
      <c r="B52" s="49" t="s">
        <v>30</v>
      </c>
      <c r="C52" s="95" t="s">
        <v>47</v>
      </c>
      <c r="D52" s="132">
        <v>230068</v>
      </c>
      <c r="E52" s="36">
        <v>230068</v>
      </c>
      <c r="F52" s="36"/>
      <c r="G52" s="156"/>
      <c r="H52" s="132">
        <v>230515</v>
      </c>
      <c r="I52" s="36">
        <v>230515</v>
      </c>
      <c r="J52" s="36"/>
      <c r="K52" s="156"/>
    </row>
    <row r="53" spans="1:11" s="10" customFormat="1" x14ac:dyDescent="0.25">
      <c r="A53" s="66"/>
      <c r="B53" s="49" t="s">
        <v>36</v>
      </c>
      <c r="C53" s="95" t="s">
        <v>89</v>
      </c>
      <c r="D53" s="132">
        <v>49632</v>
      </c>
      <c r="E53" s="36">
        <v>49632</v>
      </c>
      <c r="F53" s="36"/>
      <c r="G53" s="156"/>
      <c r="H53" s="132">
        <v>49735</v>
      </c>
      <c r="I53" s="36">
        <v>49735</v>
      </c>
      <c r="J53" s="36"/>
      <c r="K53" s="156"/>
    </row>
    <row r="54" spans="1:11" s="10" customFormat="1" x14ac:dyDescent="0.25">
      <c r="A54" s="66"/>
      <c r="B54" s="49" t="s">
        <v>37</v>
      </c>
      <c r="C54" s="95" t="s">
        <v>52</v>
      </c>
      <c r="D54" s="132">
        <v>80000</v>
      </c>
      <c r="E54" s="36">
        <v>80000</v>
      </c>
      <c r="F54" s="36"/>
      <c r="G54" s="156"/>
      <c r="H54" s="132">
        <v>80000</v>
      </c>
      <c r="I54" s="36">
        <v>80000</v>
      </c>
      <c r="J54" s="36"/>
      <c r="K54" s="156"/>
    </row>
    <row r="55" spans="1:11" s="10" customFormat="1" x14ac:dyDescent="0.25">
      <c r="A55" s="66"/>
      <c r="B55" s="49" t="s">
        <v>44</v>
      </c>
      <c r="C55" s="95" t="s">
        <v>84</v>
      </c>
      <c r="D55" s="132"/>
      <c r="E55" s="36"/>
      <c r="F55" s="36"/>
      <c r="G55" s="156"/>
      <c r="H55" s="132"/>
      <c r="I55" s="36"/>
      <c r="J55" s="36"/>
      <c r="K55" s="156"/>
    </row>
    <row r="56" spans="1:11" s="10" customFormat="1" x14ac:dyDescent="0.25">
      <c r="A56" s="66"/>
      <c r="B56" s="49"/>
      <c r="C56" s="95" t="s">
        <v>0</v>
      </c>
      <c r="D56" s="132">
        <v>3000</v>
      </c>
      <c r="E56" s="36">
        <v>3000</v>
      </c>
      <c r="F56" s="36"/>
      <c r="G56" s="156"/>
      <c r="H56" s="132">
        <v>3000</v>
      </c>
      <c r="I56" s="36">
        <v>3000</v>
      </c>
      <c r="J56" s="36"/>
      <c r="K56" s="156"/>
    </row>
    <row r="57" spans="1:11" s="10" customFormat="1" x14ac:dyDescent="0.25">
      <c r="A57" s="66"/>
      <c r="B57" s="49"/>
      <c r="C57" s="95" t="s">
        <v>127</v>
      </c>
      <c r="D57" s="132">
        <v>600</v>
      </c>
      <c r="E57" s="36">
        <v>600</v>
      </c>
      <c r="F57" s="36"/>
      <c r="G57" s="156"/>
      <c r="H57" s="132">
        <v>600</v>
      </c>
      <c r="I57" s="36">
        <v>600</v>
      </c>
      <c r="J57" s="36"/>
      <c r="K57" s="156"/>
    </row>
    <row r="58" spans="1:11" s="10" customFormat="1" x14ac:dyDescent="0.25">
      <c r="A58" s="66"/>
      <c r="B58" s="49"/>
      <c r="C58" s="95" t="s">
        <v>1</v>
      </c>
      <c r="D58" s="132">
        <v>5000</v>
      </c>
      <c r="E58" s="36">
        <v>5000</v>
      </c>
      <c r="F58" s="36"/>
      <c r="G58" s="156"/>
      <c r="H58" s="132">
        <v>5000</v>
      </c>
      <c r="I58" s="36">
        <v>5000</v>
      </c>
      <c r="J58" s="36"/>
      <c r="K58" s="156"/>
    </row>
    <row r="59" spans="1:11" s="10" customFormat="1" x14ac:dyDescent="0.25">
      <c r="A59" s="66"/>
      <c r="B59" s="49"/>
      <c r="C59" s="95" t="s">
        <v>366</v>
      </c>
      <c r="D59" s="132">
        <v>4700</v>
      </c>
      <c r="E59" s="36">
        <v>4700</v>
      </c>
      <c r="F59" s="36"/>
      <c r="G59" s="156"/>
      <c r="H59" s="132">
        <v>4700</v>
      </c>
      <c r="I59" s="36">
        <v>4700</v>
      </c>
      <c r="J59" s="36"/>
      <c r="K59" s="156"/>
    </row>
    <row r="60" spans="1:11" s="10" customFormat="1" x14ac:dyDescent="0.25">
      <c r="A60" s="66"/>
      <c r="B60" s="49"/>
      <c r="C60" s="95" t="s">
        <v>148</v>
      </c>
      <c r="D60" s="132">
        <v>1500</v>
      </c>
      <c r="E60" s="36">
        <v>1500</v>
      </c>
      <c r="F60" s="36"/>
      <c r="G60" s="156"/>
      <c r="H60" s="132">
        <v>1500</v>
      </c>
      <c r="I60" s="36">
        <v>1500</v>
      </c>
      <c r="J60" s="36"/>
      <c r="K60" s="156"/>
    </row>
    <row r="61" spans="1:11" s="10" customFormat="1" x14ac:dyDescent="0.25">
      <c r="A61" s="67"/>
      <c r="B61" s="68"/>
      <c r="C61" s="97" t="s">
        <v>86</v>
      </c>
      <c r="D61" s="134">
        <f t="shared" ref="D61:K61" si="17">SUM(D56:D60)</f>
        <v>14800</v>
      </c>
      <c r="E61" s="46">
        <f t="shared" si="17"/>
        <v>14800</v>
      </c>
      <c r="F61" s="46">
        <f t="shared" si="17"/>
        <v>0</v>
      </c>
      <c r="G61" s="160">
        <f t="shared" si="17"/>
        <v>0</v>
      </c>
      <c r="H61" s="134">
        <f t="shared" si="17"/>
        <v>14800</v>
      </c>
      <c r="I61" s="46">
        <f t="shared" si="17"/>
        <v>14800</v>
      </c>
      <c r="J61" s="46">
        <f t="shared" si="17"/>
        <v>0</v>
      </c>
      <c r="K61" s="160">
        <f t="shared" si="17"/>
        <v>0</v>
      </c>
    </row>
    <row r="62" spans="1:11" s="10" customFormat="1" x14ac:dyDescent="0.25">
      <c r="A62" s="66"/>
      <c r="B62" s="49"/>
      <c r="C62" s="96" t="s">
        <v>34</v>
      </c>
      <c r="D62" s="135">
        <f t="shared" ref="D62:K62" si="18">D52+D53+D54+D61</f>
        <v>374500</v>
      </c>
      <c r="E62" s="39">
        <f t="shared" si="18"/>
        <v>374500</v>
      </c>
      <c r="F62" s="39">
        <f t="shared" si="18"/>
        <v>0</v>
      </c>
      <c r="G62" s="162">
        <f t="shared" si="18"/>
        <v>0</v>
      </c>
      <c r="H62" s="135">
        <f t="shared" si="18"/>
        <v>375050</v>
      </c>
      <c r="I62" s="39">
        <f t="shared" si="18"/>
        <v>375050</v>
      </c>
      <c r="J62" s="39">
        <f t="shared" si="18"/>
        <v>0</v>
      </c>
      <c r="K62" s="162">
        <f t="shared" si="18"/>
        <v>0</v>
      </c>
    </row>
    <row r="63" spans="1:11" s="10" customFormat="1" x14ac:dyDescent="0.25">
      <c r="A63" s="66"/>
      <c r="B63" s="49"/>
      <c r="C63" s="126"/>
      <c r="D63" s="47"/>
      <c r="E63" s="103"/>
      <c r="F63" s="103"/>
      <c r="G63" s="163"/>
      <c r="H63" s="47"/>
      <c r="I63" s="103"/>
      <c r="J63" s="103"/>
      <c r="K63" s="163"/>
    </row>
    <row r="64" spans="1:11" s="10" customFormat="1" x14ac:dyDescent="0.25">
      <c r="A64" s="48">
        <v>106</v>
      </c>
      <c r="B64" s="49"/>
      <c r="C64" s="96" t="s">
        <v>57</v>
      </c>
      <c r="D64" s="33"/>
      <c r="E64" s="40"/>
      <c r="F64" s="40"/>
      <c r="G64" s="159"/>
      <c r="H64" s="33"/>
      <c r="I64" s="40"/>
      <c r="J64" s="40"/>
      <c r="K64" s="159"/>
    </row>
    <row r="65" spans="1:11" s="10" customFormat="1" x14ac:dyDescent="0.25">
      <c r="A65" s="66"/>
      <c r="B65" s="49" t="s">
        <v>30</v>
      </c>
      <c r="C65" s="95" t="s">
        <v>47</v>
      </c>
      <c r="D65" s="117"/>
      <c r="E65" s="51"/>
      <c r="F65" s="51"/>
      <c r="G65" s="164"/>
      <c r="H65" s="117"/>
      <c r="I65" s="51"/>
      <c r="J65" s="51"/>
      <c r="K65" s="164"/>
    </row>
    <row r="66" spans="1:11" s="10" customFormat="1" x14ac:dyDescent="0.25">
      <c r="A66" s="66"/>
      <c r="B66" s="49"/>
      <c r="C66" s="95" t="s">
        <v>141</v>
      </c>
      <c r="D66" s="41">
        <v>322</v>
      </c>
      <c r="E66" s="36"/>
      <c r="F66" s="36">
        <v>322</v>
      </c>
      <c r="G66" s="156"/>
      <c r="H66" s="41">
        <v>322</v>
      </c>
      <c r="I66" s="36"/>
      <c r="J66" s="36">
        <v>322</v>
      </c>
      <c r="K66" s="156"/>
    </row>
    <row r="67" spans="1:11" s="10" customFormat="1" x14ac:dyDescent="0.25">
      <c r="A67" s="66"/>
      <c r="B67" s="49"/>
      <c r="C67" s="95" t="s">
        <v>92</v>
      </c>
      <c r="D67" s="41">
        <v>16565</v>
      </c>
      <c r="E67" s="36"/>
      <c r="F67" s="36">
        <v>16565</v>
      </c>
      <c r="G67" s="156"/>
      <c r="H67" s="41">
        <v>16565</v>
      </c>
      <c r="I67" s="36"/>
      <c r="J67" s="36">
        <v>16565</v>
      </c>
      <c r="K67" s="156"/>
    </row>
    <row r="68" spans="1:11" s="10" customFormat="1" x14ac:dyDescent="0.25">
      <c r="A68" s="66"/>
      <c r="B68" s="49"/>
      <c r="C68" s="95" t="s">
        <v>142</v>
      </c>
      <c r="D68" s="41">
        <v>29764</v>
      </c>
      <c r="E68" s="36">
        <v>29764</v>
      </c>
      <c r="F68" s="36"/>
      <c r="G68" s="156"/>
      <c r="H68" s="41">
        <v>29764</v>
      </c>
      <c r="I68" s="36">
        <v>29764</v>
      </c>
      <c r="J68" s="36"/>
      <c r="K68" s="156"/>
    </row>
    <row r="69" spans="1:11" s="10" customFormat="1" x14ac:dyDescent="0.25">
      <c r="A69" s="66"/>
      <c r="B69" s="49"/>
      <c r="C69" s="95" t="s">
        <v>93</v>
      </c>
      <c r="D69" s="41">
        <v>10398</v>
      </c>
      <c r="E69" s="36">
        <v>10398</v>
      </c>
      <c r="F69" s="36"/>
      <c r="G69" s="156"/>
      <c r="H69" s="41">
        <v>10398</v>
      </c>
      <c r="I69" s="36">
        <v>10398</v>
      </c>
      <c r="J69" s="36"/>
      <c r="K69" s="156"/>
    </row>
    <row r="70" spans="1:11" s="10" customFormat="1" x14ac:dyDescent="0.25">
      <c r="A70" s="66"/>
      <c r="B70" s="49"/>
      <c r="C70" s="91" t="s">
        <v>143</v>
      </c>
      <c r="D70" s="132">
        <v>15177</v>
      </c>
      <c r="E70" s="36">
        <v>15177</v>
      </c>
      <c r="F70" s="36"/>
      <c r="G70" s="165"/>
      <c r="H70" s="132">
        <v>15177</v>
      </c>
      <c r="I70" s="36">
        <v>15177</v>
      </c>
      <c r="J70" s="36"/>
      <c r="K70" s="165"/>
    </row>
    <row r="71" spans="1:11" s="10" customFormat="1" x14ac:dyDescent="0.25">
      <c r="A71" s="66"/>
      <c r="B71" s="49"/>
      <c r="C71" s="91" t="s">
        <v>144</v>
      </c>
      <c r="D71" s="132">
        <v>3305</v>
      </c>
      <c r="E71" s="36"/>
      <c r="F71" s="36">
        <v>3305</v>
      </c>
      <c r="G71" s="165"/>
      <c r="H71" s="132">
        <v>3305</v>
      </c>
      <c r="I71" s="36"/>
      <c r="J71" s="36">
        <v>3305</v>
      </c>
      <c r="K71" s="165"/>
    </row>
    <row r="72" spans="1:11" s="10" customFormat="1" x14ac:dyDescent="0.25">
      <c r="A72" s="66"/>
      <c r="B72" s="49"/>
      <c r="C72" s="91" t="s">
        <v>145</v>
      </c>
      <c r="D72" s="132">
        <v>2760</v>
      </c>
      <c r="E72" s="36">
        <v>2760</v>
      </c>
      <c r="F72" s="36"/>
      <c r="G72" s="165"/>
      <c r="H72" s="132">
        <v>2760</v>
      </c>
      <c r="I72" s="36">
        <v>2760</v>
      </c>
      <c r="J72" s="36"/>
      <c r="K72" s="165"/>
    </row>
    <row r="73" spans="1:11" s="10" customFormat="1" x14ac:dyDescent="0.25">
      <c r="A73" s="66"/>
      <c r="B73" s="49"/>
      <c r="C73" s="126" t="s">
        <v>63</v>
      </c>
      <c r="D73" s="137">
        <f t="shared" ref="D73:K73" si="19">SUM(D66:D72)</f>
        <v>78291</v>
      </c>
      <c r="E73" s="51">
        <f t="shared" si="19"/>
        <v>58099</v>
      </c>
      <c r="F73" s="51">
        <f t="shared" si="19"/>
        <v>20192</v>
      </c>
      <c r="G73" s="175">
        <f t="shared" si="19"/>
        <v>0</v>
      </c>
      <c r="H73" s="137">
        <f t="shared" si="19"/>
        <v>78291</v>
      </c>
      <c r="I73" s="51">
        <f t="shared" si="19"/>
        <v>58099</v>
      </c>
      <c r="J73" s="51">
        <f t="shared" si="19"/>
        <v>20192</v>
      </c>
      <c r="K73" s="175">
        <f t="shared" si="19"/>
        <v>0</v>
      </c>
    </row>
    <row r="74" spans="1:11" s="10" customFormat="1" x14ac:dyDescent="0.25">
      <c r="A74" s="66"/>
      <c r="B74" s="49"/>
      <c r="C74" s="126"/>
      <c r="D74" s="117"/>
      <c r="E74" s="51"/>
      <c r="F74" s="51"/>
      <c r="G74" s="164"/>
      <c r="H74" s="117"/>
      <c r="I74" s="51"/>
      <c r="J74" s="51"/>
      <c r="K74" s="164"/>
    </row>
    <row r="75" spans="1:11" s="10" customFormat="1" x14ac:dyDescent="0.25">
      <c r="A75" s="66"/>
      <c r="B75" s="49" t="s">
        <v>36</v>
      </c>
      <c r="C75" s="95" t="s">
        <v>89</v>
      </c>
      <c r="D75" s="117"/>
      <c r="E75" s="51"/>
      <c r="F75" s="51"/>
      <c r="G75" s="164"/>
      <c r="H75" s="117"/>
      <c r="I75" s="51"/>
      <c r="J75" s="51"/>
      <c r="K75" s="164"/>
    </row>
    <row r="76" spans="1:11" s="10" customFormat="1" x14ac:dyDescent="0.25">
      <c r="A76" s="66"/>
      <c r="B76" s="49"/>
      <c r="C76" s="95" t="s">
        <v>141</v>
      </c>
      <c r="D76" s="132">
        <v>71</v>
      </c>
      <c r="E76" s="36"/>
      <c r="F76" s="36">
        <v>71</v>
      </c>
      <c r="G76" s="156"/>
      <c r="H76" s="132">
        <v>71</v>
      </c>
      <c r="I76" s="36"/>
      <c r="J76" s="36">
        <v>71</v>
      </c>
      <c r="K76" s="156"/>
    </row>
    <row r="77" spans="1:11" s="22" customFormat="1" x14ac:dyDescent="0.25">
      <c r="A77" s="67"/>
      <c r="B77" s="68"/>
      <c r="C77" s="95" t="s">
        <v>92</v>
      </c>
      <c r="D77" s="132">
        <v>2044</v>
      </c>
      <c r="E77" s="36"/>
      <c r="F77" s="36">
        <v>2044</v>
      </c>
      <c r="G77" s="156"/>
      <c r="H77" s="132">
        <v>2044</v>
      </c>
      <c r="I77" s="36"/>
      <c r="J77" s="36">
        <v>2044</v>
      </c>
      <c r="K77" s="156"/>
    </row>
    <row r="78" spans="1:11" s="10" customFormat="1" x14ac:dyDescent="0.25">
      <c r="A78" s="66"/>
      <c r="B78" s="49"/>
      <c r="C78" s="95" t="s">
        <v>142</v>
      </c>
      <c r="D78" s="132">
        <v>6144</v>
      </c>
      <c r="E78" s="36">
        <v>6144</v>
      </c>
      <c r="F78" s="36"/>
      <c r="G78" s="156"/>
      <c r="H78" s="132">
        <v>6144</v>
      </c>
      <c r="I78" s="36">
        <v>6144</v>
      </c>
      <c r="J78" s="36"/>
      <c r="K78" s="156"/>
    </row>
    <row r="79" spans="1:11" s="10" customFormat="1" x14ac:dyDescent="0.25">
      <c r="A79" s="66"/>
      <c r="B79" s="49"/>
      <c r="C79" s="95" t="s">
        <v>93</v>
      </c>
      <c r="D79" s="132">
        <v>2922</v>
      </c>
      <c r="E79" s="36">
        <v>2922</v>
      </c>
      <c r="F79" s="36"/>
      <c r="G79" s="156"/>
      <c r="H79" s="132">
        <v>2922</v>
      </c>
      <c r="I79" s="36">
        <v>2922</v>
      </c>
      <c r="J79" s="36"/>
      <c r="K79" s="156"/>
    </row>
    <row r="80" spans="1:11" s="10" customFormat="1" x14ac:dyDescent="0.25">
      <c r="A80" s="66"/>
      <c r="B80" s="49"/>
      <c r="C80" s="91" t="s">
        <v>143</v>
      </c>
      <c r="D80" s="132">
        <v>3292</v>
      </c>
      <c r="E80" s="36">
        <v>3292</v>
      </c>
      <c r="F80" s="36"/>
      <c r="G80" s="156"/>
      <c r="H80" s="132">
        <v>3292</v>
      </c>
      <c r="I80" s="36">
        <v>3292</v>
      </c>
      <c r="J80" s="36"/>
      <c r="K80" s="156"/>
    </row>
    <row r="81" spans="1:11" s="10" customFormat="1" x14ac:dyDescent="0.25">
      <c r="A81" s="66"/>
      <c r="B81" s="49"/>
      <c r="C81" s="91" t="s">
        <v>144</v>
      </c>
      <c r="D81" s="132">
        <v>507</v>
      </c>
      <c r="E81" s="36"/>
      <c r="F81" s="36">
        <v>507</v>
      </c>
      <c r="G81" s="156"/>
      <c r="H81" s="132">
        <v>507</v>
      </c>
      <c r="I81" s="36"/>
      <c r="J81" s="36">
        <v>507</v>
      </c>
      <c r="K81" s="156"/>
    </row>
    <row r="82" spans="1:11" s="10" customFormat="1" x14ac:dyDescent="0.25">
      <c r="A82" s="66"/>
      <c r="B82" s="49"/>
      <c r="C82" s="91" t="s">
        <v>145</v>
      </c>
      <c r="D82" s="132">
        <v>607</v>
      </c>
      <c r="E82" s="36">
        <v>607</v>
      </c>
      <c r="F82" s="36"/>
      <c r="G82" s="165"/>
      <c r="H82" s="132">
        <v>607</v>
      </c>
      <c r="I82" s="36">
        <v>607</v>
      </c>
      <c r="J82" s="36"/>
      <c r="K82" s="165"/>
    </row>
    <row r="83" spans="1:11" s="10" customFormat="1" x14ac:dyDescent="0.25">
      <c r="A83" s="66"/>
      <c r="B83" s="49"/>
      <c r="C83" s="126" t="s">
        <v>64</v>
      </c>
      <c r="D83" s="137">
        <f t="shared" ref="D83:K83" si="20">SUM(D76:D82)</f>
        <v>15587</v>
      </c>
      <c r="E83" s="51">
        <f t="shared" si="20"/>
        <v>12965</v>
      </c>
      <c r="F83" s="51">
        <f t="shared" si="20"/>
        <v>2622</v>
      </c>
      <c r="G83" s="175">
        <f t="shared" si="20"/>
        <v>0</v>
      </c>
      <c r="H83" s="137">
        <f t="shared" si="20"/>
        <v>15587</v>
      </c>
      <c r="I83" s="51">
        <f t="shared" si="20"/>
        <v>12965</v>
      </c>
      <c r="J83" s="51">
        <f t="shared" si="20"/>
        <v>2622</v>
      </c>
      <c r="K83" s="175">
        <f t="shared" si="20"/>
        <v>0</v>
      </c>
    </row>
    <row r="84" spans="1:11" s="10" customFormat="1" x14ac:dyDescent="0.25">
      <c r="A84" s="66"/>
      <c r="B84" s="49"/>
      <c r="C84" s="126"/>
      <c r="D84" s="47"/>
      <c r="E84" s="103"/>
      <c r="F84" s="103"/>
      <c r="G84" s="163"/>
      <c r="H84" s="47"/>
      <c r="I84" s="103"/>
      <c r="J84" s="103"/>
      <c r="K84" s="163"/>
    </row>
    <row r="85" spans="1:11" s="10" customFormat="1" x14ac:dyDescent="0.25">
      <c r="A85" s="66"/>
      <c r="B85" s="49" t="s">
        <v>37</v>
      </c>
      <c r="C85" s="95" t="s">
        <v>52</v>
      </c>
      <c r="D85" s="117"/>
      <c r="E85" s="51"/>
      <c r="F85" s="51"/>
      <c r="G85" s="164"/>
      <c r="H85" s="117"/>
      <c r="I85" s="51"/>
      <c r="J85" s="51"/>
      <c r="K85" s="164"/>
    </row>
    <row r="86" spans="1:11" s="10" customFormat="1" x14ac:dyDescent="0.25">
      <c r="A86" s="66"/>
      <c r="B86" s="37"/>
      <c r="C86" s="95" t="s">
        <v>59</v>
      </c>
      <c r="D86" s="41">
        <v>2000</v>
      </c>
      <c r="E86" s="36"/>
      <c r="F86" s="36">
        <v>2000</v>
      </c>
      <c r="G86" s="156"/>
      <c r="H86" s="41">
        <v>2000</v>
      </c>
      <c r="I86" s="36"/>
      <c r="J86" s="36">
        <v>2000</v>
      </c>
      <c r="K86" s="156"/>
    </row>
    <row r="87" spans="1:11" s="10" customFormat="1" x14ac:dyDescent="0.25">
      <c r="A87" s="66"/>
      <c r="B87" s="49"/>
      <c r="C87" s="95" t="s">
        <v>171</v>
      </c>
      <c r="D87" s="41">
        <f>2048+152</f>
        <v>2200</v>
      </c>
      <c r="E87" s="36">
        <v>2200</v>
      </c>
      <c r="F87" s="36"/>
      <c r="G87" s="156"/>
      <c r="H87" s="41">
        <f>2048+152</f>
        <v>2200</v>
      </c>
      <c r="I87" s="36">
        <v>2200</v>
      </c>
      <c r="J87" s="36"/>
      <c r="K87" s="156"/>
    </row>
    <row r="88" spans="1:11" s="10" customFormat="1" x14ac:dyDescent="0.25">
      <c r="A88" s="66"/>
      <c r="B88" s="49"/>
      <c r="C88" s="95" t="s">
        <v>221</v>
      </c>
      <c r="D88" s="41">
        <v>870</v>
      </c>
      <c r="E88" s="36">
        <v>870</v>
      </c>
      <c r="F88" s="36"/>
      <c r="G88" s="156"/>
      <c r="H88" s="41">
        <v>870</v>
      </c>
      <c r="I88" s="36">
        <v>870</v>
      </c>
      <c r="J88" s="36"/>
      <c r="K88" s="156"/>
    </row>
    <row r="89" spans="1:11" s="10" customFormat="1" x14ac:dyDescent="0.25">
      <c r="A89" s="66"/>
      <c r="B89" s="49"/>
      <c r="C89" s="95" t="s">
        <v>222</v>
      </c>
      <c r="D89" s="41">
        <v>1240</v>
      </c>
      <c r="E89" s="36">
        <v>1240</v>
      </c>
      <c r="F89" s="36"/>
      <c r="G89" s="156"/>
      <c r="H89" s="41">
        <v>1240</v>
      </c>
      <c r="I89" s="36">
        <v>1240</v>
      </c>
      <c r="J89" s="36"/>
      <c r="K89" s="156"/>
    </row>
    <row r="90" spans="1:11" s="10" customFormat="1" x14ac:dyDescent="0.25">
      <c r="A90" s="66"/>
      <c r="B90" s="49"/>
      <c r="C90" s="95" t="s">
        <v>223</v>
      </c>
      <c r="D90" s="41">
        <v>2200</v>
      </c>
      <c r="E90" s="36">
        <v>2200</v>
      </c>
      <c r="F90" s="36"/>
      <c r="G90" s="156"/>
      <c r="H90" s="41">
        <v>2200</v>
      </c>
      <c r="I90" s="36">
        <v>2200</v>
      </c>
      <c r="J90" s="36"/>
      <c r="K90" s="156"/>
    </row>
    <row r="91" spans="1:11" s="10" customFormat="1" x14ac:dyDescent="0.25">
      <c r="A91" s="66"/>
      <c r="B91" s="49"/>
      <c r="C91" s="95" t="s">
        <v>224</v>
      </c>
      <c r="D91" s="41">
        <v>35160</v>
      </c>
      <c r="E91" s="36">
        <v>35160</v>
      </c>
      <c r="F91" s="36"/>
      <c r="G91" s="156"/>
      <c r="H91" s="41">
        <v>35160</v>
      </c>
      <c r="I91" s="36">
        <v>35160</v>
      </c>
      <c r="J91" s="36"/>
      <c r="K91" s="156"/>
    </row>
    <row r="92" spans="1:11" s="10" customFormat="1" x14ac:dyDescent="0.25">
      <c r="A92" s="66"/>
      <c r="B92" s="49"/>
      <c r="C92" s="95" t="s">
        <v>225</v>
      </c>
      <c r="D92" s="41">
        <v>4500</v>
      </c>
      <c r="E92" s="36">
        <v>4500</v>
      </c>
      <c r="F92" s="36"/>
      <c r="G92" s="156"/>
      <c r="H92" s="41">
        <v>4500</v>
      </c>
      <c r="I92" s="36">
        <v>4500</v>
      </c>
      <c r="J92" s="36"/>
      <c r="K92" s="156"/>
    </row>
    <row r="93" spans="1:11" s="10" customFormat="1" x14ac:dyDescent="0.25">
      <c r="A93" s="66"/>
      <c r="B93" s="49"/>
      <c r="C93" s="95" t="s">
        <v>226</v>
      </c>
      <c r="D93" s="41">
        <v>5000</v>
      </c>
      <c r="E93" s="36">
        <v>5000</v>
      </c>
      <c r="F93" s="36"/>
      <c r="G93" s="156"/>
      <c r="H93" s="41">
        <v>5000</v>
      </c>
      <c r="I93" s="36">
        <v>5000</v>
      </c>
      <c r="J93" s="36"/>
      <c r="K93" s="156"/>
    </row>
    <row r="94" spans="1:11" s="10" customFormat="1" x14ac:dyDescent="0.25">
      <c r="A94" s="66"/>
      <c r="B94" s="49"/>
      <c r="C94" s="95" t="s">
        <v>227</v>
      </c>
      <c r="D94" s="41">
        <v>18775</v>
      </c>
      <c r="E94" s="36">
        <v>18775</v>
      </c>
      <c r="F94" s="36"/>
      <c r="G94" s="156"/>
      <c r="H94" s="41">
        <v>13695</v>
      </c>
      <c r="I94" s="36">
        <v>13695</v>
      </c>
      <c r="J94" s="36"/>
      <c r="K94" s="156"/>
    </row>
    <row r="95" spans="1:11" s="10" customFormat="1" x14ac:dyDescent="0.25">
      <c r="A95" s="66"/>
      <c r="B95" s="49"/>
      <c r="C95" s="95" t="s">
        <v>228</v>
      </c>
      <c r="D95" s="41">
        <v>4800</v>
      </c>
      <c r="E95" s="36">
        <v>4800</v>
      </c>
      <c r="F95" s="36"/>
      <c r="G95" s="156"/>
      <c r="H95" s="41">
        <v>4800</v>
      </c>
      <c r="I95" s="36">
        <v>4800</v>
      </c>
      <c r="J95" s="36"/>
      <c r="K95" s="156"/>
    </row>
    <row r="96" spans="1:11" s="10" customFormat="1" x14ac:dyDescent="0.25">
      <c r="A96" s="66"/>
      <c r="B96" s="49"/>
      <c r="C96" s="95" t="s">
        <v>229</v>
      </c>
      <c r="D96" s="41">
        <v>6395</v>
      </c>
      <c r="E96" s="36">
        <v>6395</v>
      </c>
      <c r="F96" s="36"/>
      <c r="G96" s="156"/>
      <c r="H96" s="41">
        <v>6395</v>
      </c>
      <c r="I96" s="36">
        <v>6395</v>
      </c>
      <c r="J96" s="36"/>
      <c r="K96" s="156"/>
    </row>
    <row r="97" spans="1:11" s="10" customFormat="1" x14ac:dyDescent="0.25">
      <c r="A97" s="66"/>
      <c r="B97" s="49"/>
      <c r="C97" s="95" t="s">
        <v>230</v>
      </c>
      <c r="D97" s="41">
        <v>14589</v>
      </c>
      <c r="E97" s="36">
        <v>14589</v>
      </c>
      <c r="F97" s="36"/>
      <c r="G97" s="156"/>
      <c r="H97" s="41">
        <v>14589</v>
      </c>
      <c r="I97" s="36">
        <v>14589</v>
      </c>
      <c r="J97" s="36"/>
      <c r="K97" s="156"/>
    </row>
    <row r="98" spans="1:11" s="10" customFormat="1" x14ac:dyDescent="0.25">
      <c r="A98" s="66"/>
      <c r="B98" s="49"/>
      <c r="C98" s="95" t="s">
        <v>231</v>
      </c>
      <c r="D98" s="41"/>
      <c r="E98" s="36"/>
      <c r="F98" s="36"/>
      <c r="G98" s="156"/>
      <c r="H98" s="41"/>
      <c r="I98" s="36"/>
      <c r="J98" s="36"/>
      <c r="K98" s="156"/>
    </row>
    <row r="99" spans="1:11" s="10" customFormat="1" ht="30" x14ac:dyDescent="0.25">
      <c r="A99" s="66"/>
      <c r="B99" s="49"/>
      <c r="C99" s="91" t="s">
        <v>232</v>
      </c>
      <c r="D99" s="41">
        <v>62291</v>
      </c>
      <c r="E99" s="36">
        <v>62291</v>
      </c>
      <c r="F99" s="36"/>
      <c r="G99" s="156"/>
      <c r="H99" s="41">
        <v>57291</v>
      </c>
      <c r="I99" s="36">
        <v>57291</v>
      </c>
      <c r="J99" s="36"/>
      <c r="K99" s="156"/>
    </row>
    <row r="100" spans="1:11" s="10" customFormat="1" x14ac:dyDescent="0.25">
      <c r="A100" s="66"/>
      <c r="B100" s="49"/>
      <c r="C100" s="95" t="s">
        <v>233</v>
      </c>
      <c r="D100" s="41">
        <v>22656</v>
      </c>
      <c r="E100" s="36">
        <v>22656</v>
      </c>
      <c r="F100" s="36"/>
      <c r="G100" s="156"/>
      <c r="H100" s="41">
        <v>22656</v>
      </c>
      <c r="I100" s="36">
        <v>22656</v>
      </c>
      <c r="J100" s="36"/>
      <c r="K100" s="156"/>
    </row>
    <row r="101" spans="1:11" s="10" customFormat="1" x14ac:dyDescent="0.25">
      <c r="A101" s="66"/>
      <c r="B101" s="49"/>
      <c r="C101" s="95" t="s">
        <v>234</v>
      </c>
      <c r="D101" s="41">
        <v>57226</v>
      </c>
      <c r="E101" s="36">
        <v>57226</v>
      </c>
      <c r="F101" s="36"/>
      <c r="G101" s="156"/>
      <c r="H101" s="41">
        <v>57226</v>
      </c>
      <c r="I101" s="36">
        <v>57226</v>
      </c>
      <c r="J101" s="36"/>
      <c r="K101" s="156"/>
    </row>
    <row r="102" spans="1:11" s="10" customFormat="1" ht="30" x14ac:dyDescent="0.25">
      <c r="A102" s="66"/>
      <c r="B102" s="49"/>
      <c r="C102" s="91" t="s">
        <v>235</v>
      </c>
      <c r="D102" s="41"/>
      <c r="E102" s="36"/>
      <c r="F102" s="36"/>
      <c r="G102" s="156"/>
      <c r="H102" s="41"/>
      <c r="I102" s="36"/>
      <c r="J102" s="36"/>
      <c r="K102" s="156"/>
    </row>
    <row r="103" spans="1:11" s="10" customFormat="1" x14ac:dyDescent="0.25">
      <c r="A103" s="66"/>
      <c r="B103" s="49"/>
      <c r="C103" s="95" t="s">
        <v>236</v>
      </c>
      <c r="D103" s="41">
        <v>1500</v>
      </c>
      <c r="E103" s="36">
        <v>1500</v>
      </c>
      <c r="F103" s="36"/>
      <c r="G103" s="156"/>
      <c r="H103" s="41">
        <v>1500</v>
      </c>
      <c r="I103" s="36">
        <v>1500</v>
      </c>
      <c r="J103" s="36"/>
      <c r="K103" s="156"/>
    </row>
    <row r="104" spans="1:11" s="10" customFormat="1" x14ac:dyDescent="0.25">
      <c r="A104" s="66"/>
      <c r="B104" s="49"/>
      <c r="C104" s="95" t="s">
        <v>237</v>
      </c>
      <c r="D104" s="41">
        <v>1800</v>
      </c>
      <c r="E104" s="36">
        <v>1800</v>
      </c>
      <c r="F104" s="36"/>
      <c r="G104" s="156"/>
      <c r="H104" s="41">
        <v>1800</v>
      </c>
      <c r="I104" s="36">
        <v>1800</v>
      </c>
      <c r="J104" s="36"/>
      <c r="K104" s="156"/>
    </row>
    <row r="105" spans="1:11" s="10" customFormat="1" x14ac:dyDescent="0.25">
      <c r="A105" s="66"/>
      <c r="B105" s="49"/>
      <c r="C105" s="95" t="s">
        <v>238</v>
      </c>
      <c r="D105" s="41">
        <v>3500</v>
      </c>
      <c r="E105" s="36">
        <v>3500</v>
      </c>
      <c r="F105" s="36"/>
      <c r="G105" s="156"/>
      <c r="H105" s="41">
        <v>3500</v>
      </c>
      <c r="I105" s="36">
        <v>3500</v>
      </c>
      <c r="J105" s="36"/>
      <c r="K105" s="156"/>
    </row>
    <row r="106" spans="1:11" s="10" customFormat="1" x14ac:dyDescent="0.25">
      <c r="A106" s="66"/>
      <c r="B106" s="49"/>
      <c r="C106" s="95" t="s">
        <v>239</v>
      </c>
      <c r="D106" s="41">
        <v>1000</v>
      </c>
      <c r="E106" s="36">
        <v>1000</v>
      </c>
      <c r="F106" s="36"/>
      <c r="G106" s="156"/>
      <c r="H106" s="41">
        <v>1000</v>
      </c>
      <c r="I106" s="36">
        <v>1000</v>
      </c>
      <c r="J106" s="36"/>
      <c r="K106" s="156"/>
    </row>
    <row r="107" spans="1:11" s="10" customFormat="1" x14ac:dyDescent="0.25">
      <c r="A107" s="66"/>
      <c r="B107" s="49"/>
      <c r="C107" s="95" t="s">
        <v>240</v>
      </c>
      <c r="D107" s="41">
        <v>260</v>
      </c>
      <c r="E107" s="36">
        <v>260</v>
      </c>
      <c r="F107" s="36"/>
      <c r="G107" s="156"/>
      <c r="H107" s="41">
        <v>260</v>
      </c>
      <c r="I107" s="36">
        <v>260</v>
      </c>
      <c r="J107" s="36"/>
      <c r="K107" s="156"/>
    </row>
    <row r="108" spans="1:11" s="10" customFormat="1" x14ac:dyDescent="0.25">
      <c r="A108" s="66"/>
      <c r="B108" s="49"/>
      <c r="C108" s="95" t="s">
        <v>241</v>
      </c>
      <c r="D108" s="41">
        <v>56485</v>
      </c>
      <c r="E108" s="36">
        <v>56485</v>
      </c>
      <c r="F108" s="36"/>
      <c r="G108" s="156"/>
      <c r="H108" s="41">
        <v>56485</v>
      </c>
      <c r="I108" s="36">
        <v>56485</v>
      </c>
      <c r="J108" s="36"/>
      <c r="K108" s="156"/>
    </row>
    <row r="109" spans="1:11" s="10" customFormat="1" x14ac:dyDescent="0.25">
      <c r="A109" s="66"/>
      <c r="B109" s="49"/>
      <c r="C109" s="95" t="s">
        <v>242</v>
      </c>
      <c r="D109" s="41">
        <v>500</v>
      </c>
      <c r="E109" s="36">
        <v>500</v>
      </c>
      <c r="F109" s="36"/>
      <c r="G109" s="156"/>
      <c r="H109" s="41">
        <v>500</v>
      </c>
      <c r="I109" s="36">
        <v>500</v>
      </c>
      <c r="J109" s="36"/>
      <c r="K109" s="156"/>
    </row>
    <row r="110" spans="1:11" s="10" customFormat="1" x14ac:dyDescent="0.25">
      <c r="A110" s="66"/>
      <c r="B110" s="49"/>
      <c r="C110" s="95" t="s">
        <v>243</v>
      </c>
      <c r="D110" s="41">
        <v>2500</v>
      </c>
      <c r="E110" s="36">
        <v>2500</v>
      </c>
      <c r="F110" s="36"/>
      <c r="G110" s="156"/>
      <c r="H110" s="41">
        <v>2500</v>
      </c>
      <c r="I110" s="36">
        <v>2500</v>
      </c>
      <c r="J110" s="36"/>
      <c r="K110" s="156"/>
    </row>
    <row r="111" spans="1:11" s="10" customFormat="1" x14ac:dyDescent="0.25">
      <c r="A111" s="66"/>
      <c r="B111" s="49"/>
      <c r="C111" s="95" t="s">
        <v>244</v>
      </c>
      <c r="D111" s="41">
        <v>5000</v>
      </c>
      <c r="E111" s="36">
        <v>5000</v>
      </c>
      <c r="F111" s="36"/>
      <c r="G111" s="156"/>
      <c r="H111" s="41">
        <v>5000</v>
      </c>
      <c r="I111" s="36">
        <v>5000</v>
      </c>
      <c r="J111" s="36"/>
      <c r="K111" s="156"/>
    </row>
    <row r="112" spans="1:11" s="10" customFormat="1" x14ac:dyDescent="0.25">
      <c r="A112" s="66"/>
      <c r="B112" s="49"/>
      <c r="C112" s="95" t="s">
        <v>245</v>
      </c>
      <c r="D112" s="41"/>
      <c r="E112" s="36"/>
      <c r="F112" s="36"/>
      <c r="G112" s="156"/>
      <c r="H112" s="41"/>
      <c r="I112" s="36"/>
      <c r="J112" s="36"/>
      <c r="K112" s="156"/>
    </row>
    <row r="113" spans="1:11" s="10" customFormat="1" x14ac:dyDescent="0.25">
      <c r="A113" s="66"/>
      <c r="B113" s="49"/>
      <c r="C113" s="95" t="s">
        <v>246</v>
      </c>
      <c r="D113" s="41">
        <v>7000</v>
      </c>
      <c r="E113" s="36">
        <v>7000</v>
      </c>
      <c r="F113" s="36"/>
      <c r="G113" s="156"/>
      <c r="H113" s="41">
        <v>7000</v>
      </c>
      <c r="I113" s="36">
        <v>7000</v>
      </c>
      <c r="J113" s="36"/>
      <c r="K113" s="156"/>
    </row>
    <row r="114" spans="1:11" s="10" customFormat="1" x14ac:dyDescent="0.25">
      <c r="A114" s="66"/>
      <c r="B114" s="49"/>
      <c r="C114" s="95" t="s">
        <v>247</v>
      </c>
      <c r="D114" s="41">
        <v>3600</v>
      </c>
      <c r="E114" s="36">
        <v>3600</v>
      </c>
      <c r="F114" s="36"/>
      <c r="G114" s="156"/>
      <c r="H114" s="41">
        <v>3600</v>
      </c>
      <c r="I114" s="36">
        <v>3600</v>
      </c>
      <c r="J114" s="36"/>
      <c r="K114" s="156"/>
    </row>
    <row r="115" spans="1:11" s="10" customFormat="1" ht="18.75" customHeight="1" x14ac:dyDescent="0.25">
      <c r="A115" s="66"/>
      <c r="B115" s="49"/>
      <c r="C115" s="95" t="s">
        <v>248</v>
      </c>
      <c r="D115" s="41">
        <v>2715</v>
      </c>
      <c r="E115" s="36">
        <v>2715</v>
      </c>
      <c r="F115" s="36"/>
      <c r="G115" s="156"/>
      <c r="H115" s="41">
        <v>2715</v>
      </c>
      <c r="I115" s="36">
        <v>2715</v>
      </c>
      <c r="J115" s="36"/>
      <c r="K115" s="156"/>
    </row>
    <row r="116" spans="1:11" s="10" customFormat="1" x14ac:dyDescent="0.25">
      <c r="A116" s="66"/>
      <c r="B116" s="49"/>
      <c r="C116" s="91" t="s">
        <v>249</v>
      </c>
      <c r="D116" s="122">
        <v>250</v>
      </c>
      <c r="E116" s="74"/>
      <c r="F116" s="74">
        <v>250</v>
      </c>
      <c r="G116" s="166"/>
      <c r="H116" s="122">
        <v>250</v>
      </c>
      <c r="I116" s="74"/>
      <c r="J116" s="74">
        <v>250</v>
      </c>
      <c r="K116" s="166"/>
    </row>
    <row r="117" spans="1:11" s="10" customFormat="1" x14ac:dyDescent="0.25">
      <c r="A117" s="66"/>
      <c r="B117" s="49"/>
      <c r="C117" s="91" t="s">
        <v>250</v>
      </c>
      <c r="D117" s="122">
        <v>17425</v>
      </c>
      <c r="E117" s="74"/>
      <c r="F117" s="74">
        <v>17425</v>
      </c>
      <c r="G117" s="166"/>
      <c r="H117" s="122">
        <v>17425</v>
      </c>
      <c r="I117" s="74"/>
      <c r="J117" s="74">
        <v>17425</v>
      </c>
      <c r="K117" s="166"/>
    </row>
    <row r="118" spans="1:11" s="10" customFormat="1" x14ac:dyDescent="0.25">
      <c r="A118" s="66"/>
      <c r="B118" s="49"/>
      <c r="C118" s="91" t="s">
        <v>251</v>
      </c>
      <c r="D118" s="122">
        <v>17648</v>
      </c>
      <c r="E118" s="74"/>
      <c r="F118" s="74">
        <v>17648</v>
      </c>
      <c r="G118" s="166"/>
      <c r="H118" s="122">
        <v>17648</v>
      </c>
      <c r="I118" s="74"/>
      <c r="J118" s="74">
        <v>17648</v>
      </c>
      <c r="K118" s="166"/>
    </row>
    <row r="119" spans="1:11" s="10" customFormat="1" x14ac:dyDescent="0.25">
      <c r="A119" s="66"/>
      <c r="B119" s="49"/>
      <c r="C119" s="91" t="s">
        <v>252</v>
      </c>
      <c r="D119" s="122">
        <v>1500</v>
      </c>
      <c r="E119" s="74"/>
      <c r="F119" s="74">
        <v>1500</v>
      </c>
      <c r="G119" s="166"/>
      <c r="H119" s="122">
        <v>1500</v>
      </c>
      <c r="I119" s="74"/>
      <c r="J119" s="74">
        <v>1500</v>
      </c>
      <c r="K119" s="166"/>
    </row>
    <row r="120" spans="1:11" s="10" customFormat="1" x14ac:dyDescent="0.25">
      <c r="A120" s="66"/>
      <c r="B120" s="49"/>
      <c r="C120" s="91" t="s">
        <v>253</v>
      </c>
      <c r="D120" s="122">
        <v>25726</v>
      </c>
      <c r="E120" s="74">
        <v>25726</v>
      </c>
      <c r="F120" s="74"/>
      <c r="G120" s="166"/>
      <c r="H120" s="122">
        <v>25726</v>
      </c>
      <c r="I120" s="74">
        <v>25726</v>
      </c>
      <c r="J120" s="74"/>
      <c r="K120" s="166"/>
    </row>
    <row r="121" spans="1:11" s="10" customFormat="1" x14ac:dyDescent="0.25">
      <c r="A121" s="66"/>
      <c r="B121" s="49"/>
      <c r="C121" s="91" t="s">
        <v>254</v>
      </c>
      <c r="D121" s="122">
        <v>45000</v>
      </c>
      <c r="E121" s="74"/>
      <c r="F121" s="74">
        <v>45000</v>
      </c>
      <c r="G121" s="166"/>
      <c r="H121" s="122">
        <v>45000</v>
      </c>
      <c r="I121" s="74"/>
      <c r="J121" s="74">
        <v>45000</v>
      </c>
      <c r="K121" s="166"/>
    </row>
    <row r="122" spans="1:11" s="10" customFormat="1" x14ac:dyDescent="0.25">
      <c r="A122" s="66"/>
      <c r="B122" s="49"/>
      <c r="C122" s="91" t="s">
        <v>255</v>
      </c>
      <c r="D122" s="122">
        <v>26000</v>
      </c>
      <c r="E122" s="74"/>
      <c r="F122" s="74">
        <v>26000</v>
      </c>
      <c r="G122" s="166"/>
      <c r="H122" s="122">
        <v>31000</v>
      </c>
      <c r="I122" s="74"/>
      <c r="J122" s="74">
        <v>31000</v>
      </c>
      <c r="K122" s="166"/>
    </row>
    <row r="123" spans="1:11" s="10" customFormat="1" x14ac:dyDescent="0.25">
      <c r="A123" s="66"/>
      <c r="B123" s="49"/>
      <c r="C123" s="91" t="s">
        <v>256</v>
      </c>
      <c r="D123" s="122">
        <v>2881</v>
      </c>
      <c r="E123" s="74"/>
      <c r="F123" s="74">
        <v>2881</v>
      </c>
      <c r="G123" s="166"/>
      <c r="H123" s="122">
        <v>2881</v>
      </c>
      <c r="I123" s="74"/>
      <c r="J123" s="74">
        <v>2881</v>
      </c>
      <c r="K123" s="166"/>
    </row>
    <row r="124" spans="1:11" s="10" customFormat="1" x14ac:dyDescent="0.25">
      <c r="A124" s="66"/>
      <c r="B124" s="49"/>
      <c r="C124" s="91" t="s">
        <v>257</v>
      </c>
      <c r="D124" s="122">
        <v>11976</v>
      </c>
      <c r="E124" s="74">
        <v>11976</v>
      </c>
      <c r="F124" s="74"/>
      <c r="G124" s="166"/>
      <c r="H124" s="122">
        <v>11976</v>
      </c>
      <c r="I124" s="74">
        <v>11976</v>
      </c>
      <c r="J124" s="74"/>
      <c r="K124" s="166"/>
    </row>
    <row r="125" spans="1:11" s="10" customFormat="1" ht="30" x14ac:dyDescent="0.25">
      <c r="A125" s="66"/>
      <c r="B125" s="49"/>
      <c r="C125" s="91" t="s">
        <v>258</v>
      </c>
      <c r="D125" s="41">
        <v>2000</v>
      </c>
      <c r="E125" s="36">
        <v>2000</v>
      </c>
      <c r="F125" s="36"/>
      <c r="G125" s="156"/>
      <c r="H125" s="41">
        <v>2000</v>
      </c>
      <c r="I125" s="36">
        <v>2000</v>
      </c>
      <c r="J125" s="36"/>
      <c r="K125" s="156"/>
    </row>
    <row r="126" spans="1:11" s="10" customFormat="1" x14ac:dyDescent="0.25">
      <c r="A126" s="66"/>
      <c r="B126" s="49"/>
      <c r="C126" s="91" t="s">
        <v>259</v>
      </c>
      <c r="D126" s="133">
        <v>23085</v>
      </c>
      <c r="E126" s="74">
        <v>23085</v>
      </c>
      <c r="F126" s="74"/>
      <c r="G126" s="166"/>
      <c r="H126" s="133">
        <v>23085</v>
      </c>
      <c r="I126" s="74">
        <v>23085</v>
      </c>
      <c r="J126" s="74"/>
      <c r="K126" s="166"/>
    </row>
    <row r="127" spans="1:11" s="10" customFormat="1" x14ac:dyDescent="0.25">
      <c r="A127" s="66"/>
      <c r="B127" s="49"/>
      <c r="C127" s="91" t="s">
        <v>260</v>
      </c>
      <c r="D127" s="133">
        <v>1715</v>
      </c>
      <c r="E127" s="74">
        <v>1715</v>
      </c>
      <c r="F127" s="74"/>
      <c r="G127" s="166"/>
      <c r="H127" s="133">
        <v>1715</v>
      </c>
      <c r="I127" s="74">
        <v>1715</v>
      </c>
      <c r="J127" s="74"/>
      <c r="K127" s="166"/>
    </row>
    <row r="128" spans="1:11" s="10" customFormat="1" x14ac:dyDescent="0.25">
      <c r="A128" s="66"/>
      <c r="B128" s="49"/>
      <c r="C128" s="91" t="s">
        <v>261</v>
      </c>
      <c r="D128" s="133">
        <v>1088</v>
      </c>
      <c r="E128" s="74">
        <v>1088</v>
      </c>
      <c r="F128" s="74"/>
      <c r="G128" s="166"/>
      <c r="H128" s="133">
        <v>1088</v>
      </c>
      <c r="I128" s="74">
        <v>1088</v>
      </c>
      <c r="J128" s="74"/>
      <c r="K128" s="166"/>
    </row>
    <row r="129" spans="1:11" s="10" customFormat="1" x14ac:dyDescent="0.25">
      <c r="A129" s="66"/>
      <c r="B129" s="49"/>
      <c r="C129" s="91" t="s">
        <v>262</v>
      </c>
      <c r="D129" s="133"/>
      <c r="E129" s="74"/>
      <c r="F129" s="74"/>
      <c r="G129" s="167"/>
      <c r="H129" s="133"/>
      <c r="I129" s="74"/>
      <c r="J129" s="74"/>
      <c r="K129" s="167"/>
    </row>
    <row r="130" spans="1:11" s="10" customFormat="1" x14ac:dyDescent="0.25">
      <c r="A130" s="66"/>
      <c r="B130" s="49"/>
      <c r="C130" s="91" t="s">
        <v>263</v>
      </c>
      <c r="D130" s="133">
        <v>7500</v>
      </c>
      <c r="E130" s="74"/>
      <c r="F130" s="74">
        <v>7500</v>
      </c>
      <c r="G130" s="167"/>
      <c r="H130" s="133">
        <v>7500</v>
      </c>
      <c r="I130" s="74"/>
      <c r="J130" s="74">
        <v>7500</v>
      </c>
      <c r="K130" s="167"/>
    </row>
    <row r="131" spans="1:11" s="10" customFormat="1" x14ac:dyDescent="0.25">
      <c r="A131" s="66"/>
      <c r="B131" s="49"/>
      <c r="C131" s="91" t="s">
        <v>264</v>
      </c>
      <c r="D131" s="133">
        <v>400</v>
      </c>
      <c r="E131" s="74"/>
      <c r="F131" s="74">
        <v>400</v>
      </c>
      <c r="G131" s="167"/>
      <c r="H131" s="133">
        <v>400</v>
      </c>
      <c r="I131" s="74"/>
      <c r="J131" s="74">
        <v>400</v>
      </c>
      <c r="K131" s="167"/>
    </row>
    <row r="132" spans="1:11" s="10" customFormat="1" x14ac:dyDescent="0.25">
      <c r="A132" s="66"/>
      <c r="B132" s="49"/>
      <c r="C132" s="91" t="s">
        <v>265</v>
      </c>
      <c r="D132" s="133">
        <v>1000</v>
      </c>
      <c r="E132" s="74">
        <v>1000</v>
      </c>
      <c r="F132" s="74"/>
      <c r="G132" s="167"/>
      <c r="H132" s="133">
        <v>1000</v>
      </c>
      <c r="I132" s="74">
        <v>1000</v>
      </c>
      <c r="J132" s="74"/>
      <c r="K132" s="167"/>
    </row>
    <row r="133" spans="1:11" s="10" customFormat="1" x14ac:dyDescent="0.25">
      <c r="A133" s="66"/>
      <c r="B133" s="49"/>
      <c r="C133" s="91" t="s">
        <v>266</v>
      </c>
      <c r="D133" s="133">
        <v>2000</v>
      </c>
      <c r="E133" s="74">
        <v>2000</v>
      </c>
      <c r="F133" s="74"/>
      <c r="G133" s="167"/>
      <c r="H133" s="133">
        <v>2000</v>
      </c>
      <c r="I133" s="74">
        <v>2000</v>
      </c>
      <c r="J133" s="74"/>
      <c r="K133" s="167"/>
    </row>
    <row r="134" spans="1:11" s="10" customFormat="1" x14ac:dyDescent="0.25">
      <c r="A134" s="66"/>
      <c r="B134" s="49"/>
      <c r="C134" s="91" t="s">
        <v>267</v>
      </c>
      <c r="D134" s="133">
        <v>1500</v>
      </c>
      <c r="E134" s="74">
        <v>1500</v>
      </c>
      <c r="F134" s="74"/>
      <c r="G134" s="167"/>
      <c r="H134" s="133">
        <v>1500</v>
      </c>
      <c r="I134" s="74">
        <v>1500</v>
      </c>
      <c r="J134" s="74"/>
      <c r="K134" s="167"/>
    </row>
    <row r="135" spans="1:11" s="10" customFormat="1" x14ac:dyDescent="0.25">
      <c r="A135" s="66"/>
      <c r="B135" s="49"/>
      <c r="C135" s="91" t="s">
        <v>268</v>
      </c>
      <c r="D135" s="133">
        <v>20000</v>
      </c>
      <c r="E135" s="74">
        <v>20000</v>
      </c>
      <c r="F135" s="74"/>
      <c r="G135" s="167"/>
      <c r="H135" s="133">
        <v>20000</v>
      </c>
      <c r="I135" s="74">
        <v>20000</v>
      </c>
      <c r="J135" s="74"/>
      <c r="K135" s="167"/>
    </row>
    <row r="136" spans="1:11" s="10" customFormat="1" x14ac:dyDescent="0.25">
      <c r="A136" s="66"/>
      <c r="B136" s="49"/>
      <c r="C136" s="91" t="s">
        <v>269</v>
      </c>
      <c r="D136" s="133"/>
      <c r="E136" s="74"/>
      <c r="F136" s="74"/>
      <c r="G136" s="167"/>
      <c r="H136" s="133"/>
      <c r="I136" s="74"/>
      <c r="J136" s="74"/>
      <c r="K136" s="167"/>
    </row>
    <row r="137" spans="1:11" s="10" customFormat="1" x14ac:dyDescent="0.25">
      <c r="A137" s="66"/>
      <c r="B137" s="49"/>
      <c r="C137" s="91" t="s">
        <v>432</v>
      </c>
      <c r="D137" s="133">
        <f>2783+17770</f>
        <v>20553</v>
      </c>
      <c r="E137" s="74">
        <v>20553</v>
      </c>
      <c r="F137" s="74"/>
      <c r="G137" s="167"/>
      <c r="H137" s="133">
        <f>2783+17770</f>
        <v>20553</v>
      </c>
      <c r="I137" s="74">
        <v>20553</v>
      </c>
      <c r="J137" s="74"/>
      <c r="K137" s="167"/>
    </row>
    <row r="138" spans="1:11" s="10" customFormat="1" x14ac:dyDescent="0.25">
      <c r="A138" s="66"/>
      <c r="B138" s="49"/>
      <c r="C138" s="91" t="s">
        <v>433</v>
      </c>
      <c r="D138" s="133">
        <v>3397</v>
      </c>
      <c r="E138" s="74">
        <v>3397</v>
      </c>
      <c r="F138" s="74"/>
      <c r="G138" s="167"/>
      <c r="H138" s="133">
        <v>3397</v>
      </c>
      <c r="I138" s="74">
        <v>3397</v>
      </c>
      <c r="J138" s="74"/>
      <c r="K138" s="167"/>
    </row>
    <row r="139" spans="1:11" s="10" customFormat="1" x14ac:dyDescent="0.25">
      <c r="A139" s="66"/>
      <c r="B139" s="49"/>
      <c r="C139" s="91" t="s">
        <v>270</v>
      </c>
      <c r="D139" s="133">
        <v>7753</v>
      </c>
      <c r="E139" s="74">
        <v>7753</v>
      </c>
      <c r="F139" s="74"/>
      <c r="G139" s="167"/>
      <c r="H139" s="133">
        <v>7753</v>
      </c>
      <c r="I139" s="74">
        <v>7753</v>
      </c>
      <c r="J139" s="74"/>
      <c r="K139" s="167"/>
    </row>
    <row r="140" spans="1:11" s="10" customFormat="1" ht="30" x14ac:dyDescent="0.25">
      <c r="A140" s="66"/>
      <c r="B140" s="49"/>
      <c r="C140" s="91" t="s">
        <v>271</v>
      </c>
      <c r="D140" s="133">
        <v>3500</v>
      </c>
      <c r="E140" s="74">
        <v>3500</v>
      </c>
      <c r="F140" s="74"/>
      <c r="G140" s="167"/>
      <c r="H140" s="133">
        <v>3500</v>
      </c>
      <c r="I140" s="74">
        <v>3500</v>
      </c>
      <c r="J140" s="74"/>
      <c r="K140" s="167"/>
    </row>
    <row r="141" spans="1:11" s="10" customFormat="1" x14ac:dyDescent="0.25">
      <c r="A141" s="66"/>
      <c r="B141" s="49"/>
      <c r="C141" s="91" t="s">
        <v>272</v>
      </c>
      <c r="D141" s="133">
        <v>2500</v>
      </c>
      <c r="E141" s="74"/>
      <c r="F141" s="74">
        <v>2500</v>
      </c>
      <c r="G141" s="167"/>
      <c r="H141" s="133">
        <v>2500</v>
      </c>
      <c r="I141" s="74"/>
      <c r="J141" s="74">
        <v>2500</v>
      </c>
      <c r="K141" s="167"/>
    </row>
    <row r="142" spans="1:11" s="10" customFormat="1" x14ac:dyDescent="0.25">
      <c r="A142" s="66"/>
      <c r="B142" s="49"/>
      <c r="C142" s="91" t="s">
        <v>273</v>
      </c>
      <c r="D142" s="133">
        <v>3120</v>
      </c>
      <c r="E142" s="74"/>
      <c r="F142" s="74">
        <v>3120</v>
      </c>
      <c r="G142" s="167"/>
      <c r="H142" s="133">
        <v>3120</v>
      </c>
      <c r="I142" s="74"/>
      <c r="J142" s="74">
        <v>3120</v>
      </c>
      <c r="K142" s="167"/>
    </row>
    <row r="143" spans="1:11" s="10" customFormat="1" x14ac:dyDescent="0.25">
      <c r="A143" s="66"/>
      <c r="B143" s="49"/>
      <c r="C143" s="91" t="s">
        <v>274</v>
      </c>
      <c r="D143" s="133">
        <v>1245</v>
      </c>
      <c r="E143" s="74"/>
      <c r="F143" s="74">
        <v>1245</v>
      </c>
      <c r="G143" s="167"/>
      <c r="H143" s="133">
        <v>1245</v>
      </c>
      <c r="I143" s="74"/>
      <c r="J143" s="74">
        <v>1245</v>
      </c>
      <c r="K143" s="167"/>
    </row>
    <row r="144" spans="1:11" s="10" customFormat="1" x14ac:dyDescent="0.25">
      <c r="A144" s="66"/>
      <c r="B144" s="49"/>
      <c r="C144" s="91" t="s">
        <v>275</v>
      </c>
      <c r="D144" s="133">
        <v>5000</v>
      </c>
      <c r="E144" s="74">
        <v>5000</v>
      </c>
      <c r="F144" s="74"/>
      <c r="G144" s="167"/>
      <c r="H144" s="133">
        <v>0</v>
      </c>
      <c r="I144" s="74">
        <v>0</v>
      </c>
      <c r="J144" s="74"/>
      <c r="K144" s="167"/>
    </row>
    <row r="145" spans="1:11" s="10" customFormat="1" x14ac:dyDescent="0.25">
      <c r="A145" s="66"/>
      <c r="B145" s="49"/>
      <c r="C145" s="91" t="s">
        <v>276</v>
      </c>
      <c r="D145" s="133">
        <v>500</v>
      </c>
      <c r="E145" s="74"/>
      <c r="F145" s="74">
        <v>500</v>
      </c>
      <c r="G145" s="167"/>
      <c r="H145" s="133">
        <v>500</v>
      </c>
      <c r="I145" s="74"/>
      <c r="J145" s="74">
        <v>500</v>
      </c>
      <c r="K145" s="167"/>
    </row>
    <row r="146" spans="1:11" s="10" customFormat="1" x14ac:dyDescent="0.25">
      <c r="A146" s="66"/>
      <c r="B146" s="49"/>
      <c r="C146" s="91" t="s">
        <v>277</v>
      </c>
      <c r="D146" s="133">
        <v>3050</v>
      </c>
      <c r="E146" s="74"/>
      <c r="F146" s="74">
        <v>3050</v>
      </c>
      <c r="G146" s="167"/>
      <c r="H146" s="133">
        <v>3050</v>
      </c>
      <c r="I146" s="74"/>
      <c r="J146" s="74">
        <v>3050</v>
      </c>
      <c r="K146" s="167"/>
    </row>
    <row r="147" spans="1:11" s="10" customFormat="1" x14ac:dyDescent="0.25">
      <c r="A147" s="66"/>
      <c r="B147" s="49"/>
      <c r="C147" s="91" t="s">
        <v>278</v>
      </c>
      <c r="D147" s="133">
        <v>1270</v>
      </c>
      <c r="E147" s="74"/>
      <c r="F147" s="74">
        <v>1270</v>
      </c>
      <c r="G147" s="167"/>
      <c r="H147" s="133">
        <v>1270</v>
      </c>
      <c r="I147" s="74"/>
      <c r="J147" s="74">
        <v>1270</v>
      </c>
      <c r="K147" s="167"/>
    </row>
    <row r="148" spans="1:11" s="10" customFormat="1" x14ac:dyDescent="0.25">
      <c r="A148" s="66"/>
      <c r="B148" s="49"/>
      <c r="C148" s="91" t="s">
        <v>279</v>
      </c>
      <c r="D148" s="133">
        <v>3000</v>
      </c>
      <c r="E148" s="74">
        <v>3000</v>
      </c>
      <c r="F148" s="74"/>
      <c r="G148" s="167"/>
      <c r="H148" s="133">
        <v>3000</v>
      </c>
      <c r="I148" s="74">
        <v>3000</v>
      </c>
      <c r="J148" s="74"/>
      <c r="K148" s="167"/>
    </row>
    <row r="149" spans="1:11" s="10" customFormat="1" x14ac:dyDescent="0.25">
      <c r="A149" s="66"/>
      <c r="B149" s="49"/>
      <c r="C149" s="91" t="s">
        <v>280</v>
      </c>
      <c r="D149" s="133">
        <v>2000</v>
      </c>
      <c r="E149" s="74"/>
      <c r="F149" s="74">
        <v>2000</v>
      </c>
      <c r="G149" s="167"/>
      <c r="H149" s="133">
        <v>2000</v>
      </c>
      <c r="I149" s="74"/>
      <c r="J149" s="74">
        <v>2000</v>
      </c>
      <c r="K149" s="167"/>
    </row>
    <row r="150" spans="1:11" s="10" customFormat="1" x14ac:dyDescent="0.25">
      <c r="A150" s="66"/>
      <c r="B150" s="49"/>
      <c r="C150" s="91" t="s">
        <v>281</v>
      </c>
      <c r="D150" s="133">
        <v>500</v>
      </c>
      <c r="E150" s="74">
        <v>500</v>
      </c>
      <c r="F150" s="74"/>
      <c r="G150" s="167"/>
      <c r="H150" s="133">
        <v>500</v>
      </c>
      <c r="I150" s="74">
        <v>500</v>
      </c>
      <c r="J150" s="74"/>
      <c r="K150" s="167"/>
    </row>
    <row r="151" spans="1:11" s="10" customFormat="1" x14ac:dyDescent="0.25">
      <c r="A151" s="66"/>
      <c r="B151" s="49"/>
      <c r="C151" s="91" t="s">
        <v>282</v>
      </c>
      <c r="D151" s="133">
        <v>762</v>
      </c>
      <c r="E151" s="74">
        <v>762</v>
      </c>
      <c r="F151" s="74"/>
      <c r="G151" s="167"/>
      <c r="H151" s="133">
        <v>762</v>
      </c>
      <c r="I151" s="74">
        <v>762</v>
      </c>
      <c r="J151" s="74"/>
      <c r="K151" s="167"/>
    </row>
    <row r="152" spans="1:11" s="10" customFormat="1" x14ac:dyDescent="0.25">
      <c r="A152" s="66"/>
      <c r="B152" s="49"/>
      <c r="C152" s="91" t="s">
        <v>283</v>
      </c>
      <c r="D152" s="133">
        <v>3810</v>
      </c>
      <c r="E152" s="74">
        <v>3810</v>
      </c>
      <c r="F152" s="74"/>
      <c r="G152" s="167"/>
      <c r="H152" s="133">
        <v>3810</v>
      </c>
      <c r="I152" s="74">
        <v>3810</v>
      </c>
      <c r="J152" s="74"/>
      <c r="K152" s="167"/>
    </row>
    <row r="153" spans="1:11" s="10" customFormat="1" x14ac:dyDescent="0.25">
      <c r="A153" s="66"/>
      <c r="B153" s="49"/>
      <c r="C153" s="91" t="s">
        <v>284</v>
      </c>
      <c r="D153" s="133">
        <v>943</v>
      </c>
      <c r="E153" s="74">
        <v>943</v>
      </c>
      <c r="F153" s="74"/>
      <c r="G153" s="167"/>
      <c r="H153" s="133">
        <v>943</v>
      </c>
      <c r="I153" s="74">
        <v>943</v>
      </c>
      <c r="J153" s="74"/>
      <c r="K153" s="167"/>
    </row>
    <row r="154" spans="1:11" s="10" customFormat="1" x14ac:dyDescent="0.25">
      <c r="A154" s="66"/>
      <c r="B154" s="49"/>
      <c r="C154" s="91" t="s">
        <v>285</v>
      </c>
      <c r="D154" s="133">
        <v>2413</v>
      </c>
      <c r="E154" s="74">
        <v>2413</v>
      </c>
      <c r="F154" s="74"/>
      <c r="G154" s="167"/>
      <c r="H154" s="133">
        <v>2413</v>
      </c>
      <c r="I154" s="74">
        <v>2413</v>
      </c>
      <c r="J154" s="74"/>
      <c r="K154" s="167"/>
    </row>
    <row r="155" spans="1:11" s="10" customFormat="1" ht="30" x14ac:dyDescent="0.25">
      <c r="A155" s="66"/>
      <c r="B155" s="49"/>
      <c r="C155" s="91" t="s">
        <v>286</v>
      </c>
      <c r="D155" s="133">
        <v>1715</v>
      </c>
      <c r="E155" s="74">
        <v>1715</v>
      </c>
      <c r="F155" s="74"/>
      <c r="G155" s="167"/>
      <c r="H155" s="133">
        <v>1715</v>
      </c>
      <c r="I155" s="74">
        <v>1715</v>
      </c>
      <c r="J155" s="74"/>
      <c r="K155" s="167"/>
    </row>
    <row r="156" spans="1:11" s="10" customFormat="1" x14ac:dyDescent="0.25">
      <c r="A156" s="66"/>
      <c r="B156" s="49"/>
      <c r="C156" s="91" t="s">
        <v>287</v>
      </c>
      <c r="D156" s="133">
        <v>558</v>
      </c>
      <c r="E156" s="74">
        <v>558</v>
      </c>
      <c r="F156" s="74"/>
      <c r="G156" s="167"/>
      <c r="H156" s="133">
        <v>558</v>
      </c>
      <c r="I156" s="74">
        <v>558</v>
      </c>
      <c r="J156" s="74"/>
      <c r="K156" s="167"/>
    </row>
    <row r="157" spans="1:11" s="10" customFormat="1" x14ac:dyDescent="0.25">
      <c r="A157" s="66"/>
      <c r="B157" s="49"/>
      <c r="C157" s="91" t="s">
        <v>288</v>
      </c>
      <c r="D157" s="133">
        <v>1530</v>
      </c>
      <c r="E157" s="74">
        <v>1530</v>
      </c>
      <c r="F157" s="74"/>
      <c r="G157" s="167"/>
      <c r="H157" s="133">
        <v>1530</v>
      </c>
      <c r="I157" s="74">
        <v>1530</v>
      </c>
      <c r="J157" s="74"/>
      <c r="K157" s="167"/>
    </row>
    <row r="158" spans="1:11" s="10" customFormat="1" x14ac:dyDescent="0.25">
      <c r="A158" s="66"/>
      <c r="B158" s="49"/>
      <c r="C158" s="91" t="s">
        <v>289</v>
      </c>
      <c r="D158" s="133">
        <v>1270</v>
      </c>
      <c r="E158" s="74">
        <v>1270</v>
      </c>
      <c r="F158" s="74"/>
      <c r="G158" s="167"/>
      <c r="H158" s="133">
        <v>1270</v>
      </c>
      <c r="I158" s="74">
        <v>1270</v>
      </c>
      <c r="J158" s="74"/>
      <c r="K158" s="167"/>
    </row>
    <row r="159" spans="1:11" s="10" customFormat="1" x14ac:dyDescent="0.25">
      <c r="A159" s="66"/>
      <c r="B159" s="49"/>
      <c r="C159" s="91" t="s">
        <v>290</v>
      </c>
      <c r="D159" s="133">
        <v>2840</v>
      </c>
      <c r="E159" s="74">
        <v>2840</v>
      </c>
      <c r="F159" s="74"/>
      <c r="G159" s="167"/>
      <c r="H159" s="133">
        <v>2840</v>
      </c>
      <c r="I159" s="74">
        <v>2840</v>
      </c>
      <c r="J159" s="74"/>
      <c r="K159" s="167"/>
    </row>
    <row r="160" spans="1:11" s="10" customFormat="1" ht="30" x14ac:dyDescent="0.25">
      <c r="A160" s="66"/>
      <c r="B160" s="49"/>
      <c r="C160" s="91" t="s">
        <v>291</v>
      </c>
      <c r="D160" s="133">
        <v>3384</v>
      </c>
      <c r="E160" s="74">
        <v>3384</v>
      </c>
      <c r="F160" s="74"/>
      <c r="G160" s="167"/>
      <c r="H160" s="133">
        <v>3384</v>
      </c>
      <c r="I160" s="74">
        <v>3384</v>
      </c>
      <c r="J160" s="74"/>
      <c r="K160" s="167"/>
    </row>
    <row r="161" spans="1:11" s="10" customFormat="1" ht="30" x14ac:dyDescent="0.25">
      <c r="A161" s="66"/>
      <c r="B161" s="49"/>
      <c r="C161" s="91" t="s">
        <v>292</v>
      </c>
      <c r="D161" s="133">
        <v>1214</v>
      </c>
      <c r="E161" s="74"/>
      <c r="F161" s="74">
        <v>1214</v>
      </c>
      <c r="G161" s="167"/>
      <c r="H161" s="133">
        <v>1214</v>
      </c>
      <c r="I161" s="74"/>
      <c r="J161" s="74">
        <v>1214</v>
      </c>
      <c r="K161" s="167"/>
    </row>
    <row r="162" spans="1:11" s="10" customFormat="1" ht="30" x14ac:dyDescent="0.25">
      <c r="A162" s="66"/>
      <c r="B162" s="49"/>
      <c r="C162" s="91" t="s">
        <v>293</v>
      </c>
      <c r="D162" s="133">
        <v>1600</v>
      </c>
      <c r="E162" s="74">
        <v>1600</v>
      </c>
      <c r="F162" s="74"/>
      <c r="G162" s="167"/>
      <c r="H162" s="133">
        <v>1600</v>
      </c>
      <c r="I162" s="74">
        <v>1600</v>
      </c>
      <c r="J162" s="74"/>
      <c r="K162" s="167"/>
    </row>
    <row r="163" spans="1:11" s="10" customFormat="1" x14ac:dyDescent="0.25">
      <c r="A163" s="66"/>
      <c r="B163" s="49"/>
      <c r="C163" s="91" t="s">
        <v>294</v>
      </c>
      <c r="D163" s="133">
        <v>5000</v>
      </c>
      <c r="E163" s="74">
        <v>5000</v>
      </c>
      <c r="F163" s="74"/>
      <c r="G163" s="167"/>
      <c r="H163" s="133">
        <v>0</v>
      </c>
      <c r="I163" s="74">
        <v>0</v>
      </c>
      <c r="J163" s="74"/>
      <c r="K163" s="167"/>
    </row>
    <row r="164" spans="1:11" s="10" customFormat="1" x14ac:dyDescent="0.25">
      <c r="A164" s="66"/>
      <c r="B164" s="49"/>
      <c r="C164" s="91" t="s">
        <v>295</v>
      </c>
      <c r="D164" s="133">
        <v>3000</v>
      </c>
      <c r="E164" s="74"/>
      <c r="F164" s="74">
        <v>3000</v>
      </c>
      <c r="G164" s="167"/>
      <c r="H164" s="133">
        <v>3000</v>
      </c>
      <c r="I164" s="74"/>
      <c r="J164" s="74">
        <v>3000</v>
      </c>
      <c r="K164" s="167"/>
    </row>
    <row r="165" spans="1:11" s="10" customFormat="1" x14ac:dyDescent="0.25">
      <c r="A165" s="66"/>
      <c r="B165" s="49"/>
      <c r="C165" s="91" t="s">
        <v>296</v>
      </c>
      <c r="D165" s="133">
        <v>2500</v>
      </c>
      <c r="E165" s="74">
        <v>2500</v>
      </c>
      <c r="F165" s="74"/>
      <c r="G165" s="167"/>
      <c r="H165" s="133">
        <v>2500</v>
      </c>
      <c r="I165" s="74">
        <v>2500</v>
      </c>
      <c r="J165" s="74"/>
      <c r="K165" s="167"/>
    </row>
    <row r="166" spans="1:11" s="10" customFormat="1" x14ac:dyDescent="0.25">
      <c r="A166" s="66"/>
      <c r="B166" s="49"/>
      <c r="C166" s="91" t="s">
        <v>297</v>
      </c>
      <c r="D166" s="133">
        <v>1000</v>
      </c>
      <c r="E166" s="74">
        <v>1000</v>
      </c>
      <c r="F166" s="74"/>
      <c r="G166" s="167"/>
      <c r="H166" s="133">
        <v>1000</v>
      </c>
      <c r="I166" s="74">
        <v>1000</v>
      </c>
      <c r="J166" s="74"/>
      <c r="K166" s="167"/>
    </row>
    <row r="167" spans="1:11" s="10" customFormat="1" ht="30" x14ac:dyDescent="0.25">
      <c r="A167" s="66"/>
      <c r="B167" s="49"/>
      <c r="C167" s="91" t="s">
        <v>298</v>
      </c>
      <c r="D167" s="133">
        <v>2500</v>
      </c>
      <c r="E167" s="74">
        <v>2500</v>
      </c>
      <c r="F167" s="74"/>
      <c r="G167" s="167"/>
      <c r="H167" s="133">
        <v>2500</v>
      </c>
      <c r="I167" s="74">
        <v>2500</v>
      </c>
      <c r="J167" s="74"/>
      <c r="K167" s="167"/>
    </row>
    <row r="168" spans="1:11" s="10" customFormat="1" ht="30" x14ac:dyDescent="0.25">
      <c r="A168" s="66"/>
      <c r="B168" s="49"/>
      <c r="C168" s="91" t="s">
        <v>299</v>
      </c>
      <c r="D168" s="133">
        <v>671</v>
      </c>
      <c r="E168" s="74">
        <v>671</v>
      </c>
      <c r="F168" s="74"/>
      <c r="G168" s="167"/>
      <c r="H168" s="133">
        <v>671</v>
      </c>
      <c r="I168" s="74">
        <v>671</v>
      </c>
      <c r="J168" s="74"/>
      <c r="K168" s="167"/>
    </row>
    <row r="169" spans="1:11" s="10" customFormat="1" x14ac:dyDescent="0.25">
      <c r="A169" s="66"/>
      <c r="B169" s="49"/>
      <c r="C169" s="91" t="s">
        <v>300</v>
      </c>
      <c r="D169" s="133">
        <v>1245</v>
      </c>
      <c r="E169" s="74">
        <v>1245</v>
      </c>
      <c r="F169" s="74"/>
      <c r="G169" s="167"/>
      <c r="H169" s="133">
        <v>1245</v>
      </c>
      <c r="I169" s="74">
        <v>1245</v>
      </c>
      <c r="J169" s="74"/>
      <c r="K169" s="167"/>
    </row>
    <row r="170" spans="1:11" s="10" customFormat="1" ht="30" x14ac:dyDescent="0.25">
      <c r="A170" s="66"/>
      <c r="B170" s="49"/>
      <c r="C170" s="91" t="s">
        <v>301</v>
      </c>
      <c r="D170" s="133">
        <v>2000</v>
      </c>
      <c r="E170" s="74"/>
      <c r="F170" s="74">
        <v>2000</v>
      </c>
      <c r="G170" s="167"/>
      <c r="H170" s="133">
        <v>2000</v>
      </c>
      <c r="I170" s="74"/>
      <c r="J170" s="74">
        <v>2000</v>
      </c>
      <c r="K170" s="167"/>
    </row>
    <row r="171" spans="1:11" s="10" customFormat="1" x14ac:dyDescent="0.25">
      <c r="A171" s="66"/>
      <c r="B171" s="49"/>
      <c r="C171" s="91" t="s">
        <v>302</v>
      </c>
      <c r="D171" s="133">
        <v>2000</v>
      </c>
      <c r="E171" s="74">
        <v>2000</v>
      </c>
      <c r="F171" s="74"/>
      <c r="G171" s="167"/>
      <c r="H171" s="133">
        <v>2000</v>
      </c>
      <c r="I171" s="74">
        <v>2000</v>
      </c>
      <c r="J171" s="74"/>
      <c r="K171" s="167"/>
    </row>
    <row r="172" spans="1:11" s="10" customFormat="1" x14ac:dyDescent="0.25">
      <c r="A172" s="66"/>
      <c r="B172" s="49"/>
      <c r="C172" s="91" t="s">
        <v>303</v>
      </c>
      <c r="D172" s="133">
        <v>3000</v>
      </c>
      <c r="E172" s="74">
        <v>3000</v>
      </c>
      <c r="F172" s="74"/>
      <c r="G172" s="167"/>
      <c r="H172" s="133">
        <v>2500</v>
      </c>
      <c r="I172" s="74">
        <v>2500</v>
      </c>
      <c r="J172" s="74"/>
      <c r="K172" s="167"/>
    </row>
    <row r="173" spans="1:11" s="10" customFormat="1" x14ac:dyDescent="0.25">
      <c r="A173" s="66"/>
      <c r="B173" s="49"/>
      <c r="C173" s="91" t="s">
        <v>967</v>
      </c>
      <c r="D173" s="133">
        <v>500</v>
      </c>
      <c r="E173" s="74">
        <v>500</v>
      </c>
      <c r="F173" s="74"/>
      <c r="G173" s="167"/>
      <c r="H173" s="133">
        <v>500</v>
      </c>
      <c r="I173" s="74">
        <v>500</v>
      </c>
      <c r="J173" s="74"/>
      <c r="K173" s="167"/>
    </row>
    <row r="174" spans="1:11" s="10" customFormat="1" ht="45" x14ac:dyDescent="0.25">
      <c r="A174" s="66"/>
      <c r="B174" s="49"/>
      <c r="C174" s="91" t="s">
        <v>990</v>
      </c>
      <c r="D174" s="133"/>
      <c r="E174" s="74"/>
      <c r="F174" s="74"/>
      <c r="G174" s="582"/>
      <c r="H174" s="133">
        <v>6250</v>
      </c>
      <c r="I174" s="74">
        <v>6250</v>
      </c>
      <c r="J174" s="74"/>
      <c r="K174" s="582"/>
    </row>
    <row r="175" spans="1:11" s="10" customFormat="1" x14ac:dyDescent="0.25">
      <c r="A175" s="66"/>
      <c r="B175" s="49"/>
      <c r="C175" s="91" t="s">
        <v>991</v>
      </c>
      <c r="D175" s="133"/>
      <c r="E175" s="74"/>
      <c r="F175" s="74"/>
      <c r="G175" s="582"/>
      <c r="H175" s="133">
        <v>5842</v>
      </c>
      <c r="I175" s="74">
        <v>5842</v>
      </c>
      <c r="J175" s="74"/>
      <c r="K175" s="582"/>
    </row>
    <row r="176" spans="1:11" s="10" customFormat="1" x14ac:dyDescent="0.25">
      <c r="A176" s="66"/>
      <c r="B176" s="49"/>
      <c r="C176" s="91" t="s">
        <v>992</v>
      </c>
      <c r="D176" s="133"/>
      <c r="E176" s="74"/>
      <c r="F176" s="74"/>
      <c r="G176" s="582"/>
      <c r="H176" s="133">
        <v>2096</v>
      </c>
      <c r="I176" s="74">
        <v>2096</v>
      </c>
      <c r="J176" s="74"/>
      <c r="K176" s="582"/>
    </row>
    <row r="177" spans="1:11" s="10" customFormat="1" x14ac:dyDescent="0.25">
      <c r="A177" s="66"/>
      <c r="B177" s="49"/>
      <c r="C177" s="91" t="s">
        <v>993</v>
      </c>
      <c r="D177" s="133"/>
      <c r="E177" s="74"/>
      <c r="F177" s="74"/>
      <c r="G177" s="582"/>
      <c r="H177" s="133">
        <v>180</v>
      </c>
      <c r="I177" s="74">
        <v>180</v>
      </c>
      <c r="J177" s="74"/>
      <c r="K177" s="582"/>
    </row>
    <row r="178" spans="1:11" s="10" customFormat="1" x14ac:dyDescent="0.25">
      <c r="A178" s="66"/>
      <c r="B178" s="49"/>
      <c r="C178" s="91" t="s">
        <v>994</v>
      </c>
      <c r="D178" s="133"/>
      <c r="E178" s="74"/>
      <c r="F178" s="74"/>
      <c r="G178" s="582"/>
      <c r="H178" s="133">
        <v>500</v>
      </c>
      <c r="I178" s="74">
        <v>500</v>
      </c>
      <c r="J178" s="74"/>
      <c r="K178" s="582"/>
    </row>
    <row r="179" spans="1:11" s="10" customFormat="1" x14ac:dyDescent="0.25">
      <c r="A179" s="66"/>
      <c r="B179" s="49"/>
      <c r="C179" s="126" t="s">
        <v>65</v>
      </c>
      <c r="D179" s="137">
        <f>SUM(D86:D173)</f>
        <v>637299</v>
      </c>
      <c r="E179" s="51">
        <f t="shared" ref="E179:G179" si="21">SUM(E86:E173)</f>
        <v>496796</v>
      </c>
      <c r="F179" s="51">
        <f t="shared" si="21"/>
        <v>140503</v>
      </c>
      <c r="G179" s="509">
        <f t="shared" si="21"/>
        <v>0</v>
      </c>
      <c r="H179" s="137">
        <f>SUM(H86:H178)</f>
        <v>636587</v>
      </c>
      <c r="I179" s="51">
        <f>SUM(I86:I178)</f>
        <v>491084</v>
      </c>
      <c r="J179" s="51">
        <f>SUM(J86:J178)</f>
        <v>145503</v>
      </c>
      <c r="K179" s="509">
        <f>SUM(K86:K178)</f>
        <v>0</v>
      </c>
    </row>
    <row r="180" spans="1:11" s="10" customFormat="1" x14ac:dyDescent="0.25">
      <c r="A180" s="66"/>
      <c r="B180" s="49"/>
      <c r="C180" s="126"/>
      <c r="D180" s="138"/>
      <c r="E180" s="123"/>
      <c r="F180" s="123"/>
      <c r="G180" s="168"/>
      <c r="H180" s="138"/>
      <c r="I180" s="123"/>
      <c r="J180" s="123"/>
      <c r="K180" s="168"/>
    </row>
    <row r="181" spans="1:11" s="10" customFormat="1" x14ac:dyDescent="0.25">
      <c r="A181" s="66"/>
      <c r="B181" s="49" t="s">
        <v>31</v>
      </c>
      <c r="C181" s="95" t="s">
        <v>82</v>
      </c>
      <c r="D181" s="118"/>
      <c r="E181" s="123"/>
      <c r="F181" s="123"/>
      <c r="G181" s="168"/>
      <c r="H181" s="118"/>
      <c r="I181" s="123"/>
      <c r="J181" s="123"/>
      <c r="K181" s="168"/>
    </row>
    <row r="182" spans="1:11" s="174" customFormat="1" x14ac:dyDescent="0.25">
      <c r="A182" s="71"/>
      <c r="B182" s="49"/>
      <c r="C182" s="91" t="s">
        <v>175</v>
      </c>
      <c r="D182" s="41"/>
      <c r="E182" s="36"/>
      <c r="F182" s="36"/>
      <c r="G182" s="156"/>
      <c r="H182" s="41"/>
      <c r="I182" s="36"/>
      <c r="J182" s="36"/>
      <c r="K182" s="156"/>
    </row>
    <row r="183" spans="1:11" s="174" customFormat="1" x14ac:dyDescent="0.25">
      <c r="A183" s="71"/>
      <c r="B183" s="49"/>
      <c r="C183" s="91" t="s">
        <v>176</v>
      </c>
      <c r="D183" s="41">
        <v>10000</v>
      </c>
      <c r="E183" s="36"/>
      <c r="F183" s="36"/>
      <c r="G183" s="165">
        <v>10000</v>
      </c>
      <c r="H183" s="41">
        <v>10000</v>
      </c>
      <c r="I183" s="36"/>
      <c r="J183" s="36"/>
      <c r="K183" s="165">
        <v>10000</v>
      </c>
    </row>
    <row r="184" spans="1:11" s="174" customFormat="1" ht="30" x14ac:dyDescent="0.25">
      <c r="A184" s="71"/>
      <c r="B184" s="49"/>
      <c r="C184" s="91" t="s">
        <v>177</v>
      </c>
      <c r="D184" s="41">
        <v>1000</v>
      </c>
      <c r="E184" s="36"/>
      <c r="F184" s="36"/>
      <c r="G184" s="165">
        <v>1000</v>
      </c>
      <c r="H184" s="41">
        <v>1000</v>
      </c>
      <c r="I184" s="36"/>
      <c r="J184" s="36"/>
      <c r="K184" s="165">
        <v>1000</v>
      </c>
    </row>
    <row r="185" spans="1:11" s="174" customFormat="1" x14ac:dyDescent="0.25">
      <c r="A185" s="71"/>
      <c r="B185" s="49"/>
      <c r="C185" s="91" t="s">
        <v>178</v>
      </c>
      <c r="D185" s="41">
        <v>400</v>
      </c>
      <c r="E185" s="36"/>
      <c r="F185" s="36"/>
      <c r="G185" s="165">
        <v>400</v>
      </c>
      <c r="H185" s="41">
        <v>400</v>
      </c>
      <c r="I185" s="36"/>
      <c r="J185" s="36"/>
      <c r="K185" s="165">
        <v>400</v>
      </c>
    </row>
    <row r="186" spans="1:11" s="174" customFormat="1" x14ac:dyDescent="0.25">
      <c r="A186" s="71"/>
      <c r="B186" s="49"/>
      <c r="C186" s="91" t="s">
        <v>179</v>
      </c>
      <c r="D186" s="41">
        <v>8000</v>
      </c>
      <c r="E186" s="36"/>
      <c r="F186" s="36"/>
      <c r="G186" s="165">
        <v>8000</v>
      </c>
      <c r="H186" s="41">
        <v>8000</v>
      </c>
      <c r="I186" s="36"/>
      <c r="J186" s="36"/>
      <c r="K186" s="165">
        <v>8000</v>
      </c>
    </row>
    <row r="187" spans="1:11" s="174" customFormat="1" ht="30" customHeight="1" x14ac:dyDescent="0.25">
      <c r="A187" s="71"/>
      <c r="B187" s="49"/>
      <c r="C187" s="91" t="s">
        <v>180</v>
      </c>
      <c r="D187" s="41">
        <v>200</v>
      </c>
      <c r="E187" s="36"/>
      <c r="F187" s="36"/>
      <c r="G187" s="165">
        <v>200</v>
      </c>
      <c r="H187" s="41">
        <v>200</v>
      </c>
      <c r="I187" s="36"/>
      <c r="J187" s="36"/>
      <c r="K187" s="165">
        <v>200</v>
      </c>
    </row>
    <row r="188" spans="1:11" s="174" customFormat="1" x14ac:dyDescent="0.25">
      <c r="A188" s="71"/>
      <c r="B188" s="49"/>
      <c r="C188" s="91" t="s">
        <v>181</v>
      </c>
      <c r="D188" s="41">
        <v>200</v>
      </c>
      <c r="E188" s="36"/>
      <c r="F188" s="36"/>
      <c r="G188" s="165">
        <v>200</v>
      </c>
      <c r="H188" s="41">
        <v>200</v>
      </c>
      <c r="I188" s="36"/>
      <c r="J188" s="36"/>
      <c r="K188" s="165">
        <v>200</v>
      </c>
    </row>
    <row r="189" spans="1:11" s="174" customFormat="1" x14ac:dyDescent="0.25">
      <c r="A189" s="71"/>
      <c r="B189" s="49"/>
      <c r="C189" s="91" t="s">
        <v>182</v>
      </c>
      <c r="D189" s="41">
        <v>50</v>
      </c>
      <c r="E189" s="36"/>
      <c r="F189" s="36"/>
      <c r="G189" s="165">
        <v>50</v>
      </c>
      <c r="H189" s="41">
        <v>50</v>
      </c>
      <c r="I189" s="36"/>
      <c r="J189" s="36"/>
      <c r="K189" s="165">
        <v>50</v>
      </c>
    </row>
    <row r="190" spans="1:11" s="174" customFormat="1" x14ac:dyDescent="0.25">
      <c r="A190" s="71"/>
      <c r="B190" s="49"/>
      <c r="C190" s="91" t="s">
        <v>304</v>
      </c>
      <c r="D190" s="41">
        <v>6000</v>
      </c>
      <c r="E190" s="36"/>
      <c r="F190" s="36"/>
      <c r="G190" s="165">
        <v>6000</v>
      </c>
      <c r="H190" s="41">
        <v>6000</v>
      </c>
      <c r="I190" s="36"/>
      <c r="J190" s="36"/>
      <c r="K190" s="165">
        <v>6000</v>
      </c>
    </row>
    <row r="191" spans="1:11" s="174" customFormat="1" x14ac:dyDescent="0.25">
      <c r="A191" s="71"/>
      <c r="B191" s="49"/>
      <c r="C191" s="91" t="s">
        <v>305</v>
      </c>
      <c r="D191" s="41">
        <v>10000</v>
      </c>
      <c r="E191" s="36"/>
      <c r="F191" s="36"/>
      <c r="G191" s="165">
        <v>10000</v>
      </c>
      <c r="H191" s="41">
        <v>10000</v>
      </c>
      <c r="I191" s="36"/>
      <c r="J191" s="36"/>
      <c r="K191" s="165">
        <v>10000</v>
      </c>
    </row>
    <row r="192" spans="1:11" s="174" customFormat="1" x14ac:dyDescent="0.25">
      <c r="A192" s="71"/>
      <c r="B192" s="49"/>
      <c r="C192" s="91" t="s">
        <v>183</v>
      </c>
      <c r="D192" s="41">
        <v>2200</v>
      </c>
      <c r="E192" s="36"/>
      <c r="F192" s="36"/>
      <c r="G192" s="165">
        <v>2200</v>
      </c>
      <c r="H192" s="41">
        <v>2200</v>
      </c>
      <c r="I192" s="36"/>
      <c r="J192" s="36"/>
      <c r="K192" s="165">
        <v>2200</v>
      </c>
    </row>
    <row r="193" spans="1:11" s="174" customFormat="1" x14ac:dyDescent="0.25">
      <c r="A193" s="71"/>
      <c r="B193" s="49"/>
      <c r="C193" s="91" t="s">
        <v>184</v>
      </c>
      <c r="D193" s="41">
        <v>100</v>
      </c>
      <c r="E193" s="36"/>
      <c r="F193" s="36"/>
      <c r="G193" s="165">
        <v>100</v>
      </c>
      <c r="H193" s="41">
        <v>100</v>
      </c>
      <c r="I193" s="36"/>
      <c r="J193" s="36"/>
      <c r="K193" s="165">
        <v>100</v>
      </c>
    </row>
    <row r="194" spans="1:11" s="10" customFormat="1" x14ac:dyDescent="0.25">
      <c r="A194" s="66"/>
      <c r="B194" s="70"/>
      <c r="C194" s="126" t="s">
        <v>66</v>
      </c>
      <c r="D194" s="117">
        <f>SUM(D182:D193)</f>
        <v>38150</v>
      </c>
      <c r="E194" s="51">
        <f>SUM(E182:E192)</f>
        <v>0</v>
      </c>
      <c r="F194" s="51">
        <f>SUM(F182:F192)</f>
        <v>0</v>
      </c>
      <c r="G194" s="164">
        <f>SUM(G182:G193)</f>
        <v>38150</v>
      </c>
      <c r="H194" s="117">
        <f>SUM(H182:H193)</f>
        <v>38150</v>
      </c>
      <c r="I194" s="51">
        <f>SUM(I182:I192)</f>
        <v>0</v>
      </c>
      <c r="J194" s="51">
        <f>SUM(J182:J192)</f>
        <v>0</v>
      </c>
      <c r="K194" s="164">
        <f>SUM(K182:K193)</f>
        <v>38150</v>
      </c>
    </row>
    <row r="195" spans="1:11" s="10" customFormat="1" x14ac:dyDescent="0.25">
      <c r="A195" s="66"/>
      <c r="B195" s="49"/>
      <c r="C195" s="126"/>
      <c r="D195" s="118"/>
      <c r="E195" s="123"/>
      <c r="F195" s="123"/>
      <c r="G195" s="168"/>
      <c r="H195" s="118"/>
      <c r="I195" s="123"/>
      <c r="J195" s="123"/>
      <c r="K195" s="168"/>
    </row>
    <row r="196" spans="1:11" s="10" customFormat="1" x14ac:dyDescent="0.25">
      <c r="A196" s="66"/>
      <c r="B196" s="49" t="s">
        <v>39</v>
      </c>
      <c r="C196" s="95" t="s">
        <v>83</v>
      </c>
      <c r="D196" s="118"/>
      <c r="E196" s="123"/>
      <c r="F196" s="123"/>
      <c r="G196" s="168"/>
      <c r="H196" s="118"/>
      <c r="I196" s="123"/>
      <c r="J196" s="123"/>
      <c r="K196" s="168"/>
    </row>
    <row r="197" spans="1:11" s="10" customFormat="1" x14ac:dyDescent="0.25">
      <c r="A197" s="66"/>
      <c r="B197" s="49"/>
      <c r="C197" s="95" t="s">
        <v>87</v>
      </c>
      <c r="D197" s="118"/>
      <c r="E197" s="123"/>
      <c r="F197" s="123"/>
      <c r="G197" s="168"/>
      <c r="H197" s="118"/>
      <c r="I197" s="123"/>
      <c r="J197" s="123"/>
      <c r="K197" s="168"/>
    </row>
    <row r="198" spans="1:11" s="10" customFormat="1" ht="16.5" customHeight="1" x14ac:dyDescent="0.25">
      <c r="A198" s="66"/>
      <c r="B198" s="49"/>
      <c r="C198" s="95" t="s">
        <v>60</v>
      </c>
      <c r="D198" s="41">
        <v>600</v>
      </c>
      <c r="E198" s="36">
        <v>600</v>
      </c>
      <c r="F198" s="36"/>
      <c r="G198" s="156"/>
      <c r="H198" s="41">
        <v>600</v>
      </c>
      <c r="I198" s="36">
        <v>600</v>
      </c>
      <c r="J198" s="36"/>
      <c r="K198" s="156"/>
    </row>
    <row r="199" spans="1:11" s="10" customFormat="1" ht="16.5" customHeight="1" x14ac:dyDescent="0.25">
      <c r="A199" s="66"/>
      <c r="B199" s="49"/>
      <c r="C199" s="95" t="s">
        <v>94</v>
      </c>
      <c r="D199" s="41">
        <v>3550</v>
      </c>
      <c r="E199" s="36"/>
      <c r="F199" s="36">
        <v>3550</v>
      </c>
      <c r="G199" s="156"/>
      <c r="H199" s="41">
        <v>3550</v>
      </c>
      <c r="I199" s="36"/>
      <c r="J199" s="36">
        <v>3550</v>
      </c>
      <c r="K199" s="156"/>
    </row>
    <row r="200" spans="1:11" s="10" customFormat="1" ht="30" x14ac:dyDescent="0.25">
      <c r="A200" s="66"/>
      <c r="B200" s="49"/>
      <c r="C200" s="91" t="s">
        <v>149</v>
      </c>
      <c r="D200" s="122">
        <v>314133</v>
      </c>
      <c r="E200" s="74">
        <v>154831</v>
      </c>
      <c r="F200" s="74">
        <v>159302</v>
      </c>
      <c r="G200" s="166"/>
      <c r="H200" s="122">
        <v>328247</v>
      </c>
      <c r="I200" s="74">
        <v>168945</v>
      </c>
      <c r="J200" s="74">
        <v>159302</v>
      </c>
      <c r="K200" s="166"/>
    </row>
    <row r="201" spans="1:11" s="10" customFormat="1" ht="15" customHeight="1" x14ac:dyDescent="0.25">
      <c r="A201" s="66"/>
      <c r="B201" s="49"/>
      <c r="C201" s="91" t="s">
        <v>306</v>
      </c>
      <c r="D201" s="133">
        <v>150</v>
      </c>
      <c r="E201" s="74"/>
      <c r="F201" s="74">
        <v>150</v>
      </c>
      <c r="G201" s="167"/>
      <c r="H201" s="133">
        <v>150</v>
      </c>
      <c r="I201" s="74"/>
      <c r="J201" s="74">
        <v>150</v>
      </c>
      <c r="K201" s="167"/>
    </row>
    <row r="202" spans="1:11" s="10" customFormat="1" x14ac:dyDescent="0.25">
      <c r="A202" s="66"/>
      <c r="B202" s="49"/>
      <c r="C202" s="97" t="s">
        <v>49</v>
      </c>
      <c r="D202" s="134">
        <f t="shared" ref="D202:K202" si="22">SUM(D198:D201)</f>
        <v>318433</v>
      </c>
      <c r="E202" s="46">
        <f t="shared" si="22"/>
        <v>155431</v>
      </c>
      <c r="F202" s="46">
        <f t="shared" si="22"/>
        <v>163002</v>
      </c>
      <c r="G202" s="160">
        <f t="shared" si="22"/>
        <v>0</v>
      </c>
      <c r="H202" s="134">
        <f t="shared" si="22"/>
        <v>332547</v>
      </c>
      <c r="I202" s="46">
        <f t="shared" si="22"/>
        <v>169545</v>
      </c>
      <c r="J202" s="46">
        <f t="shared" si="22"/>
        <v>163002</v>
      </c>
      <c r="K202" s="160">
        <f t="shared" si="22"/>
        <v>0</v>
      </c>
    </row>
    <row r="203" spans="1:11" s="10" customFormat="1" x14ac:dyDescent="0.25">
      <c r="A203" s="66"/>
      <c r="B203" s="49"/>
      <c r="C203" s="97"/>
      <c r="D203" s="118"/>
      <c r="E203" s="123"/>
      <c r="F203" s="123"/>
      <c r="G203" s="168"/>
      <c r="H203" s="118"/>
      <c r="I203" s="123"/>
      <c r="J203" s="123"/>
      <c r="K203" s="168"/>
    </row>
    <row r="204" spans="1:11" s="10" customFormat="1" x14ac:dyDescent="0.25">
      <c r="A204" s="66"/>
      <c r="B204" s="49"/>
      <c r="C204" s="95" t="s">
        <v>88</v>
      </c>
      <c r="D204" s="118"/>
      <c r="E204" s="123"/>
      <c r="F204" s="123"/>
      <c r="G204" s="168"/>
      <c r="H204" s="118"/>
      <c r="I204" s="123"/>
      <c r="J204" s="123"/>
      <c r="K204" s="168"/>
    </row>
    <row r="205" spans="1:11" s="10" customFormat="1" x14ac:dyDescent="0.25">
      <c r="A205" s="66"/>
      <c r="B205" s="49"/>
      <c r="C205" s="95" t="s">
        <v>173</v>
      </c>
      <c r="D205" s="41">
        <v>35000</v>
      </c>
      <c r="E205" s="36">
        <v>35000</v>
      </c>
      <c r="F205" s="36"/>
      <c r="G205" s="156"/>
      <c r="H205" s="41">
        <v>35000</v>
      </c>
      <c r="I205" s="36">
        <v>35000</v>
      </c>
      <c r="J205" s="36"/>
      <c r="K205" s="156"/>
    </row>
    <row r="206" spans="1:11" s="10" customFormat="1" x14ac:dyDescent="0.25">
      <c r="A206" s="66"/>
      <c r="B206" s="49"/>
      <c r="C206" s="95" t="s">
        <v>307</v>
      </c>
      <c r="D206" s="41">
        <v>1000</v>
      </c>
      <c r="E206" s="36">
        <v>1000</v>
      </c>
      <c r="F206" s="36"/>
      <c r="G206" s="156"/>
      <c r="H206" s="41">
        <v>1000</v>
      </c>
      <c r="I206" s="36">
        <v>1000</v>
      </c>
      <c r="J206" s="36"/>
      <c r="K206" s="156"/>
    </row>
    <row r="207" spans="1:11" s="10" customFormat="1" x14ac:dyDescent="0.25">
      <c r="A207" s="66"/>
      <c r="B207" s="49"/>
      <c r="C207" s="95" t="s">
        <v>308</v>
      </c>
      <c r="D207" s="118"/>
      <c r="E207" s="123"/>
      <c r="F207" s="123"/>
      <c r="G207" s="168"/>
      <c r="H207" s="118"/>
      <c r="I207" s="123"/>
      <c r="J207" s="123"/>
      <c r="K207" s="168"/>
    </row>
    <row r="208" spans="1:11" s="10" customFormat="1" x14ac:dyDescent="0.25">
      <c r="A208" s="66"/>
      <c r="B208" s="49"/>
      <c r="C208" s="95" t="s">
        <v>309</v>
      </c>
      <c r="D208" s="41">
        <v>20000</v>
      </c>
      <c r="E208" s="36">
        <v>20000</v>
      </c>
      <c r="F208" s="36"/>
      <c r="G208" s="156"/>
      <c r="H208" s="41">
        <v>20000</v>
      </c>
      <c r="I208" s="36">
        <v>20000</v>
      </c>
      <c r="J208" s="36"/>
      <c r="K208" s="156"/>
    </row>
    <row r="209" spans="1:11" s="10" customFormat="1" x14ac:dyDescent="0.25">
      <c r="A209" s="66"/>
      <c r="B209" s="49"/>
      <c r="C209" s="91" t="s">
        <v>310</v>
      </c>
      <c r="D209" s="41">
        <v>10368</v>
      </c>
      <c r="E209" s="36">
        <v>10368</v>
      </c>
      <c r="F209" s="36"/>
      <c r="G209" s="156"/>
      <c r="H209" s="41">
        <v>10368</v>
      </c>
      <c r="I209" s="36">
        <v>10368</v>
      </c>
      <c r="J209" s="36"/>
      <c r="K209" s="156"/>
    </row>
    <row r="210" spans="1:11" s="10" customFormat="1" x14ac:dyDescent="0.25">
      <c r="A210" s="66"/>
      <c r="B210" s="49"/>
      <c r="C210" s="95" t="s">
        <v>311</v>
      </c>
      <c r="D210" s="41">
        <v>4000</v>
      </c>
      <c r="E210" s="36"/>
      <c r="F210" s="36">
        <v>4000</v>
      </c>
      <c r="G210" s="156"/>
      <c r="H210" s="41">
        <v>4000</v>
      </c>
      <c r="I210" s="36"/>
      <c r="J210" s="36">
        <v>4000</v>
      </c>
      <c r="K210" s="156"/>
    </row>
    <row r="211" spans="1:11" s="10" customFormat="1" x14ac:dyDescent="0.25">
      <c r="A211" s="66"/>
      <c r="B211" s="49"/>
      <c r="C211" s="95" t="s">
        <v>312</v>
      </c>
      <c r="D211" s="41">
        <v>612</v>
      </c>
      <c r="E211" s="36">
        <v>612</v>
      </c>
      <c r="F211" s="36"/>
      <c r="G211" s="156"/>
      <c r="H211" s="41">
        <v>612</v>
      </c>
      <c r="I211" s="36">
        <v>612</v>
      </c>
      <c r="J211" s="36"/>
      <c r="K211" s="156"/>
    </row>
    <row r="212" spans="1:11" s="10" customFormat="1" x14ac:dyDescent="0.25">
      <c r="A212" s="66"/>
      <c r="B212" s="49"/>
      <c r="C212" s="95" t="s">
        <v>313</v>
      </c>
      <c r="D212" s="41">
        <v>14179</v>
      </c>
      <c r="E212" s="36">
        <v>14179</v>
      </c>
      <c r="F212" s="36"/>
      <c r="G212" s="156"/>
      <c r="H212" s="41">
        <v>14179</v>
      </c>
      <c r="I212" s="36">
        <v>14179</v>
      </c>
      <c r="J212" s="36"/>
      <c r="K212" s="156"/>
    </row>
    <row r="213" spans="1:11" s="10" customFormat="1" x14ac:dyDescent="0.25">
      <c r="A213" s="66"/>
      <c r="B213" s="49"/>
      <c r="C213" s="95" t="s">
        <v>314</v>
      </c>
      <c r="D213" s="41">
        <v>1900</v>
      </c>
      <c r="E213" s="36">
        <v>1900</v>
      </c>
      <c r="F213" s="36"/>
      <c r="G213" s="156"/>
      <c r="H213" s="41">
        <v>1900</v>
      </c>
      <c r="I213" s="36">
        <v>1900</v>
      </c>
      <c r="J213" s="36"/>
      <c r="K213" s="156"/>
    </row>
    <row r="214" spans="1:11" s="10" customFormat="1" x14ac:dyDescent="0.25">
      <c r="A214" s="66"/>
      <c r="B214" s="49"/>
      <c r="C214" s="91" t="s">
        <v>128</v>
      </c>
      <c r="D214" s="122">
        <v>3000</v>
      </c>
      <c r="E214" s="74"/>
      <c r="F214" s="74">
        <v>3000</v>
      </c>
      <c r="G214" s="166"/>
      <c r="H214" s="122">
        <v>3000</v>
      </c>
      <c r="I214" s="74"/>
      <c r="J214" s="74">
        <v>3000</v>
      </c>
      <c r="K214" s="166"/>
    </row>
    <row r="215" spans="1:11" s="22" customFormat="1" x14ac:dyDescent="0.25">
      <c r="A215" s="67"/>
      <c r="B215" s="49"/>
      <c r="C215" s="91" t="s">
        <v>129</v>
      </c>
      <c r="D215" s="122">
        <v>1000</v>
      </c>
      <c r="E215" s="74"/>
      <c r="F215" s="74">
        <v>1000</v>
      </c>
      <c r="G215" s="166"/>
      <c r="H215" s="122">
        <v>1000</v>
      </c>
      <c r="I215" s="74"/>
      <c r="J215" s="74">
        <v>1000</v>
      </c>
      <c r="K215" s="166"/>
    </row>
    <row r="216" spans="1:11" s="10" customFormat="1" x14ac:dyDescent="0.25">
      <c r="A216" s="66"/>
      <c r="B216" s="49"/>
      <c r="C216" s="91" t="s">
        <v>130</v>
      </c>
      <c r="D216" s="122">
        <v>2000</v>
      </c>
      <c r="E216" s="74"/>
      <c r="F216" s="74">
        <v>2000</v>
      </c>
      <c r="G216" s="166"/>
      <c r="H216" s="122">
        <v>500</v>
      </c>
      <c r="I216" s="74"/>
      <c r="J216" s="74">
        <v>500</v>
      </c>
      <c r="K216" s="166"/>
    </row>
    <row r="217" spans="1:11" s="10" customFormat="1" x14ac:dyDescent="0.25">
      <c r="A217" s="66"/>
      <c r="B217" s="49"/>
      <c r="C217" s="91" t="s">
        <v>131</v>
      </c>
      <c r="D217" s="122">
        <v>1000</v>
      </c>
      <c r="E217" s="74"/>
      <c r="F217" s="74">
        <v>1000</v>
      </c>
      <c r="G217" s="166"/>
      <c r="H217" s="122">
        <v>1000</v>
      </c>
      <c r="I217" s="74"/>
      <c r="J217" s="74">
        <v>1000</v>
      </c>
      <c r="K217" s="166"/>
    </row>
    <row r="218" spans="1:11" s="10" customFormat="1" x14ac:dyDescent="0.25">
      <c r="A218" s="66"/>
      <c r="B218" s="49"/>
      <c r="C218" s="91" t="s">
        <v>132</v>
      </c>
      <c r="D218" s="122">
        <v>100</v>
      </c>
      <c r="E218" s="74"/>
      <c r="F218" s="74">
        <v>100</v>
      </c>
      <c r="G218" s="166"/>
      <c r="H218" s="122">
        <v>100</v>
      </c>
      <c r="I218" s="74"/>
      <c r="J218" s="74">
        <v>100</v>
      </c>
      <c r="K218" s="166"/>
    </row>
    <row r="219" spans="1:11" s="10" customFormat="1" x14ac:dyDescent="0.25">
      <c r="A219" s="66"/>
      <c r="B219" s="49"/>
      <c r="C219" s="152" t="s">
        <v>2</v>
      </c>
      <c r="D219" s="133">
        <v>500</v>
      </c>
      <c r="E219" s="74">
        <v>500</v>
      </c>
      <c r="F219" s="74"/>
      <c r="G219" s="167"/>
      <c r="H219" s="133">
        <v>500</v>
      </c>
      <c r="I219" s="74">
        <v>500</v>
      </c>
      <c r="J219" s="74"/>
      <c r="K219" s="167"/>
    </row>
    <row r="220" spans="1:11" s="10" customFormat="1" x14ac:dyDescent="0.25">
      <c r="A220" s="66"/>
      <c r="B220" s="49"/>
      <c r="C220" s="152" t="s">
        <v>315</v>
      </c>
      <c r="D220" s="133">
        <v>1000</v>
      </c>
      <c r="E220" s="74"/>
      <c r="F220" s="74">
        <v>1000</v>
      </c>
      <c r="G220" s="167"/>
      <c r="H220" s="133">
        <v>1000</v>
      </c>
      <c r="I220" s="74"/>
      <c r="J220" s="74">
        <v>1000</v>
      </c>
      <c r="K220" s="167"/>
    </row>
    <row r="221" spans="1:11" s="10" customFormat="1" ht="30" x14ac:dyDescent="0.25">
      <c r="A221" s="66"/>
      <c r="B221" s="49"/>
      <c r="C221" s="152" t="s">
        <v>370</v>
      </c>
      <c r="D221" s="133">
        <v>67000</v>
      </c>
      <c r="E221" s="74">
        <v>67000</v>
      </c>
      <c r="F221" s="74"/>
      <c r="G221" s="167"/>
      <c r="H221" s="133">
        <v>67000</v>
      </c>
      <c r="I221" s="74">
        <v>67000</v>
      </c>
      <c r="J221" s="74"/>
      <c r="K221" s="167"/>
    </row>
    <row r="222" spans="1:11" s="10" customFormat="1" x14ac:dyDescent="0.25">
      <c r="A222" s="66"/>
      <c r="B222" s="49"/>
      <c r="C222" s="152" t="s">
        <v>371</v>
      </c>
      <c r="D222" s="133">
        <v>2362</v>
      </c>
      <c r="E222" s="74"/>
      <c r="F222" s="74">
        <v>2362</v>
      </c>
      <c r="G222" s="167"/>
      <c r="H222" s="133">
        <v>2362</v>
      </c>
      <c r="I222" s="74"/>
      <c r="J222" s="74">
        <v>2362</v>
      </c>
      <c r="K222" s="167"/>
    </row>
    <row r="223" spans="1:11" s="10" customFormat="1" x14ac:dyDescent="0.25">
      <c r="A223" s="66"/>
      <c r="B223" s="49"/>
      <c r="C223" s="152" t="s">
        <v>372</v>
      </c>
      <c r="D223" s="133">
        <v>1600</v>
      </c>
      <c r="E223" s="74">
        <v>1600</v>
      </c>
      <c r="F223" s="74"/>
      <c r="G223" s="167"/>
      <c r="H223" s="133">
        <v>3000</v>
      </c>
      <c r="I223" s="74">
        <v>3000</v>
      </c>
      <c r="J223" s="74"/>
      <c r="K223" s="167"/>
    </row>
    <row r="224" spans="1:11" s="10" customFormat="1" x14ac:dyDescent="0.25">
      <c r="A224" s="66"/>
      <c r="B224" s="49"/>
      <c r="C224" s="152" t="s">
        <v>995</v>
      </c>
      <c r="D224" s="133"/>
      <c r="E224" s="74"/>
      <c r="F224" s="74"/>
      <c r="G224" s="167"/>
      <c r="H224" s="133">
        <v>2500</v>
      </c>
      <c r="I224" s="74">
        <v>2500</v>
      </c>
      <c r="J224" s="74"/>
      <c r="K224" s="167"/>
    </row>
    <row r="225" spans="1:11" s="10" customFormat="1" x14ac:dyDescent="0.25">
      <c r="A225" s="66"/>
      <c r="B225" s="49"/>
      <c r="C225" s="152" t="s">
        <v>996</v>
      </c>
      <c r="D225" s="133"/>
      <c r="E225" s="74"/>
      <c r="F225" s="74"/>
      <c r="G225" s="167"/>
      <c r="H225" s="133">
        <v>1200</v>
      </c>
      <c r="I225" s="74">
        <v>1200</v>
      </c>
      <c r="J225" s="74"/>
      <c r="K225" s="167"/>
    </row>
    <row r="226" spans="1:11" s="10" customFormat="1" x14ac:dyDescent="0.25">
      <c r="A226" s="66"/>
      <c r="B226" s="49"/>
      <c r="C226" s="152" t="s">
        <v>997</v>
      </c>
      <c r="D226" s="133"/>
      <c r="E226" s="74"/>
      <c r="F226" s="74"/>
      <c r="G226" s="167"/>
      <c r="H226" s="133">
        <v>5000</v>
      </c>
      <c r="I226" s="74">
        <v>5000</v>
      </c>
      <c r="J226" s="74"/>
      <c r="K226" s="167"/>
    </row>
    <row r="227" spans="1:11" s="10" customFormat="1" x14ac:dyDescent="0.25">
      <c r="A227" s="66"/>
      <c r="B227" s="49"/>
      <c r="C227" s="97" t="s">
        <v>49</v>
      </c>
      <c r="D227" s="134">
        <f>SUM(D205:D223)</f>
        <v>166621</v>
      </c>
      <c r="E227" s="46">
        <f>SUM(E205:E223)</f>
        <v>152159</v>
      </c>
      <c r="F227" s="46">
        <f>SUM(F205:F223)</f>
        <v>14462</v>
      </c>
      <c r="G227" s="160">
        <f>SUM(G205:G223)</f>
        <v>0</v>
      </c>
      <c r="H227" s="134">
        <f>SUM(H205:H226)</f>
        <v>175221</v>
      </c>
      <c r="I227" s="46">
        <f>SUM(I205:I226)</f>
        <v>162259</v>
      </c>
      <c r="J227" s="46">
        <f>SUM(J205:J223)</f>
        <v>12962</v>
      </c>
      <c r="K227" s="160">
        <f>SUM(K205:K223)</f>
        <v>0</v>
      </c>
    </row>
    <row r="228" spans="1:11" s="10" customFormat="1" x14ac:dyDescent="0.25">
      <c r="A228" s="66"/>
      <c r="B228" s="49"/>
      <c r="C228" s="126"/>
      <c r="D228" s="118"/>
      <c r="E228" s="123"/>
      <c r="F228" s="123"/>
      <c r="G228" s="168"/>
      <c r="H228" s="118"/>
      <c r="I228" s="123"/>
      <c r="J228" s="123"/>
      <c r="K228" s="168"/>
    </row>
    <row r="229" spans="1:11" s="10" customFormat="1" x14ac:dyDescent="0.25">
      <c r="A229" s="30"/>
      <c r="B229" s="70"/>
      <c r="C229" s="95" t="s">
        <v>111</v>
      </c>
      <c r="D229" s="118"/>
      <c r="E229" s="123"/>
      <c r="F229" s="123"/>
      <c r="G229" s="168"/>
      <c r="H229" s="118"/>
      <c r="I229" s="123"/>
      <c r="J229" s="123"/>
      <c r="K229" s="168"/>
    </row>
    <row r="230" spans="1:11" s="10" customFormat="1" ht="30" x14ac:dyDescent="0.25">
      <c r="A230" s="30"/>
      <c r="B230" s="70"/>
      <c r="C230" s="91" t="s">
        <v>146</v>
      </c>
      <c r="D230" s="122">
        <v>1000</v>
      </c>
      <c r="E230" s="74">
        <v>1000</v>
      </c>
      <c r="F230" s="74"/>
      <c r="G230" s="166"/>
      <c r="H230" s="122">
        <v>0</v>
      </c>
      <c r="I230" s="74">
        <v>0</v>
      </c>
      <c r="J230" s="74"/>
      <c r="K230" s="166"/>
    </row>
    <row r="231" spans="1:11" s="10" customFormat="1" ht="30" x14ac:dyDescent="0.25">
      <c r="A231" s="30"/>
      <c r="B231" s="70"/>
      <c r="C231" s="91" t="s">
        <v>162</v>
      </c>
      <c r="D231" s="122">
        <v>21453</v>
      </c>
      <c r="E231" s="74">
        <v>21453</v>
      </c>
      <c r="F231" s="74"/>
      <c r="G231" s="166"/>
      <c r="H231" s="122">
        <v>15203</v>
      </c>
      <c r="I231" s="74">
        <v>15203</v>
      </c>
      <c r="J231" s="74"/>
      <c r="K231" s="166"/>
    </row>
    <row r="232" spans="1:11" s="10" customFormat="1" x14ac:dyDescent="0.25">
      <c r="A232" s="30"/>
      <c r="B232" s="70"/>
      <c r="C232" s="91" t="s">
        <v>316</v>
      </c>
      <c r="D232" s="133">
        <v>1715</v>
      </c>
      <c r="E232" s="74">
        <v>1715</v>
      </c>
      <c r="F232" s="74"/>
      <c r="G232" s="167"/>
      <c r="H232" s="133">
        <v>1715</v>
      </c>
      <c r="I232" s="74">
        <v>1715</v>
      </c>
      <c r="J232" s="74"/>
      <c r="K232" s="167"/>
    </row>
    <row r="233" spans="1:11" s="10" customFormat="1" x14ac:dyDescent="0.25">
      <c r="A233" s="30"/>
      <c r="B233" s="49"/>
      <c r="C233" s="97" t="s">
        <v>49</v>
      </c>
      <c r="D233" s="137">
        <f t="shared" ref="D233:K233" si="23">SUM(D230:D232)</f>
        <v>24168</v>
      </c>
      <c r="E233" s="51">
        <f t="shared" si="23"/>
        <v>24168</v>
      </c>
      <c r="F233" s="51">
        <f t="shared" si="23"/>
        <v>0</v>
      </c>
      <c r="G233" s="175">
        <f t="shared" si="23"/>
        <v>0</v>
      </c>
      <c r="H233" s="137">
        <f t="shared" si="23"/>
        <v>16918</v>
      </c>
      <c r="I233" s="51">
        <f t="shared" si="23"/>
        <v>16918</v>
      </c>
      <c r="J233" s="51">
        <f t="shared" si="23"/>
        <v>0</v>
      </c>
      <c r="K233" s="175">
        <f t="shared" si="23"/>
        <v>0</v>
      </c>
    </row>
    <row r="234" spans="1:11" s="10" customFormat="1" x14ac:dyDescent="0.25">
      <c r="A234" s="30"/>
      <c r="B234" s="49"/>
      <c r="C234" s="126"/>
      <c r="D234" s="118"/>
      <c r="E234" s="123"/>
      <c r="F234" s="123"/>
      <c r="G234" s="168"/>
      <c r="H234" s="118"/>
      <c r="I234" s="123"/>
      <c r="J234" s="123"/>
      <c r="K234" s="168"/>
    </row>
    <row r="235" spans="1:11" s="10" customFormat="1" x14ac:dyDescent="0.25">
      <c r="A235" s="30"/>
      <c r="B235" s="70"/>
      <c r="C235" s="95" t="s">
        <v>95</v>
      </c>
      <c r="D235" s="41">
        <v>5000</v>
      </c>
      <c r="E235" s="36">
        <v>5000</v>
      </c>
      <c r="F235" s="36"/>
      <c r="G235" s="156"/>
      <c r="H235" s="41">
        <v>0</v>
      </c>
      <c r="I235" s="36">
        <v>0</v>
      </c>
      <c r="J235" s="36"/>
      <c r="K235" s="156"/>
    </row>
    <row r="236" spans="1:11" s="10" customFormat="1" x14ac:dyDescent="0.25">
      <c r="A236" s="30"/>
      <c r="B236" s="70"/>
      <c r="C236" s="95"/>
      <c r="D236" s="41"/>
      <c r="E236" s="36"/>
      <c r="F236" s="36"/>
      <c r="G236" s="156"/>
      <c r="H236" s="41"/>
      <c r="I236" s="36"/>
      <c r="J236" s="36"/>
      <c r="K236" s="156"/>
    </row>
    <row r="237" spans="1:11" s="10" customFormat="1" ht="30" x14ac:dyDescent="0.25">
      <c r="A237" s="30"/>
      <c r="B237" s="70"/>
      <c r="C237" s="91" t="s">
        <v>154</v>
      </c>
      <c r="D237" s="41"/>
      <c r="E237" s="36"/>
      <c r="F237" s="36"/>
      <c r="G237" s="156"/>
      <c r="H237" s="41"/>
      <c r="I237" s="36"/>
      <c r="J237" s="36"/>
      <c r="K237" s="156"/>
    </row>
    <row r="238" spans="1:11" s="10" customFormat="1" x14ac:dyDescent="0.25">
      <c r="A238" s="30"/>
      <c r="B238" s="70"/>
      <c r="C238" s="152" t="s">
        <v>317</v>
      </c>
      <c r="D238" s="133">
        <v>1400</v>
      </c>
      <c r="E238" s="74">
        <v>1400</v>
      </c>
      <c r="F238" s="74"/>
      <c r="G238" s="167"/>
      <c r="H238" s="133">
        <v>1400</v>
      </c>
      <c r="I238" s="74">
        <v>1400</v>
      </c>
      <c r="J238" s="74"/>
      <c r="K238" s="167"/>
    </row>
    <row r="239" spans="1:11" s="10" customFormat="1" x14ac:dyDescent="0.25">
      <c r="A239" s="30"/>
      <c r="B239" s="49"/>
      <c r="C239" s="97" t="s">
        <v>49</v>
      </c>
      <c r="D239" s="137">
        <f t="shared" ref="D239:K239" si="24">SUM(D238:D238)</f>
        <v>1400</v>
      </c>
      <c r="E239" s="51">
        <f t="shared" si="24"/>
        <v>1400</v>
      </c>
      <c r="F239" s="51">
        <f t="shared" si="24"/>
        <v>0</v>
      </c>
      <c r="G239" s="175">
        <f t="shared" si="24"/>
        <v>0</v>
      </c>
      <c r="H239" s="137">
        <f t="shared" si="24"/>
        <v>1400</v>
      </c>
      <c r="I239" s="51">
        <f t="shared" si="24"/>
        <v>1400</v>
      </c>
      <c r="J239" s="51">
        <f t="shared" si="24"/>
        <v>0</v>
      </c>
      <c r="K239" s="175">
        <f t="shared" si="24"/>
        <v>0</v>
      </c>
    </row>
    <row r="240" spans="1:11" s="10" customFormat="1" x14ac:dyDescent="0.25">
      <c r="A240" s="30"/>
      <c r="B240" s="49"/>
      <c r="C240" s="95"/>
      <c r="D240" s="118"/>
      <c r="E240" s="123"/>
      <c r="F240" s="123"/>
      <c r="G240" s="168"/>
      <c r="H240" s="118"/>
      <c r="I240" s="123"/>
      <c r="J240" s="123"/>
      <c r="K240" s="168"/>
    </row>
    <row r="241" spans="1:11" s="10" customFormat="1" x14ac:dyDescent="0.25">
      <c r="A241" s="30"/>
      <c r="B241" s="49"/>
      <c r="C241" s="126" t="s">
        <v>90</v>
      </c>
      <c r="D241" s="137">
        <f t="shared" ref="D241:K241" si="25">D202+D227+D233+D235+D239</f>
        <v>515622</v>
      </c>
      <c r="E241" s="51">
        <f t="shared" si="25"/>
        <v>338158</v>
      </c>
      <c r="F241" s="51">
        <f t="shared" si="25"/>
        <v>177464</v>
      </c>
      <c r="G241" s="175">
        <f t="shared" si="25"/>
        <v>0</v>
      </c>
      <c r="H241" s="137">
        <f t="shared" si="25"/>
        <v>526086</v>
      </c>
      <c r="I241" s="51">
        <f t="shared" si="25"/>
        <v>350122</v>
      </c>
      <c r="J241" s="51">
        <f t="shared" si="25"/>
        <v>175964</v>
      </c>
      <c r="K241" s="175">
        <f t="shared" si="25"/>
        <v>0</v>
      </c>
    </row>
    <row r="242" spans="1:11" s="10" customFormat="1" x14ac:dyDescent="0.25">
      <c r="A242" s="66"/>
      <c r="B242" s="49"/>
      <c r="C242" s="126"/>
      <c r="D242" s="118"/>
      <c r="E242" s="123"/>
      <c r="F242" s="123"/>
      <c r="G242" s="168"/>
      <c r="H242" s="118"/>
      <c r="I242" s="123"/>
      <c r="J242" s="123"/>
      <c r="K242" s="168"/>
    </row>
    <row r="243" spans="1:11" s="10" customFormat="1" x14ac:dyDescent="0.25">
      <c r="A243" s="66"/>
      <c r="B243" s="49" t="s">
        <v>44</v>
      </c>
      <c r="C243" s="95" t="s">
        <v>84</v>
      </c>
      <c r="D243" s="118"/>
      <c r="E243" s="123"/>
      <c r="F243" s="123"/>
      <c r="G243" s="168"/>
      <c r="H243" s="118"/>
      <c r="I243" s="123"/>
      <c r="J243" s="123"/>
      <c r="K243" s="168"/>
    </row>
    <row r="244" spans="1:11" s="10" customFormat="1" x14ac:dyDescent="0.25">
      <c r="A244" s="66"/>
      <c r="B244" s="49"/>
      <c r="C244" s="95" t="s">
        <v>147</v>
      </c>
      <c r="D244" s="41">
        <v>7100</v>
      </c>
      <c r="E244" s="36">
        <v>7100</v>
      </c>
      <c r="F244" s="36"/>
      <c r="G244" s="156"/>
      <c r="H244" s="41">
        <v>7100</v>
      </c>
      <c r="I244" s="36">
        <v>7100</v>
      </c>
      <c r="J244" s="36"/>
      <c r="K244" s="156"/>
    </row>
    <row r="245" spans="1:11" s="10" customFormat="1" x14ac:dyDescent="0.25">
      <c r="A245" s="66"/>
      <c r="B245" s="49"/>
      <c r="C245" s="95" t="s">
        <v>373</v>
      </c>
      <c r="D245" s="132">
        <v>2500</v>
      </c>
      <c r="E245" s="36">
        <v>2500</v>
      </c>
      <c r="F245" s="36"/>
      <c r="G245" s="156"/>
      <c r="H245" s="132">
        <v>2500</v>
      </c>
      <c r="I245" s="36">
        <v>2500</v>
      </c>
      <c r="J245" s="36"/>
      <c r="K245" s="156"/>
    </row>
    <row r="246" spans="1:11" s="10" customFormat="1" x14ac:dyDescent="0.25">
      <c r="A246" s="66"/>
      <c r="B246" s="49"/>
      <c r="C246" s="91" t="s">
        <v>434</v>
      </c>
      <c r="D246" s="132">
        <v>3000</v>
      </c>
      <c r="E246" s="36">
        <v>3000</v>
      </c>
      <c r="F246" s="36"/>
      <c r="G246" s="156"/>
      <c r="H246" s="132">
        <v>3000</v>
      </c>
      <c r="I246" s="36">
        <v>3000</v>
      </c>
      <c r="J246" s="36"/>
      <c r="K246" s="156"/>
    </row>
    <row r="247" spans="1:11" s="10" customFormat="1" x14ac:dyDescent="0.25">
      <c r="A247" s="66"/>
      <c r="B247" s="49"/>
      <c r="C247" s="91" t="s">
        <v>318</v>
      </c>
      <c r="D247" s="132">
        <v>5000</v>
      </c>
      <c r="E247" s="36">
        <v>5000</v>
      </c>
      <c r="F247" s="36"/>
      <c r="G247" s="156"/>
      <c r="H247" s="132">
        <v>5000</v>
      </c>
      <c r="I247" s="36">
        <v>5000</v>
      </c>
      <c r="J247" s="36"/>
      <c r="K247" s="156"/>
    </row>
    <row r="248" spans="1:11" s="10" customFormat="1" x14ac:dyDescent="0.25">
      <c r="A248" s="66"/>
      <c r="B248" s="49"/>
      <c r="C248" s="91" t="s">
        <v>319</v>
      </c>
      <c r="D248" s="132">
        <v>1500</v>
      </c>
      <c r="E248" s="36">
        <v>1500</v>
      </c>
      <c r="F248" s="36"/>
      <c r="G248" s="156"/>
      <c r="H248" s="132">
        <v>1500</v>
      </c>
      <c r="I248" s="36">
        <v>1500</v>
      </c>
      <c r="J248" s="36"/>
      <c r="K248" s="156"/>
    </row>
    <row r="249" spans="1:11" s="10" customFormat="1" x14ac:dyDescent="0.25">
      <c r="A249" s="66"/>
      <c r="B249" s="49"/>
      <c r="C249" s="91" t="s">
        <v>320</v>
      </c>
      <c r="D249" s="132">
        <v>2000</v>
      </c>
      <c r="E249" s="36">
        <v>2000</v>
      </c>
      <c r="F249" s="36"/>
      <c r="G249" s="156"/>
      <c r="H249" s="132">
        <v>2000</v>
      </c>
      <c r="I249" s="36">
        <v>2000</v>
      </c>
      <c r="J249" s="36"/>
      <c r="K249" s="156"/>
    </row>
    <row r="250" spans="1:11" s="10" customFormat="1" x14ac:dyDescent="0.25">
      <c r="A250" s="66"/>
      <c r="B250" s="49"/>
      <c r="C250" s="91" t="s">
        <v>321</v>
      </c>
      <c r="D250" s="132">
        <v>2722</v>
      </c>
      <c r="E250" s="36">
        <v>2722</v>
      </c>
      <c r="F250" s="36"/>
      <c r="G250" s="156"/>
      <c r="H250" s="132">
        <v>2722</v>
      </c>
      <c r="I250" s="36">
        <v>2722</v>
      </c>
      <c r="J250" s="36"/>
      <c r="K250" s="156"/>
    </row>
    <row r="251" spans="1:11" s="10" customFormat="1" x14ac:dyDescent="0.25">
      <c r="A251" s="66"/>
      <c r="B251" s="49"/>
      <c r="C251" s="91" t="s">
        <v>322</v>
      </c>
      <c r="D251" s="132">
        <v>6000</v>
      </c>
      <c r="E251" s="36">
        <v>6000</v>
      </c>
      <c r="F251" s="36"/>
      <c r="G251" s="156"/>
      <c r="H251" s="132">
        <v>8854</v>
      </c>
      <c r="I251" s="36">
        <v>8854</v>
      </c>
      <c r="J251" s="36"/>
      <c r="K251" s="156"/>
    </row>
    <row r="252" spans="1:11" s="10" customFormat="1" x14ac:dyDescent="0.25">
      <c r="A252" s="66"/>
      <c r="B252" s="49"/>
      <c r="C252" s="91" t="s">
        <v>323</v>
      </c>
      <c r="D252" s="133">
        <v>1500</v>
      </c>
      <c r="E252" s="74">
        <v>1500</v>
      </c>
      <c r="F252" s="74"/>
      <c r="G252" s="167"/>
      <c r="H252" s="133">
        <v>1500</v>
      </c>
      <c r="I252" s="74">
        <v>1500</v>
      </c>
      <c r="J252" s="74"/>
      <c r="K252" s="167"/>
    </row>
    <row r="253" spans="1:11" s="10" customFormat="1" x14ac:dyDescent="0.25">
      <c r="A253" s="66"/>
      <c r="B253" s="49"/>
      <c r="C253" s="91" t="s">
        <v>324</v>
      </c>
      <c r="D253" s="133">
        <v>2464</v>
      </c>
      <c r="E253" s="74">
        <v>2464</v>
      </c>
      <c r="F253" s="74"/>
      <c r="G253" s="167"/>
      <c r="H253" s="133">
        <v>2464</v>
      </c>
      <c r="I253" s="74">
        <v>2464</v>
      </c>
      <c r="J253" s="74"/>
      <c r="K253" s="167"/>
    </row>
    <row r="254" spans="1:11" s="10" customFormat="1" x14ac:dyDescent="0.25">
      <c r="A254" s="66"/>
      <c r="B254" s="49"/>
      <c r="C254" s="91" t="s">
        <v>325</v>
      </c>
      <c r="D254" s="133">
        <v>1000</v>
      </c>
      <c r="E254" s="74">
        <v>1000</v>
      </c>
      <c r="F254" s="74"/>
      <c r="G254" s="167"/>
      <c r="H254" s="133">
        <v>1000</v>
      </c>
      <c r="I254" s="74">
        <v>1000</v>
      </c>
      <c r="J254" s="74"/>
      <c r="K254" s="167"/>
    </row>
    <row r="255" spans="1:11" s="10" customFormat="1" ht="30" x14ac:dyDescent="0.25">
      <c r="A255" s="66"/>
      <c r="B255" s="49"/>
      <c r="C255" s="91" t="s">
        <v>326</v>
      </c>
      <c r="D255" s="133">
        <v>3000</v>
      </c>
      <c r="E255" s="74">
        <v>3000</v>
      </c>
      <c r="F255" s="74"/>
      <c r="G255" s="167"/>
      <c r="H255" s="133">
        <v>3000</v>
      </c>
      <c r="I255" s="74">
        <v>3000</v>
      </c>
      <c r="J255" s="74"/>
      <c r="K255" s="167"/>
    </row>
    <row r="256" spans="1:11" s="10" customFormat="1" x14ac:dyDescent="0.25">
      <c r="A256" s="66"/>
      <c r="B256" s="49"/>
      <c r="C256" s="91" t="s">
        <v>327</v>
      </c>
      <c r="D256" s="133">
        <v>2133</v>
      </c>
      <c r="E256" s="74">
        <v>2133</v>
      </c>
      <c r="F256" s="74"/>
      <c r="G256" s="167"/>
      <c r="H256" s="133">
        <v>2133</v>
      </c>
      <c r="I256" s="74">
        <v>2133</v>
      </c>
      <c r="J256" s="74"/>
      <c r="K256" s="167"/>
    </row>
    <row r="257" spans="1:11" s="10" customFormat="1" x14ac:dyDescent="0.25">
      <c r="A257" s="66"/>
      <c r="B257" s="49"/>
      <c r="C257" s="91" t="s">
        <v>328</v>
      </c>
      <c r="D257" s="133">
        <v>1361</v>
      </c>
      <c r="E257" s="74">
        <v>1361</v>
      </c>
      <c r="F257" s="74"/>
      <c r="G257" s="167"/>
      <c r="H257" s="133">
        <v>1361</v>
      </c>
      <c r="I257" s="74">
        <v>1361</v>
      </c>
      <c r="J257" s="74"/>
      <c r="K257" s="167"/>
    </row>
    <row r="258" spans="1:11" s="10" customFormat="1" x14ac:dyDescent="0.25">
      <c r="A258" s="66"/>
      <c r="B258" s="49"/>
      <c r="C258" s="91" t="s">
        <v>329</v>
      </c>
      <c r="D258" s="133">
        <v>770</v>
      </c>
      <c r="E258" s="74">
        <v>770</v>
      </c>
      <c r="F258" s="74"/>
      <c r="G258" s="167"/>
      <c r="H258" s="133">
        <v>770</v>
      </c>
      <c r="I258" s="74">
        <v>770</v>
      </c>
      <c r="J258" s="74"/>
      <c r="K258" s="167"/>
    </row>
    <row r="259" spans="1:11" s="10" customFormat="1" x14ac:dyDescent="0.25">
      <c r="A259" s="66"/>
      <c r="B259" s="49"/>
      <c r="C259" s="91" t="s">
        <v>330</v>
      </c>
      <c r="D259" s="133">
        <v>500</v>
      </c>
      <c r="E259" s="74">
        <v>500</v>
      </c>
      <c r="F259" s="74"/>
      <c r="G259" s="167"/>
      <c r="H259" s="133">
        <v>500</v>
      </c>
      <c r="I259" s="74">
        <v>500</v>
      </c>
      <c r="J259" s="74"/>
      <c r="K259" s="167"/>
    </row>
    <row r="260" spans="1:11" s="10" customFormat="1" x14ac:dyDescent="0.25">
      <c r="A260" s="66"/>
      <c r="B260" s="49"/>
      <c r="C260" s="91" t="s">
        <v>331</v>
      </c>
      <c r="D260" s="133">
        <v>54825</v>
      </c>
      <c r="E260" s="74">
        <v>54825</v>
      </c>
      <c r="F260" s="74"/>
      <c r="G260" s="167"/>
      <c r="H260" s="133">
        <v>54825</v>
      </c>
      <c r="I260" s="74">
        <v>54825</v>
      </c>
      <c r="J260" s="74"/>
      <c r="K260" s="167"/>
    </row>
    <row r="261" spans="1:11" s="10" customFormat="1" x14ac:dyDescent="0.25">
      <c r="A261" s="66"/>
      <c r="B261" s="49"/>
      <c r="C261" s="91" t="s">
        <v>332</v>
      </c>
      <c r="D261" s="133">
        <v>28385</v>
      </c>
      <c r="E261" s="74">
        <v>28385</v>
      </c>
      <c r="F261" s="74"/>
      <c r="G261" s="167"/>
      <c r="H261" s="133">
        <v>28385</v>
      </c>
      <c r="I261" s="74">
        <v>28385</v>
      </c>
      <c r="J261" s="74"/>
      <c r="K261" s="167"/>
    </row>
    <row r="262" spans="1:11" s="10" customFormat="1" ht="30" x14ac:dyDescent="0.25">
      <c r="A262" s="66"/>
      <c r="B262" s="49"/>
      <c r="C262" s="91" t="s">
        <v>333</v>
      </c>
      <c r="D262" s="133">
        <v>800</v>
      </c>
      <c r="E262" s="74">
        <v>800</v>
      </c>
      <c r="F262" s="74"/>
      <c r="G262" s="167"/>
      <c r="H262" s="133">
        <v>800</v>
      </c>
      <c r="I262" s="74">
        <v>800</v>
      </c>
      <c r="J262" s="74"/>
      <c r="K262" s="167"/>
    </row>
    <row r="263" spans="1:11" s="10" customFormat="1" x14ac:dyDescent="0.25">
      <c r="A263" s="66"/>
      <c r="B263" s="49"/>
      <c r="C263" s="91" t="s">
        <v>334</v>
      </c>
      <c r="D263" s="133">
        <v>2702</v>
      </c>
      <c r="E263" s="74">
        <v>2702</v>
      </c>
      <c r="F263" s="74"/>
      <c r="G263" s="167"/>
      <c r="H263" s="133">
        <v>3515</v>
      </c>
      <c r="I263" s="74">
        <v>3515</v>
      </c>
      <c r="J263" s="74"/>
      <c r="K263" s="167"/>
    </row>
    <row r="264" spans="1:11" s="10" customFormat="1" ht="30" x14ac:dyDescent="0.25">
      <c r="A264" s="66"/>
      <c r="B264" s="49"/>
      <c r="C264" s="91" t="s">
        <v>335</v>
      </c>
      <c r="D264" s="133">
        <v>250</v>
      </c>
      <c r="E264" s="74">
        <v>250</v>
      </c>
      <c r="F264" s="74"/>
      <c r="G264" s="167"/>
      <c r="H264" s="133">
        <v>250</v>
      </c>
      <c r="I264" s="74">
        <v>250</v>
      </c>
      <c r="J264" s="74"/>
      <c r="K264" s="167"/>
    </row>
    <row r="265" spans="1:11" s="10" customFormat="1" x14ac:dyDescent="0.25">
      <c r="A265" s="66"/>
      <c r="B265" s="49"/>
      <c r="C265" s="91" t="s">
        <v>336</v>
      </c>
      <c r="D265" s="133">
        <v>1400</v>
      </c>
      <c r="E265" s="74">
        <v>1400</v>
      </c>
      <c r="F265" s="74"/>
      <c r="G265" s="167"/>
      <c r="H265" s="133">
        <v>1400</v>
      </c>
      <c r="I265" s="74">
        <v>1400</v>
      </c>
      <c r="J265" s="74"/>
      <c r="K265" s="167"/>
    </row>
    <row r="266" spans="1:11" s="10" customFormat="1" ht="30" x14ac:dyDescent="0.25">
      <c r="A266" s="66"/>
      <c r="B266" s="49"/>
      <c r="C266" s="91" t="s">
        <v>337</v>
      </c>
      <c r="D266" s="133">
        <v>2412</v>
      </c>
      <c r="E266" s="74">
        <v>2412</v>
      </c>
      <c r="F266" s="74"/>
      <c r="G266" s="167"/>
      <c r="H266" s="133">
        <v>2412</v>
      </c>
      <c r="I266" s="74">
        <v>2412</v>
      </c>
      <c r="J266" s="74"/>
      <c r="K266" s="167"/>
    </row>
    <row r="267" spans="1:11" s="10" customFormat="1" x14ac:dyDescent="0.25">
      <c r="A267" s="66"/>
      <c r="B267" s="49"/>
      <c r="C267" s="91" t="s">
        <v>338</v>
      </c>
      <c r="D267" s="133">
        <v>1000</v>
      </c>
      <c r="E267" s="74">
        <v>1000</v>
      </c>
      <c r="F267" s="74"/>
      <c r="G267" s="167"/>
      <c r="H267" s="133">
        <v>1000</v>
      </c>
      <c r="I267" s="74">
        <v>1000</v>
      </c>
      <c r="J267" s="74"/>
      <c r="K267" s="167"/>
    </row>
    <row r="268" spans="1:11" s="10" customFormat="1" x14ac:dyDescent="0.25">
      <c r="A268" s="66"/>
      <c r="B268" s="49"/>
      <c r="C268" s="91" t="s">
        <v>339</v>
      </c>
      <c r="D268" s="133">
        <v>1500</v>
      </c>
      <c r="E268" s="74">
        <v>1500</v>
      </c>
      <c r="F268" s="74"/>
      <c r="G268" s="167"/>
      <c r="H268" s="133">
        <v>1500</v>
      </c>
      <c r="I268" s="74">
        <v>1500</v>
      </c>
      <c r="J268" s="74"/>
      <c r="K268" s="167"/>
    </row>
    <row r="269" spans="1:11" s="10" customFormat="1" x14ac:dyDescent="0.25">
      <c r="A269" s="66"/>
      <c r="B269" s="49"/>
      <c r="C269" s="91" t="s">
        <v>340</v>
      </c>
      <c r="D269" s="133">
        <v>1000</v>
      </c>
      <c r="E269" s="74">
        <v>1000</v>
      </c>
      <c r="F269" s="74"/>
      <c r="G269" s="167"/>
      <c r="H269" s="133">
        <v>1000</v>
      </c>
      <c r="I269" s="74">
        <v>1000</v>
      </c>
      <c r="J269" s="74"/>
      <c r="K269" s="167"/>
    </row>
    <row r="270" spans="1:11" s="10" customFormat="1" x14ac:dyDescent="0.25">
      <c r="A270" s="66"/>
      <c r="B270" s="49"/>
      <c r="C270" s="91" t="s">
        <v>341</v>
      </c>
      <c r="D270" s="133">
        <v>5000</v>
      </c>
      <c r="E270" s="74">
        <v>5000</v>
      </c>
      <c r="F270" s="74"/>
      <c r="G270" s="167"/>
      <c r="H270" s="133">
        <v>5000</v>
      </c>
      <c r="I270" s="74">
        <v>5000</v>
      </c>
      <c r="J270" s="74"/>
      <c r="K270" s="167"/>
    </row>
    <row r="271" spans="1:11" s="10" customFormat="1" ht="30" x14ac:dyDescent="0.25">
      <c r="A271" s="66"/>
      <c r="B271" s="49"/>
      <c r="C271" s="91" t="s">
        <v>342</v>
      </c>
      <c r="D271" s="133">
        <v>412</v>
      </c>
      <c r="E271" s="74">
        <v>412</v>
      </c>
      <c r="F271" s="74"/>
      <c r="G271" s="167"/>
      <c r="H271" s="133">
        <v>412</v>
      </c>
      <c r="I271" s="74">
        <v>412</v>
      </c>
      <c r="J271" s="74"/>
      <c r="K271" s="167"/>
    </row>
    <row r="272" spans="1:11" s="10" customFormat="1" x14ac:dyDescent="0.25">
      <c r="A272" s="66"/>
      <c r="B272" s="49"/>
      <c r="C272" s="91" t="s">
        <v>343</v>
      </c>
      <c r="D272" s="133">
        <v>457</v>
      </c>
      <c r="E272" s="74">
        <v>457</v>
      </c>
      <c r="F272" s="74"/>
      <c r="G272" s="167"/>
      <c r="H272" s="133">
        <v>457</v>
      </c>
      <c r="I272" s="74">
        <v>457</v>
      </c>
      <c r="J272" s="74"/>
      <c r="K272" s="167"/>
    </row>
    <row r="273" spans="1:11" s="10" customFormat="1" ht="30" x14ac:dyDescent="0.25">
      <c r="A273" s="66"/>
      <c r="B273" s="49"/>
      <c r="C273" s="91" t="s">
        <v>344</v>
      </c>
      <c r="D273" s="133">
        <v>570</v>
      </c>
      <c r="E273" s="74">
        <v>570</v>
      </c>
      <c r="F273" s="74"/>
      <c r="G273" s="167"/>
      <c r="H273" s="133">
        <v>570</v>
      </c>
      <c r="I273" s="74">
        <v>570</v>
      </c>
      <c r="J273" s="74"/>
      <c r="K273" s="167"/>
    </row>
    <row r="274" spans="1:11" s="10" customFormat="1" x14ac:dyDescent="0.25">
      <c r="A274" s="66"/>
      <c r="B274" s="49"/>
      <c r="C274" s="91" t="s">
        <v>943</v>
      </c>
      <c r="D274" s="133">
        <v>1500</v>
      </c>
      <c r="E274" s="74">
        <v>1500</v>
      </c>
      <c r="F274" s="74"/>
      <c r="G274" s="167"/>
      <c r="H274" s="133">
        <v>1500</v>
      </c>
      <c r="I274" s="74">
        <v>1500</v>
      </c>
      <c r="J274" s="74"/>
      <c r="K274" s="167"/>
    </row>
    <row r="275" spans="1:11" s="10" customFormat="1" x14ac:dyDescent="0.25">
      <c r="A275" s="66"/>
      <c r="B275" s="49"/>
      <c r="C275" s="91" t="s">
        <v>998</v>
      </c>
      <c r="D275" s="133"/>
      <c r="E275" s="74"/>
      <c r="F275" s="74"/>
      <c r="G275" s="167"/>
      <c r="H275" s="133">
        <v>500</v>
      </c>
      <c r="I275" s="74">
        <v>500</v>
      </c>
      <c r="J275" s="74"/>
      <c r="K275" s="167"/>
    </row>
    <row r="276" spans="1:11" s="10" customFormat="1" x14ac:dyDescent="0.25">
      <c r="A276" s="66"/>
      <c r="B276" s="49"/>
      <c r="C276" s="91" t="s">
        <v>999</v>
      </c>
      <c r="D276" s="133"/>
      <c r="E276" s="74"/>
      <c r="F276" s="74"/>
      <c r="G276" s="167"/>
      <c r="H276" s="133">
        <v>1370</v>
      </c>
      <c r="I276" s="74"/>
      <c r="J276" s="74">
        <v>1370</v>
      </c>
      <c r="K276" s="167"/>
    </row>
    <row r="277" spans="1:11" s="10" customFormat="1" x14ac:dyDescent="0.25">
      <c r="A277" s="66"/>
      <c r="B277" s="49"/>
      <c r="C277" s="91" t="s">
        <v>1000</v>
      </c>
      <c r="D277" s="133"/>
      <c r="E277" s="74"/>
      <c r="F277" s="74"/>
      <c r="G277" s="167"/>
      <c r="H277" s="133">
        <v>250000</v>
      </c>
      <c r="I277" s="74">
        <v>250000</v>
      </c>
      <c r="J277" s="74"/>
      <c r="K277" s="167"/>
    </row>
    <row r="278" spans="1:11" s="10" customFormat="1" x14ac:dyDescent="0.25">
      <c r="A278" s="66"/>
      <c r="B278" s="49"/>
      <c r="C278" s="126" t="s">
        <v>67</v>
      </c>
      <c r="D278" s="137">
        <f>SUM(D244:D274)</f>
        <v>144763</v>
      </c>
      <c r="E278" s="51">
        <f t="shared" ref="E278:G278" si="26">SUM(E244:E274)</f>
        <v>144763</v>
      </c>
      <c r="F278" s="51">
        <f t="shared" si="26"/>
        <v>0</v>
      </c>
      <c r="G278" s="175">
        <f t="shared" si="26"/>
        <v>0</v>
      </c>
      <c r="H278" s="137">
        <f>SUM(H244:H277)</f>
        <v>400300</v>
      </c>
      <c r="I278" s="51">
        <f>SUM(I244:I277)</f>
        <v>398930</v>
      </c>
      <c r="J278" s="51">
        <f>SUM(J244:J276)</f>
        <v>1370</v>
      </c>
      <c r="K278" s="175">
        <f>SUM(K244:K276)</f>
        <v>0</v>
      </c>
    </row>
    <row r="279" spans="1:11" s="10" customFormat="1" x14ac:dyDescent="0.25">
      <c r="A279" s="66"/>
      <c r="B279" s="49"/>
      <c r="C279" s="126"/>
      <c r="D279" s="118"/>
      <c r="E279" s="123"/>
      <c r="F279" s="123"/>
      <c r="G279" s="168"/>
      <c r="H279" s="118"/>
      <c r="I279" s="123"/>
      <c r="J279" s="123"/>
      <c r="K279" s="168"/>
    </row>
    <row r="280" spans="1:11" s="10" customFormat="1" x14ac:dyDescent="0.25">
      <c r="A280" s="66"/>
      <c r="B280" s="49" t="s">
        <v>46</v>
      </c>
      <c r="C280" s="95" t="s">
        <v>45</v>
      </c>
      <c r="D280" s="118"/>
      <c r="E280" s="123"/>
      <c r="F280" s="123"/>
      <c r="G280" s="168"/>
      <c r="H280" s="118"/>
      <c r="I280" s="123"/>
      <c r="J280" s="123"/>
      <c r="K280" s="168"/>
    </row>
    <row r="281" spans="1:11" s="10" customFormat="1" x14ac:dyDescent="0.25">
      <c r="A281" s="66"/>
      <c r="B281" s="49"/>
      <c r="C281" s="91" t="s">
        <v>345</v>
      </c>
      <c r="D281" s="133">
        <v>18607</v>
      </c>
      <c r="E281" s="74">
        <v>18607</v>
      </c>
      <c r="F281" s="74"/>
      <c r="G281" s="166"/>
      <c r="H281" s="133">
        <v>18607</v>
      </c>
      <c r="I281" s="74">
        <v>18607</v>
      </c>
      <c r="J281" s="74"/>
      <c r="K281" s="166"/>
    </row>
    <row r="282" spans="1:11" s="10" customFormat="1" x14ac:dyDescent="0.25">
      <c r="A282" s="66"/>
      <c r="B282" s="49"/>
      <c r="C282" s="91" t="s">
        <v>346</v>
      </c>
      <c r="D282" s="133">
        <v>2000</v>
      </c>
      <c r="E282" s="74">
        <v>2000</v>
      </c>
      <c r="F282" s="74"/>
      <c r="G282" s="166"/>
      <c r="H282" s="133">
        <v>2000</v>
      </c>
      <c r="I282" s="74">
        <v>2000</v>
      </c>
      <c r="J282" s="74"/>
      <c r="K282" s="166"/>
    </row>
    <row r="283" spans="1:11" s="10" customFormat="1" x14ac:dyDescent="0.25">
      <c r="A283" s="66"/>
      <c r="B283" s="49"/>
      <c r="C283" s="91" t="s">
        <v>347</v>
      </c>
      <c r="D283" s="133">
        <v>6000</v>
      </c>
      <c r="E283" s="74">
        <v>6000</v>
      </c>
      <c r="F283" s="74"/>
      <c r="G283" s="166"/>
      <c r="H283" s="133">
        <v>6000</v>
      </c>
      <c r="I283" s="74">
        <v>6000</v>
      </c>
      <c r="J283" s="74"/>
      <c r="K283" s="166"/>
    </row>
    <row r="284" spans="1:11" s="10" customFormat="1" x14ac:dyDescent="0.25">
      <c r="A284" s="66"/>
      <c r="B284" s="49"/>
      <c r="C284" s="91" t="s">
        <v>348</v>
      </c>
      <c r="D284" s="133">
        <v>5000</v>
      </c>
      <c r="E284" s="74">
        <v>5000</v>
      </c>
      <c r="F284" s="74"/>
      <c r="G284" s="166"/>
      <c r="H284" s="133">
        <v>5000</v>
      </c>
      <c r="I284" s="74">
        <v>5000</v>
      </c>
      <c r="J284" s="74"/>
      <c r="K284" s="166"/>
    </row>
    <row r="285" spans="1:11" s="10" customFormat="1" ht="30" x14ac:dyDescent="0.25">
      <c r="A285" s="66"/>
      <c r="B285" s="49"/>
      <c r="C285" s="91" t="s">
        <v>349</v>
      </c>
      <c r="D285" s="132">
        <v>3500</v>
      </c>
      <c r="E285" s="36">
        <v>3500</v>
      </c>
      <c r="F285" s="36"/>
      <c r="G285" s="156"/>
      <c r="H285" s="132">
        <v>3500</v>
      </c>
      <c r="I285" s="36">
        <v>3500</v>
      </c>
      <c r="J285" s="36"/>
      <c r="K285" s="156"/>
    </row>
    <row r="286" spans="1:11" s="10" customFormat="1" x14ac:dyDescent="0.25">
      <c r="A286" s="66"/>
      <c r="B286" s="49"/>
      <c r="C286" s="91" t="s">
        <v>350</v>
      </c>
      <c r="D286" s="133">
        <v>61996</v>
      </c>
      <c r="E286" s="74">
        <v>61996</v>
      </c>
      <c r="F286" s="74"/>
      <c r="G286" s="166"/>
      <c r="H286" s="133">
        <v>64824</v>
      </c>
      <c r="I286" s="74">
        <v>64824</v>
      </c>
      <c r="J286" s="74"/>
      <c r="K286" s="166"/>
    </row>
    <row r="287" spans="1:11" s="10" customFormat="1" x14ac:dyDescent="0.25">
      <c r="A287" s="66"/>
      <c r="B287" s="49"/>
      <c r="C287" s="91" t="s">
        <v>351</v>
      </c>
      <c r="D287" s="132">
        <v>5000</v>
      </c>
      <c r="E287" s="36">
        <v>5000</v>
      </c>
      <c r="F287" s="36"/>
      <c r="G287" s="156"/>
      <c r="H287" s="132">
        <v>5000</v>
      </c>
      <c r="I287" s="36">
        <v>5000</v>
      </c>
      <c r="J287" s="36"/>
      <c r="K287" s="156"/>
    </row>
    <row r="288" spans="1:11" s="10" customFormat="1" x14ac:dyDescent="0.25">
      <c r="A288" s="66"/>
      <c r="B288" s="49"/>
      <c r="C288" s="91" t="s">
        <v>352</v>
      </c>
      <c r="D288" s="132">
        <v>30686</v>
      </c>
      <c r="E288" s="36">
        <v>30686</v>
      </c>
      <c r="F288" s="36"/>
      <c r="G288" s="156"/>
      <c r="H288" s="132">
        <v>30686</v>
      </c>
      <c r="I288" s="36">
        <v>30686</v>
      </c>
      <c r="J288" s="36"/>
      <c r="K288" s="156"/>
    </row>
    <row r="289" spans="1:11" s="10" customFormat="1" x14ac:dyDescent="0.25">
      <c r="A289" s="66"/>
      <c r="B289" s="49"/>
      <c r="C289" s="91" t="s">
        <v>353</v>
      </c>
      <c r="D289" s="132">
        <v>752</v>
      </c>
      <c r="E289" s="36">
        <v>752</v>
      </c>
      <c r="F289" s="36"/>
      <c r="G289" s="165"/>
      <c r="H289" s="132">
        <v>752</v>
      </c>
      <c r="I289" s="36">
        <v>752</v>
      </c>
      <c r="J289" s="36"/>
      <c r="K289" s="165"/>
    </row>
    <row r="290" spans="1:11" s="10" customFormat="1" x14ac:dyDescent="0.25">
      <c r="A290" s="66"/>
      <c r="B290" s="49"/>
      <c r="C290" s="91" t="s">
        <v>354</v>
      </c>
      <c r="D290" s="132">
        <v>1130</v>
      </c>
      <c r="E290" s="36">
        <v>1130</v>
      </c>
      <c r="F290" s="36"/>
      <c r="G290" s="165"/>
      <c r="H290" s="132">
        <v>1130</v>
      </c>
      <c r="I290" s="36">
        <v>1130</v>
      </c>
      <c r="J290" s="36"/>
      <c r="K290" s="165"/>
    </row>
    <row r="291" spans="1:11" s="10" customFormat="1" ht="15.75" customHeight="1" x14ac:dyDescent="0.25">
      <c r="A291" s="66"/>
      <c r="B291" s="49"/>
      <c r="C291" s="91" t="s">
        <v>355</v>
      </c>
      <c r="D291" s="132">
        <v>4802</v>
      </c>
      <c r="E291" s="36">
        <v>4802</v>
      </c>
      <c r="F291" s="36"/>
      <c r="G291" s="165"/>
      <c r="H291" s="132">
        <v>4802</v>
      </c>
      <c r="I291" s="36">
        <v>4802</v>
      </c>
      <c r="J291" s="36"/>
      <c r="K291" s="165"/>
    </row>
    <row r="292" spans="1:11" s="10" customFormat="1" x14ac:dyDescent="0.25">
      <c r="A292" s="66"/>
      <c r="B292" s="49"/>
      <c r="C292" s="91" t="s">
        <v>356</v>
      </c>
      <c r="D292" s="132">
        <v>3874</v>
      </c>
      <c r="E292" s="36">
        <v>3874</v>
      </c>
      <c r="F292" s="36"/>
      <c r="G292" s="165"/>
      <c r="H292" s="132">
        <v>4636</v>
      </c>
      <c r="I292" s="36">
        <v>4636</v>
      </c>
      <c r="J292" s="36"/>
      <c r="K292" s="165"/>
    </row>
    <row r="293" spans="1:11" s="10" customFormat="1" x14ac:dyDescent="0.25">
      <c r="A293" s="66"/>
      <c r="B293" s="49"/>
      <c r="C293" s="91" t="s">
        <v>357</v>
      </c>
      <c r="D293" s="132">
        <v>825</v>
      </c>
      <c r="E293" s="36">
        <v>825</v>
      </c>
      <c r="F293" s="36"/>
      <c r="G293" s="165"/>
      <c r="H293" s="132">
        <v>825</v>
      </c>
      <c r="I293" s="36">
        <v>825</v>
      </c>
      <c r="J293" s="36"/>
      <c r="K293" s="165"/>
    </row>
    <row r="294" spans="1:11" s="10" customFormat="1" x14ac:dyDescent="0.25">
      <c r="A294" s="66"/>
      <c r="B294" s="49"/>
      <c r="C294" s="91" t="s">
        <v>966</v>
      </c>
      <c r="D294" s="132">
        <v>3000</v>
      </c>
      <c r="E294" s="36">
        <v>3000</v>
      </c>
      <c r="F294" s="36"/>
      <c r="G294" s="165"/>
      <c r="H294" s="132">
        <v>3000</v>
      </c>
      <c r="I294" s="36">
        <v>3000</v>
      </c>
      <c r="J294" s="36"/>
      <c r="K294" s="165"/>
    </row>
    <row r="295" spans="1:11" s="10" customFormat="1" x14ac:dyDescent="0.25">
      <c r="A295" s="66"/>
      <c r="B295" s="49"/>
      <c r="C295" s="91" t="s">
        <v>1001</v>
      </c>
      <c r="D295" s="132"/>
      <c r="E295" s="36"/>
      <c r="F295" s="36"/>
      <c r="G295" s="165"/>
      <c r="H295" s="132">
        <v>1209</v>
      </c>
      <c r="I295" s="36">
        <v>1209</v>
      </c>
      <c r="J295" s="36"/>
      <c r="K295" s="165"/>
    </row>
    <row r="296" spans="1:11" s="10" customFormat="1" x14ac:dyDescent="0.25">
      <c r="A296" s="66"/>
      <c r="B296" s="49"/>
      <c r="C296" s="91" t="s">
        <v>1002</v>
      </c>
      <c r="D296" s="132"/>
      <c r="E296" s="36"/>
      <c r="F296" s="36"/>
      <c r="G296" s="165"/>
      <c r="H296" s="132">
        <v>5080</v>
      </c>
      <c r="I296" s="36">
        <v>5080</v>
      </c>
      <c r="J296" s="36"/>
      <c r="K296" s="165"/>
    </row>
    <row r="297" spans="1:11" s="10" customFormat="1" x14ac:dyDescent="0.25">
      <c r="A297" s="66"/>
      <c r="B297" s="49"/>
      <c r="C297" s="91" t="s">
        <v>1003</v>
      </c>
      <c r="D297" s="132"/>
      <c r="E297" s="36"/>
      <c r="F297" s="36"/>
      <c r="G297" s="165"/>
      <c r="H297" s="132">
        <v>2553</v>
      </c>
      <c r="I297" s="36">
        <v>2553</v>
      </c>
      <c r="J297" s="36"/>
      <c r="K297" s="165"/>
    </row>
    <row r="298" spans="1:11" s="10" customFormat="1" ht="30" x14ac:dyDescent="0.25">
      <c r="A298" s="66"/>
      <c r="B298" s="49"/>
      <c r="C298" s="91" t="s">
        <v>1004</v>
      </c>
      <c r="D298" s="132"/>
      <c r="E298" s="36"/>
      <c r="F298" s="36"/>
      <c r="G298" s="165"/>
      <c r="H298" s="132">
        <v>3810</v>
      </c>
      <c r="I298" s="36">
        <v>3810</v>
      </c>
      <c r="J298" s="36"/>
      <c r="K298" s="165"/>
    </row>
    <row r="299" spans="1:11" s="10" customFormat="1" x14ac:dyDescent="0.25">
      <c r="A299" s="66"/>
      <c r="B299" s="49"/>
      <c r="C299" s="126" t="s">
        <v>68</v>
      </c>
      <c r="D299" s="137">
        <f>SUM(D281:D294)</f>
        <v>147172</v>
      </c>
      <c r="E299" s="51">
        <f>SUM(E281:E294)</f>
        <v>147172</v>
      </c>
      <c r="F299" s="51">
        <f t="shared" ref="F299:G299" si="27">SUM(F281:F293)</f>
        <v>0</v>
      </c>
      <c r="G299" s="175">
        <f t="shared" si="27"/>
        <v>0</v>
      </c>
      <c r="H299" s="137">
        <f>SUM(H281:H298)</f>
        <v>163414</v>
      </c>
      <c r="I299" s="51">
        <f>SUM(I281:I298)</f>
        <v>163414</v>
      </c>
      <c r="J299" s="51">
        <f>SUM(J281:J298)</f>
        <v>0</v>
      </c>
      <c r="K299" s="175">
        <f>SUM(K281:K298)</f>
        <v>0</v>
      </c>
    </row>
    <row r="300" spans="1:11" s="10" customFormat="1" x14ac:dyDescent="0.25">
      <c r="A300" s="66"/>
      <c r="B300" s="49"/>
      <c r="C300" s="126"/>
      <c r="D300" s="118"/>
      <c r="E300" s="123"/>
      <c r="F300" s="123"/>
      <c r="G300" s="168"/>
      <c r="H300" s="118"/>
      <c r="I300" s="123"/>
      <c r="J300" s="123"/>
      <c r="K300" s="168"/>
    </row>
    <row r="301" spans="1:11" s="10" customFormat="1" x14ac:dyDescent="0.25">
      <c r="A301" s="66"/>
      <c r="B301" s="70"/>
      <c r="C301" s="126"/>
      <c r="D301" s="118"/>
      <c r="E301" s="123"/>
      <c r="F301" s="123"/>
      <c r="G301" s="168"/>
      <c r="H301" s="118"/>
      <c r="I301" s="123"/>
      <c r="J301" s="123"/>
      <c r="K301" s="168"/>
    </row>
    <row r="302" spans="1:11" s="10" customFormat="1" x14ac:dyDescent="0.25">
      <c r="A302" s="66"/>
      <c r="B302" s="49" t="s">
        <v>54</v>
      </c>
      <c r="C302" s="95" t="s">
        <v>85</v>
      </c>
      <c r="D302" s="118"/>
      <c r="E302" s="123"/>
      <c r="F302" s="123"/>
      <c r="G302" s="168"/>
      <c r="H302" s="118"/>
      <c r="I302" s="123"/>
      <c r="J302" s="123"/>
      <c r="K302" s="168"/>
    </row>
    <row r="303" spans="1:11" s="10" customFormat="1" x14ac:dyDescent="0.25">
      <c r="A303" s="66"/>
      <c r="B303" s="49"/>
      <c r="C303" s="95" t="s">
        <v>136</v>
      </c>
      <c r="D303" s="118"/>
      <c r="E303" s="123"/>
      <c r="F303" s="123"/>
      <c r="G303" s="168"/>
      <c r="H303" s="118"/>
      <c r="I303" s="123"/>
      <c r="J303" s="123"/>
      <c r="K303" s="168"/>
    </row>
    <row r="304" spans="1:11" s="10" customFormat="1" ht="30" x14ac:dyDescent="0.25">
      <c r="A304" s="66"/>
      <c r="B304" s="49"/>
      <c r="C304" s="91" t="s">
        <v>174</v>
      </c>
      <c r="D304" s="132">
        <v>4000</v>
      </c>
      <c r="E304" s="36">
        <v>4000</v>
      </c>
      <c r="F304" s="36"/>
      <c r="G304" s="165"/>
      <c r="H304" s="132">
        <v>4000</v>
      </c>
      <c r="I304" s="36">
        <v>4000</v>
      </c>
      <c r="J304" s="36"/>
      <c r="K304" s="165"/>
    </row>
    <row r="305" spans="1:11" s="10" customFormat="1" x14ac:dyDescent="0.25">
      <c r="A305" s="30"/>
      <c r="B305" s="49"/>
      <c r="C305" s="97" t="s">
        <v>49</v>
      </c>
      <c r="D305" s="134">
        <f t="shared" ref="D305:K305" si="28">SUM(D304:D304)</f>
        <v>4000</v>
      </c>
      <c r="E305" s="46">
        <f t="shared" si="28"/>
        <v>4000</v>
      </c>
      <c r="F305" s="46">
        <f t="shared" si="28"/>
        <v>0</v>
      </c>
      <c r="G305" s="160">
        <f t="shared" si="28"/>
        <v>0</v>
      </c>
      <c r="H305" s="134">
        <f t="shared" si="28"/>
        <v>4000</v>
      </c>
      <c r="I305" s="46">
        <f t="shared" si="28"/>
        <v>4000</v>
      </c>
      <c r="J305" s="46">
        <f t="shared" si="28"/>
        <v>0</v>
      </c>
      <c r="K305" s="160">
        <f t="shared" si="28"/>
        <v>0</v>
      </c>
    </row>
    <row r="306" spans="1:11" s="10" customFormat="1" x14ac:dyDescent="0.25">
      <c r="A306" s="30"/>
      <c r="B306" s="49"/>
      <c r="C306" s="97"/>
      <c r="D306" s="45"/>
      <c r="E306" s="46"/>
      <c r="F306" s="46"/>
      <c r="G306" s="157"/>
      <c r="H306" s="45"/>
      <c r="I306" s="46"/>
      <c r="J306" s="46"/>
      <c r="K306" s="157"/>
    </row>
    <row r="307" spans="1:11" s="10" customFormat="1" x14ac:dyDescent="0.25">
      <c r="A307" s="72"/>
      <c r="B307" s="73"/>
      <c r="C307" s="95" t="s">
        <v>137</v>
      </c>
      <c r="D307" s="41"/>
      <c r="E307" s="36"/>
      <c r="F307" s="36"/>
      <c r="G307" s="156"/>
      <c r="H307" s="41"/>
      <c r="I307" s="36"/>
      <c r="J307" s="36"/>
      <c r="K307" s="156"/>
    </row>
    <row r="308" spans="1:11" s="10" customFormat="1" ht="30" x14ac:dyDescent="0.25">
      <c r="A308" s="30"/>
      <c r="B308" s="73"/>
      <c r="C308" s="152" t="s">
        <v>358</v>
      </c>
      <c r="D308" s="132">
        <v>1710</v>
      </c>
      <c r="E308" s="36">
        <v>1710</v>
      </c>
      <c r="F308" s="36"/>
      <c r="G308" s="165"/>
      <c r="H308" s="132">
        <v>1710</v>
      </c>
      <c r="I308" s="36">
        <v>1710</v>
      </c>
      <c r="J308" s="36"/>
      <c r="K308" s="165"/>
    </row>
    <row r="309" spans="1:11" s="10" customFormat="1" ht="30" x14ac:dyDescent="0.25">
      <c r="A309" s="30"/>
      <c r="B309" s="73"/>
      <c r="C309" s="152" t="s">
        <v>359</v>
      </c>
      <c r="D309" s="132">
        <v>4500</v>
      </c>
      <c r="E309" s="36">
        <v>4500</v>
      </c>
      <c r="F309" s="36"/>
      <c r="G309" s="165"/>
      <c r="H309" s="132">
        <v>4500</v>
      </c>
      <c r="I309" s="36">
        <v>4500</v>
      </c>
      <c r="J309" s="36"/>
      <c r="K309" s="165"/>
    </row>
    <row r="310" spans="1:11" s="10" customFormat="1" x14ac:dyDescent="0.25">
      <c r="A310" s="30"/>
      <c r="B310" s="73"/>
      <c r="C310" s="152" t="s">
        <v>360</v>
      </c>
      <c r="D310" s="132">
        <v>4953</v>
      </c>
      <c r="E310" s="36">
        <v>4953</v>
      </c>
      <c r="F310" s="36"/>
      <c r="G310" s="165"/>
      <c r="H310" s="132">
        <v>4953</v>
      </c>
      <c r="I310" s="36">
        <v>4953</v>
      </c>
      <c r="J310" s="36"/>
      <c r="K310" s="165"/>
    </row>
    <row r="311" spans="1:11" s="10" customFormat="1" ht="30" x14ac:dyDescent="0.25">
      <c r="A311" s="30"/>
      <c r="B311" s="73"/>
      <c r="C311" s="152" t="s">
        <v>1005</v>
      </c>
      <c r="D311" s="132">
        <v>3000</v>
      </c>
      <c r="E311" s="36">
        <v>3000</v>
      </c>
      <c r="F311" s="36"/>
      <c r="G311" s="165"/>
      <c r="H311" s="132">
        <v>2740</v>
      </c>
      <c r="I311" s="36">
        <v>2740</v>
      </c>
      <c r="J311" s="36"/>
      <c r="K311" s="165"/>
    </row>
    <row r="312" spans="1:11" s="10" customFormat="1" x14ac:dyDescent="0.25">
      <c r="A312" s="30"/>
      <c r="B312" s="73"/>
      <c r="C312" s="152" t="s">
        <v>361</v>
      </c>
      <c r="D312" s="132">
        <v>2500</v>
      </c>
      <c r="E312" s="36">
        <v>2500</v>
      </c>
      <c r="F312" s="36"/>
      <c r="G312" s="165"/>
      <c r="H312" s="132">
        <v>2500</v>
      </c>
      <c r="I312" s="36">
        <v>2500</v>
      </c>
      <c r="J312" s="36"/>
      <c r="K312" s="165"/>
    </row>
    <row r="313" spans="1:11" s="10" customFormat="1" ht="30" x14ac:dyDescent="0.25">
      <c r="A313" s="30"/>
      <c r="B313" s="73"/>
      <c r="C313" s="152" t="s">
        <v>1006</v>
      </c>
      <c r="D313" s="132"/>
      <c r="E313" s="36"/>
      <c r="F313" s="36"/>
      <c r="G313" s="165"/>
      <c r="H313" s="132">
        <v>3850</v>
      </c>
      <c r="I313" s="36">
        <v>3850</v>
      </c>
      <c r="J313" s="36"/>
      <c r="K313" s="165"/>
    </row>
    <row r="314" spans="1:11" s="10" customFormat="1" x14ac:dyDescent="0.25">
      <c r="A314" s="30"/>
      <c r="B314" s="73"/>
      <c r="C314" s="97" t="s">
        <v>49</v>
      </c>
      <c r="D314" s="134">
        <f>SUM(D308:D312)</f>
        <v>16663</v>
      </c>
      <c r="E314" s="46">
        <f>SUM(E308:E312)</f>
        <v>16663</v>
      </c>
      <c r="F314" s="46">
        <f>SUM(F308:F308)</f>
        <v>0</v>
      </c>
      <c r="G314" s="160">
        <f>SUM(G308:G308)</f>
        <v>0</v>
      </c>
      <c r="H314" s="134">
        <f>SUM(H308:H313)</f>
        <v>20253</v>
      </c>
      <c r="I314" s="46">
        <f>SUM(I308:I313)</f>
        <v>20253</v>
      </c>
      <c r="J314" s="46">
        <f>SUM(J308:J313)</f>
        <v>0</v>
      </c>
      <c r="K314" s="160">
        <f>SUM(K308:K313)</f>
        <v>0</v>
      </c>
    </row>
    <row r="315" spans="1:11" s="10" customFormat="1" x14ac:dyDescent="0.25">
      <c r="A315" s="30"/>
      <c r="B315" s="73"/>
      <c r="C315" s="97"/>
      <c r="D315" s="45"/>
      <c r="E315" s="46"/>
      <c r="F315" s="46"/>
      <c r="G315" s="157"/>
      <c r="H315" s="45"/>
      <c r="I315" s="46"/>
      <c r="J315" s="46"/>
      <c r="K315" s="157"/>
    </row>
    <row r="316" spans="1:11" s="10" customFormat="1" x14ac:dyDescent="0.25">
      <c r="A316" s="30"/>
      <c r="B316" s="73"/>
      <c r="C316" s="95" t="s">
        <v>110</v>
      </c>
      <c r="D316" s="45"/>
      <c r="E316" s="46"/>
      <c r="F316" s="46"/>
      <c r="G316" s="157"/>
      <c r="H316" s="45"/>
      <c r="I316" s="46"/>
      <c r="J316" s="46"/>
      <c r="K316" s="157"/>
    </row>
    <row r="317" spans="1:11" s="10" customFormat="1" x14ac:dyDescent="0.25">
      <c r="A317" s="30"/>
      <c r="B317" s="73"/>
      <c r="C317" s="91" t="s">
        <v>20</v>
      </c>
      <c r="D317" s="122">
        <v>259442</v>
      </c>
      <c r="E317" s="74">
        <v>259442</v>
      </c>
      <c r="F317" s="74"/>
      <c r="G317" s="166"/>
      <c r="H317" s="122">
        <v>256614</v>
      </c>
      <c r="I317" s="74">
        <v>256614</v>
      </c>
      <c r="J317" s="74"/>
      <c r="K317" s="166"/>
    </row>
    <row r="318" spans="1:11" s="10" customFormat="1" x14ac:dyDescent="0.25">
      <c r="A318" s="30"/>
      <c r="B318" s="73"/>
      <c r="C318" s="91" t="s">
        <v>133</v>
      </c>
      <c r="D318" s="122">
        <v>0</v>
      </c>
      <c r="E318" s="74">
        <v>0</v>
      </c>
      <c r="F318" s="74"/>
      <c r="G318" s="166"/>
      <c r="H318" s="122">
        <v>0</v>
      </c>
      <c r="I318" s="74">
        <v>0</v>
      </c>
      <c r="J318" s="74"/>
      <c r="K318" s="166"/>
    </row>
    <row r="319" spans="1:11" s="10" customFormat="1" ht="30" x14ac:dyDescent="0.25">
      <c r="A319" s="30"/>
      <c r="B319" s="73"/>
      <c r="C319" s="152" t="s">
        <v>172</v>
      </c>
      <c r="D319" s="122">
        <v>9753</v>
      </c>
      <c r="E319" s="74">
        <v>9753</v>
      </c>
      <c r="F319" s="74"/>
      <c r="G319" s="166"/>
      <c r="H319" s="122">
        <v>9753</v>
      </c>
      <c r="I319" s="74">
        <v>9753</v>
      </c>
      <c r="J319" s="74"/>
      <c r="K319" s="166"/>
    </row>
    <row r="320" spans="1:11" s="10" customFormat="1" x14ac:dyDescent="0.25">
      <c r="A320" s="30"/>
      <c r="B320" s="73"/>
      <c r="C320" s="152" t="s">
        <v>362</v>
      </c>
      <c r="D320" s="133">
        <v>107</v>
      </c>
      <c r="E320" s="74">
        <v>107</v>
      </c>
      <c r="F320" s="74"/>
      <c r="G320" s="167"/>
      <c r="H320" s="133">
        <v>0</v>
      </c>
      <c r="I320" s="74">
        <v>0</v>
      </c>
      <c r="J320" s="74"/>
      <c r="K320" s="167"/>
    </row>
    <row r="321" spans="1:11" s="10" customFormat="1" x14ac:dyDescent="0.25">
      <c r="A321" s="30"/>
      <c r="B321" s="73"/>
      <c r="C321" s="152" t="s">
        <v>363</v>
      </c>
      <c r="D321" s="133">
        <v>1000</v>
      </c>
      <c r="E321" s="74">
        <v>1000</v>
      </c>
      <c r="F321" s="74"/>
      <c r="G321" s="167"/>
      <c r="H321" s="133">
        <v>1000</v>
      </c>
      <c r="I321" s="74">
        <v>1000</v>
      </c>
      <c r="J321" s="74"/>
      <c r="K321" s="167"/>
    </row>
    <row r="322" spans="1:11" s="10" customFormat="1" x14ac:dyDescent="0.25">
      <c r="A322" s="30"/>
      <c r="B322" s="73"/>
      <c r="C322" s="152" t="s">
        <v>1007</v>
      </c>
      <c r="D322" s="133"/>
      <c r="E322" s="74"/>
      <c r="F322" s="74"/>
      <c r="G322" s="167"/>
      <c r="H322" s="133">
        <v>7877</v>
      </c>
      <c r="I322" s="74">
        <v>7877</v>
      </c>
      <c r="J322" s="74"/>
      <c r="K322" s="167"/>
    </row>
    <row r="323" spans="1:11" s="10" customFormat="1" x14ac:dyDescent="0.25">
      <c r="A323" s="30"/>
      <c r="B323" s="73"/>
      <c r="C323" s="97" t="s">
        <v>49</v>
      </c>
      <c r="D323" s="134">
        <f t="shared" ref="D323:K323" si="29">SUM(D317:D321)</f>
        <v>270302</v>
      </c>
      <c r="E323" s="46">
        <f t="shared" si="29"/>
        <v>270302</v>
      </c>
      <c r="F323" s="46">
        <f t="shared" si="29"/>
        <v>0</v>
      </c>
      <c r="G323" s="160">
        <f t="shared" si="29"/>
        <v>0</v>
      </c>
      <c r="H323" s="134">
        <f>SUM(H317:H322)</f>
        <v>275244</v>
      </c>
      <c r="I323" s="46">
        <f>SUM(I317:I322)</f>
        <v>275244</v>
      </c>
      <c r="J323" s="46">
        <f t="shared" si="29"/>
        <v>0</v>
      </c>
      <c r="K323" s="160">
        <f t="shared" si="29"/>
        <v>0</v>
      </c>
    </row>
    <row r="324" spans="1:11" s="10" customFormat="1" x14ac:dyDescent="0.25">
      <c r="A324" s="30"/>
      <c r="B324" s="73"/>
      <c r="C324" s="97"/>
      <c r="D324" s="134"/>
      <c r="E324" s="46"/>
      <c r="F324" s="46"/>
      <c r="G324" s="160"/>
      <c r="H324" s="134"/>
      <c r="I324" s="46"/>
      <c r="J324" s="46"/>
      <c r="K324" s="160"/>
    </row>
    <row r="325" spans="1:11" s="10" customFormat="1" ht="30" x14ac:dyDescent="0.25">
      <c r="A325" s="30"/>
      <c r="B325" s="73"/>
      <c r="C325" s="91" t="s">
        <v>155</v>
      </c>
      <c r="D325" s="134"/>
      <c r="E325" s="46"/>
      <c r="F325" s="46"/>
      <c r="G325" s="160"/>
      <c r="H325" s="134"/>
      <c r="I325" s="46"/>
      <c r="J325" s="46"/>
      <c r="K325" s="160"/>
    </row>
    <row r="326" spans="1:11" s="10" customFormat="1" x14ac:dyDescent="0.25">
      <c r="A326" s="30"/>
      <c r="B326" s="73"/>
      <c r="C326" s="95" t="s">
        <v>156</v>
      </c>
      <c r="D326" s="132">
        <v>3040</v>
      </c>
      <c r="E326" s="36"/>
      <c r="F326" s="36">
        <v>3040</v>
      </c>
      <c r="G326" s="165"/>
      <c r="H326" s="132">
        <v>3040</v>
      </c>
      <c r="I326" s="36"/>
      <c r="J326" s="36">
        <v>3040</v>
      </c>
      <c r="K326" s="165"/>
    </row>
    <row r="327" spans="1:11" s="10" customFormat="1" x14ac:dyDescent="0.25">
      <c r="A327" s="30"/>
      <c r="B327" s="73"/>
      <c r="C327" s="97" t="s">
        <v>49</v>
      </c>
      <c r="D327" s="134">
        <f t="shared" ref="D327:G327" si="30">SUM(D326)</f>
        <v>3040</v>
      </c>
      <c r="E327" s="46">
        <f t="shared" si="30"/>
        <v>0</v>
      </c>
      <c r="F327" s="46">
        <f t="shared" si="30"/>
        <v>3040</v>
      </c>
      <c r="G327" s="160">
        <f t="shared" si="30"/>
        <v>0</v>
      </c>
      <c r="H327" s="134">
        <f t="shared" ref="H327:K327" si="31">SUM(H326)</f>
        <v>3040</v>
      </c>
      <c r="I327" s="46">
        <f t="shared" si="31"/>
        <v>0</v>
      </c>
      <c r="J327" s="46">
        <f t="shared" si="31"/>
        <v>3040</v>
      </c>
      <c r="K327" s="160">
        <f t="shared" si="31"/>
        <v>0</v>
      </c>
    </row>
    <row r="328" spans="1:11" s="10" customFormat="1" x14ac:dyDescent="0.25">
      <c r="A328" s="30"/>
      <c r="B328" s="73"/>
      <c r="C328" s="97"/>
      <c r="D328" s="45"/>
      <c r="E328" s="46"/>
      <c r="F328" s="46"/>
      <c r="G328" s="157"/>
      <c r="H328" s="45"/>
      <c r="I328" s="46"/>
      <c r="J328" s="46"/>
      <c r="K328" s="157"/>
    </row>
    <row r="329" spans="1:11" s="10" customFormat="1" x14ac:dyDescent="0.25">
      <c r="A329" s="30"/>
      <c r="B329" s="73"/>
      <c r="C329" s="126" t="s">
        <v>69</v>
      </c>
      <c r="D329" s="137">
        <f t="shared" ref="D329:K329" si="32">D305+D314+D323+D327</f>
        <v>294005</v>
      </c>
      <c r="E329" s="51">
        <f t="shared" si="32"/>
        <v>290965</v>
      </c>
      <c r="F329" s="51">
        <f t="shared" si="32"/>
        <v>3040</v>
      </c>
      <c r="G329" s="175">
        <f t="shared" si="32"/>
        <v>0</v>
      </c>
      <c r="H329" s="137">
        <f t="shared" si="32"/>
        <v>302537</v>
      </c>
      <c r="I329" s="51">
        <f t="shared" si="32"/>
        <v>299497</v>
      </c>
      <c r="J329" s="51">
        <f t="shared" si="32"/>
        <v>3040</v>
      </c>
      <c r="K329" s="175">
        <f t="shared" si="32"/>
        <v>0</v>
      </c>
    </row>
    <row r="330" spans="1:11" s="10" customFormat="1" x14ac:dyDescent="0.25">
      <c r="A330" s="30"/>
      <c r="B330" s="49"/>
      <c r="C330" s="126"/>
      <c r="D330" s="47"/>
      <c r="E330" s="103"/>
      <c r="F330" s="103"/>
      <c r="G330" s="163"/>
      <c r="H330" s="47"/>
      <c r="I330" s="103"/>
      <c r="J330" s="103"/>
      <c r="K330" s="163"/>
    </row>
    <row r="331" spans="1:11" s="10" customFormat="1" x14ac:dyDescent="0.25">
      <c r="A331" s="30"/>
      <c r="B331" s="49"/>
      <c r="C331" s="96" t="s">
        <v>35</v>
      </c>
      <c r="D331" s="119">
        <f t="shared" ref="D331:K331" si="33">D73+D83+D179+D194+D241+D278+D299+D329</f>
        <v>1870889</v>
      </c>
      <c r="E331" s="39">
        <f t="shared" si="33"/>
        <v>1488918</v>
      </c>
      <c r="F331" s="39">
        <f t="shared" si="33"/>
        <v>343821</v>
      </c>
      <c r="G331" s="155">
        <f t="shared" si="33"/>
        <v>38150</v>
      </c>
      <c r="H331" s="119">
        <f t="shared" si="33"/>
        <v>2160952</v>
      </c>
      <c r="I331" s="39">
        <f t="shared" si="33"/>
        <v>1774111</v>
      </c>
      <c r="J331" s="39">
        <f t="shared" si="33"/>
        <v>348691</v>
      </c>
      <c r="K331" s="155">
        <f t="shared" si="33"/>
        <v>38150</v>
      </c>
    </row>
    <row r="332" spans="1:11" s="10" customFormat="1" x14ac:dyDescent="0.25">
      <c r="A332" s="30"/>
      <c r="B332" s="75"/>
      <c r="C332" s="130"/>
      <c r="D332" s="118"/>
      <c r="E332" s="123"/>
      <c r="F332" s="123"/>
      <c r="G332" s="168"/>
      <c r="H332" s="118"/>
      <c r="I332" s="123"/>
      <c r="J332" s="123"/>
      <c r="K332" s="168"/>
    </row>
    <row r="333" spans="1:11" s="10" customFormat="1" x14ac:dyDescent="0.25">
      <c r="A333" s="30"/>
      <c r="B333" s="49" t="s">
        <v>108</v>
      </c>
      <c r="C333" s="95" t="s">
        <v>157</v>
      </c>
      <c r="D333" s="118"/>
      <c r="E333" s="123"/>
      <c r="F333" s="123"/>
      <c r="G333" s="168"/>
      <c r="H333" s="118"/>
      <c r="I333" s="123"/>
      <c r="J333" s="123"/>
      <c r="K333" s="168"/>
    </row>
    <row r="334" spans="1:11" s="10" customFormat="1" x14ac:dyDescent="0.25">
      <c r="A334" s="30"/>
      <c r="B334" s="70"/>
      <c r="C334" s="95" t="s">
        <v>158</v>
      </c>
      <c r="D334" s="118"/>
      <c r="E334" s="123"/>
      <c r="F334" s="123"/>
      <c r="G334" s="168"/>
      <c r="H334" s="118"/>
      <c r="I334" s="123"/>
      <c r="J334" s="123"/>
      <c r="K334" s="168"/>
    </row>
    <row r="335" spans="1:11" s="10" customFormat="1" x14ac:dyDescent="0.25">
      <c r="A335" s="30"/>
      <c r="B335" s="49"/>
      <c r="C335" s="32" t="s">
        <v>150</v>
      </c>
      <c r="D335" s="41"/>
      <c r="E335" s="36"/>
      <c r="F335" s="36"/>
      <c r="G335" s="156"/>
      <c r="H335" s="41"/>
      <c r="I335" s="36"/>
      <c r="J335" s="36"/>
      <c r="K335" s="156"/>
    </row>
    <row r="336" spans="1:11" s="10" customFormat="1" x14ac:dyDescent="0.25">
      <c r="A336" s="30"/>
      <c r="B336" s="49"/>
      <c r="C336" s="32" t="s">
        <v>151</v>
      </c>
      <c r="D336" s="41">
        <v>7109</v>
      </c>
      <c r="E336" s="36">
        <v>7109</v>
      </c>
      <c r="F336" s="36"/>
      <c r="G336" s="156"/>
      <c r="H336" s="41">
        <v>7109</v>
      </c>
      <c r="I336" s="36">
        <v>7109</v>
      </c>
      <c r="J336" s="36"/>
      <c r="K336" s="156"/>
    </row>
    <row r="337" spans="1:11" s="10" customFormat="1" x14ac:dyDescent="0.25">
      <c r="A337" s="30"/>
      <c r="B337" s="49"/>
      <c r="C337" s="32" t="s">
        <v>152</v>
      </c>
      <c r="D337" s="41"/>
      <c r="E337" s="36"/>
      <c r="F337" s="36"/>
      <c r="G337" s="156"/>
      <c r="H337" s="41">
        <v>324947</v>
      </c>
      <c r="I337" s="36">
        <v>324947</v>
      </c>
      <c r="J337" s="36"/>
      <c r="K337" s="156"/>
    </row>
    <row r="338" spans="1:11" s="10" customFormat="1" ht="30" x14ac:dyDescent="0.25">
      <c r="A338" s="30"/>
      <c r="B338" s="49"/>
      <c r="C338" s="52" t="s">
        <v>161</v>
      </c>
      <c r="D338" s="132">
        <v>10000</v>
      </c>
      <c r="E338" s="36">
        <v>10000</v>
      </c>
      <c r="F338" s="36"/>
      <c r="G338" s="165"/>
      <c r="H338" s="132">
        <v>10000</v>
      </c>
      <c r="I338" s="36">
        <v>10000</v>
      </c>
      <c r="J338" s="36"/>
      <c r="K338" s="165"/>
    </row>
    <row r="339" spans="1:11" s="10" customFormat="1" x14ac:dyDescent="0.25">
      <c r="A339" s="30"/>
      <c r="B339" s="49"/>
      <c r="C339" s="126" t="s">
        <v>49</v>
      </c>
      <c r="D339" s="136">
        <f t="shared" ref="D339:G339" si="34">SUM(D335:D338)</f>
        <v>17109</v>
      </c>
      <c r="E339" s="69">
        <f t="shared" si="34"/>
        <v>17109</v>
      </c>
      <c r="F339" s="69">
        <f t="shared" si="34"/>
        <v>0</v>
      </c>
      <c r="G339" s="158">
        <f t="shared" si="34"/>
        <v>0</v>
      </c>
      <c r="H339" s="136">
        <f t="shared" ref="H339:K339" si="35">SUM(H335:H338)</f>
        <v>342056</v>
      </c>
      <c r="I339" s="69">
        <f t="shared" si="35"/>
        <v>342056</v>
      </c>
      <c r="J339" s="69">
        <f t="shared" si="35"/>
        <v>0</v>
      </c>
      <c r="K339" s="158">
        <f t="shared" si="35"/>
        <v>0</v>
      </c>
    </row>
    <row r="340" spans="1:11" s="10" customFormat="1" x14ac:dyDescent="0.25">
      <c r="A340" s="30"/>
      <c r="B340" s="49"/>
      <c r="C340" s="126"/>
      <c r="D340" s="136"/>
      <c r="E340" s="69"/>
      <c r="F340" s="69"/>
      <c r="G340" s="158"/>
      <c r="H340" s="136"/>
      <c r="I340" s="69"/>
      <c r="J340" s="69"/>
      <c r="K340" s="158"/>
    </row>
    <row r="341" spans="1:11" s="10" customFormat="1" x14ac:dyDescent="0.25">
      <c r="A341" s="30"/>
      <c r="B341" s="49"/>
      <c r="C341" s="32" t="s">
        <v>159</v>
      </c>
      <c r="D341" s="132">
        <v>39627</v>
      </c>
      <c r="E341" s="36">
        <v>39627</v>
      </c>
      <c r="F341" s="37"/>
      <c r="G341" s="38"/>
      <c r="H341" s="132">
        <v>39627</v>
      </c>
      <c r="I341" s="36">
        <v>39627</v>
      </c>
      <c r="J341" s="37"/>
      <c r="K341" s="38"/>
    </row>
    <row r="342" spans="1:11" s="10" customFormat="1" x14ac:dyDescent="0.25">
      <c r="A342" s="30"/>
      <c r="B342" s="38"/>
      <c r="C342" s="95"/>
      <c r="D342" s="30"/>
      <c r="E342" s="37"/>
      <c r="F342" s="37"/>
      <c r="G342" s="38"/>
      <c r="H342" s="30"/>
      <c r="I342" s="37"/>
      <c r="J342" s="37"/>
      <c r="K342" s="38"/>
    </row>
    <row r="343" spans="1:11" s="10" customFormat="1" ht="17.25" thickBot="1" x14ac:dyDescent="0.3">
      <c r="A343" s="55"/>
      <c r="B343" s="76"/>
      <c r="C343" s="131" t="s">
        <v>40</v>
      </c>
      <c r="D343" s="171">
        <f t="shared" ref="D343:K343" si="36">SUM(D49,D62,D339,D331)+D341</f>
        <v>2922675</v>
      </c>
      <c r="E343" s="39">
        <f t="shared" si="36"/>
        <v>2540704</v>
      </c>
      <c r="F343" s="39">
        <f t="shared" si="36"/>
        <v>343821</v>
      </c>
      <c r="G343" s="176">
        <f t="shared" si="36"/>
        <v>38150</v>
      </c>
      <c r="H343" s="171">
        <f t="shared" si="36"/>
        <v>3546056</v>
      </c>
      <c r="I343" s="39">
        <f t="shared" si="36"/>
        <v>3159215</v>
      </c>
      <c r="J343" s="39">
        <f t="shared" si="36"/>
        <v>348691</v>
      </c>
      <c r="K343" s="176">
        <f t="shared" si="36"/>
        <v>38150</v>
      </c>
    </row>
    <row r="344" spans="1:11" s="10" customFormat="1" x14ac:dyDescent="0.25">
      <c r="A344" s="77"/>
      <c r="B344" s="78"/>
      <c r="C344" s="37"/>
      <c r="E344" s="12"/>
      <c r="F344" s="12"/>
      <c r="I344" s="12"/>
      <c r="J344" s="12"/>
    </row>
    <row r="345" spans="1:11" s="10" customFormat="1" x14ac:dyDescent="0.25">
      <c r="A345" s="79"/>
      <c r="B345" s="37"/>
      <c r="C345" s="37"/>
    </row>
    <row r="346" spans="1:11" s="10" customFormat="1" x14ac:dyDescent="0.25">
      <c r="A346" s="79"/>
      <c r="B346" s="37"/>
      <c r="C346" s="37"/>
    </row>
  </sheetData>
  <mergeCells count="2">
    <mergeCell ref="D6:G6"/>
    <mergeCell ref="H6:K6"/>
  </mergeCells>
  <printOptions horizontalCentered="1"/>
  <pageMargins left="0.19685039370078741" right="0.19685039370078741" top="0.70866141732283472" bottom="0.51181102362204722" header="0.51181102362204722" footer="0.51181102362204722"/>
  <pageSetup paperSize="9" scale="64" fitToHeight="0" orientation="portrait" r:id="rId1"/>
  <headerFooter alignWithMargins="0">
    <oddHeader>&amp;P. oldal</oddHeader>
  </headerFooter>
  <rowBreaks count="1" manualBreakCount="1">
    <brk id="260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view="pageBreakPreview" zoomScaleNormal="100" zoomScaleSheetLayoutView="80" workbookViewId="0"/>
  </sheetViews>
  <sheetFormatPr defaultRowHeight="16.5" x14ac:dyDescent="0.25"/>
  <cols>
    <col min="1" max="1" width="16.5703125" style="11" customWidth="1"/>
    <col min="2" max="2" width="15.7109375" style="1" bestFit="1" customWidth="1"/>
    <col min="3" max="3" width="15.7109375" style="1" customWidth="1"/>
    <col min="4" max="4" width="17.5703125" style="1" bestFit="1" customWidth="1"/>
    <col min="5" max="5" width="17.5703125" style="1" customWidth="1"/>
    <col min="6" max="6" width="8.28515625" style="1" bestFit="1" customWidth="1"/>
    <col min="7" max="7" width="8.28515625" style="1" customWidth="1"/>
    <col min="8" max="8" width="8.28515625" style="1" bestFit="1" customWidth="1"/>
    <col min="9" max="9" width="8.28515625" style="1" customWidth="1"/>
    <col min="10" max="10" width="11.28515625" style="1" bestFit="1" customWidth="1"/>
    <col min="11" max="11" width="11.28515625" style="1" customWidth="1"/>
    <col min="12" max="13" width="10.7109375" style="1" customWidth="1"/>
    <col min="14" max="14" width="9.28515625" style="17" bestFit="1" customWidth="1"/>
    <col min="15" max="15" width="9.28515625" style="17" customWidth="1"/>
    <col min="16" max="16" width="11.28515625" style="17" bestFit="1" customWidth="1"/>
    <col min="17" max="17" width="11.28515625" style="17" customWidth="1"/>
    <col min="18" max="18" width="8.28515625" style="1" bestFit="1" customWidth="1"/>
    <col min="19" max="16384" width="9.140625" style="1"/>
  </cols>
  <sheetData>
    <row r="1" spans="1:19" x14ac:dyDescent="0.25">
      <c r="L1" s="115"/>
      <c r="M1" s="115"/>
      <c r="N1" s="115"/>
      <c r="O1" s="115"/>
      <c r="P1" s="115"/>
      <c r="Q1" s="115"/>
      <c r="S1" s="110" t="s">
        <v>970</v>
      </c>
    </row>
    <row r="2" spans="1:19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S2" s="116"/>
    </row>
    <row r="3" spans="1:19" x14ac:dyDescent="0.25">
      <c r="A3" s="519"/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1"/>
      <c r="O3" s="510"/>
      <c r="P3" s="510"/>
      <c r="Q3" s="510"/>
    </row>
    <row r="4" spans="1:19" x14ac:dyDescent="0.25">
      <c r="A4" s="522" t="s">
        <v>80</v>
      </c>
      <c r="B4" s="522"/>
      <c r="C4" s="522"/>
      <c r="D4" s="522"/>
      <c r="E4" s="522"/>
      <c r="F4" s="522"/>
      <c r="G4" s="522"/>
      <c r="H4" s="522"/>
      <c r="I4" s="522"/>
      <c r="J4" s="522"/>
      <c r="K4" s="522"/>
      <c r="L4" s="522"/>
      <c r="M4" s="522"/>
      <c r="N4" s="521"/>
      <c r="O4" s="510"/>
      <c r="P4" s="510"/>
      <c r="Q4" s="510"/>
    </row>
    <row r="5" spans="1:19" s="2" customFormat="1" ht="19.5" x14ac:dyDescent="0.3">
      <c r="A5" s="522" t="s">
        <v>374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N5" s="521"/>
      <c r="O5" s="510"/>
      <c r="P5" s="510"/>
      <c r="Q5" s="510"/>
    </row>
    <row r="6" spans="1:19" s="2" customFormat="1" ht="19.5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6"/>
      <c r="P6" s="6"/>
      <c r="Q6" s="170"/>
      <c r="R6" s="170"/>
    </row>
    <row r="7" spans="1:19" s="15" customFormat="1" ht="38.25" customHeight="1" x14ac:dyDescent="0.2">
      <c r="A7" s="14"/>
      <c r="B7" s="577" t="s">
        <v>47</v>
      </c>
      <c r="C7" s="578"/>
      <c r="D7" s="577" t="s">
        <v>139</v>
      </c>
      <c r="E7" s="578"/>
      <c r="F7" s="577" t="s">
        <v>52</v>
      </c>
      <c r="G7" s="578"/>
      <c r="H7" s="577" t="s">
        <v>82</v>
      </c>
      <c r="I7" s="578"/>
      <c r="J7" s="577" t="s">
        <v>83</v>
      </c>
      <c r="K7" s="578"/>
      <c r="L7" s="577" t="s">
        <v>84</v>
      </c>
      <c r="M7" s="578"/>
      <c r="N7" s="577" t="s">
        <v>45</v>
      </c>
      <c r="O7" s="578"/>
      <c r="P7" s="577" t="s">
        <v>85</v>
      </c>
      <c r="Q7" s="578"/>
      <c r="R7" s="579" t="s">
        <v>48</v>
      </c>
      <c r="S7" s="580"/>
    </row>
    <row r="8" spans="1:19" s="15" customFormat="1" ht="33.75" customHeight="1" x14ac:dyDescent="0.2">
      <c r="A8" s="189"/>
      <c r="B8" s="16" t="s">
        <v>74</v>
      </c>
      <c r="C8" s="16" t="s">
        <v>1018</v>
      </c>
      <c r="D8" s="16" t="s">
        <v>74</v>
      </c>
      <c r="E8" s="16" t="s">
        <v>1018</v>
      </c>
      <c r="F8" s="16" t="s">
        <v>74</v>
      </c>
      <c r="G8" s="16" t="s">
        <v>1018</v>
      </c>
      <c r="H8" s="16" t="s">
        <v>74</v>
      </c>
      <c r="I8" s="16" t="s">
        <v>1018</v>
      </c>
      <c r="J8" s="16" t="s">
        <v>74</v>
      </c>
      <c r="K8" s="16" t="s">
        <v>1018</v>
      </c>
      <c r="L8" s="16" t="s">
        <v>74</v>
      </c>
      <c r="M8" s="16" t="s">
        <v>1018</v>
      </c>
      <c r="N8" s="16" t="s">
        <v>74</v>
      </c>
      <c r="O8" s="16" t="s">
        <v>1018</v>
      </c>
      <c r="P8" s="16" t="s">
        <v>74</v>
      </c>
      <c r="Q8" s="16" t="s">
        <v>1018</v>
      </c>
      <c r="R8" s="16" t="s">
        <v>74</v>
      </c>
      <c r="S8" s="16" t="s">
        <v>1018</v>
      </c>
    </row>
    <row r="9" spans="1:19" ht="23.25" customHeight="1" x14ac:dyDescent="0.25">
      <c r="A9" s="18" t="s">
        <v>70</v>
      </c>
      <c r="B9" s="3">
        <f>202748+4320</f>
        <v>207068</v>
      </c>
      <c r="C9" s="3">
        <v>207442</v>
      </c>
      <c r="D9" s="3">
        <f>43672+950</f>
        <v>44622</v>
      </c>
      <c r="E9" s="3">
        <v>44707</v>
      </c>
      <c r="F9" s="3">
        <v>76110</v>
      </c>
      <c r="G9" s="3">
        <v>76110</v>
      </c>
      <c r="H9" s="3">
        <v>0</v>
      </c>
      <c r="I9" s="3">
        <v>0</v>
      </c>
      <c r="J9" s="3">
        <v>0</v>
      </c>
      <c r="K9" s="3">
        <v>0</v>
      </c>
      <c r="L9" s="3">
        <v>14200</v>
      </c>
      <c r="M9" s="3">
        <v>14200</v>
      </c>
      <c r="N9" s="3">
        <v>0</v>
      </c>
      <c r="O9" s="3">
        <v>0</v>
      </c>
      <c r="P9" s="3">
        <v>0</v>
      </c>
      <c r="Q9" s="3">
        <v>0</v>
      </c>
      <c r="R9" s="3">
        <f t="shared" ref="R9:S11" si="0">B9+D9+F9+H9+J9+L9+N9+P9</f>
        <v>342000</v>
      </c>
      <c r="S9" s="3">
        <f t="shared" si="0"/>
        <v>342459</v>
      </c>
    </row>
    <row r="10" spans="1:19" s="19" customFormat="1" ht="27.75" customHeight="1" x14ac:dyDescent="0.25">
      <c r="A10" s="173" t="s">
        <v>160</v>
      </c>
      <c r="B10" s="4">
        <v>6848</v>
      </c>
      <c r="C10" s="4">
        <v>6848</v>
      </c>
      <c r="D10" s="4">
        <v>753</v>
      </c>
      <c r="E10" s="4">
        <v>753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f t="shared" si="0"/>
        <v>7601</v>
      </c>
      <c r="S10" s="4">
        <f t="shared" si="0"/>
        <v>7601</v>
      </c>
    </row>
    <row r="11" spans="1:19" ht="26.25" x14ac:dyDescent="0.25">
      <c r="A11" s="18" t="s">
        <v>138</v>
      </c>
      <c r="B11" s="3">
        <v>23000</v>
      </c>
      <c r="C11" s="3">
        <v>23073</v>
      </c>
      <c r="D11" s="3">
        <v>5010</v>
      </c>
      <c r="E11" s="3">
        <v>5028</v>
      </c>
      <c r="F11" s="3">
        <v>3890</v>
      </c>
      <c r="G11" s="3">
        <v>3890</v>
      </c>
      <c r="H11" s="3">
        <v>0</v>
      </c>
      <c r="I11" s="3">
        <v>0</v>
      </c>
      <c r="J11" s="3">
        <v>0</v>
      </c>
      <c r="K11" s="3">
        <v>0</v>
      </c>
      <c r="L11" s="3">
        <v>600</v>
      </c>
      <c r="M11" s="3">
        <v>600</v>
      </c>
      <c r="N11" s="3">
        <v>0</v>
      </c>
      <c r="O11" s="3">
        <v>0</v>
      </c>
      <c r="P11" s="3">
        <v>0</v>
      </c>
      <c r="Q11" s="3">
        <v>0</v>
      </c>
      <c r="R11" s="3">
        <f t="shared" si="0"/>
        <v>32500</v>
      </c>
      <c r="S11" s="3">
        <f t="shared" si="0"/>
        <v>32591</v>
      </c>
    </row>
    <row r="12" spans="1:19" s="19" customFormat="1" ht="24.75" customHeight="1" x14ac:dyDescent="0.25">
      <c r="A12" s="173" t="s">
        <v>49</v>
      </c>
      <c r="B12" s="4">
        <f t="shared" ref="B12:S12" si="1">B9+B11</f>
        <v>230068</v>
      </c>
      <c r="C12" s="4">
        <f t="shared" si="1"/>
        <v>230515</v>
      </c>
      <c r="D12" s="4">
        <f t="shared" si="1"/>
        <v>49632</v>
      </c>
      <c r="E12" s="4">
        <f t="shared" si="1"/>
        <v>49735</v>
      </c>
      <c r="F12" s="4">
        <f t="shared" si="1"/>
        <v>80000</v>
      </c>
      <c r="G12" s="4">
        <f t="shared" si="1"/>
        <v>80000</v>
      </c>
      <c r="H12" s="4">
        <f t="shared" si="1"/>
        <v>0</v>
      </c>
      <c r="I12" s="4">
        <f t="shared" si="1"/>
        <v>0</v>
      </c>
      <c r="J12" s="4">
        <f t="shared" si="1"/>
        <v>0</v>
      </c>
      <c r="K12" s="4">
        <f t="shared" si="1"/>
        <v>0</v>
      </c>
      <c r="L12" s="4">
        <f t="shared" si="1"/>
        <v>14800</v>
      </c>
      <c r="M12" s="4">
        <f t="shared" si="1"/>
        <v>14800</v>
      </c>
      <c r="N12" s="4">
        <f t="shared" si="1"/>
        <v>0</v>
      </c>
      <c r="O12" s="4">
        <f t="shared" si="1"/>
        <v>0</v>
      </c>
      <c r="P12" s="4">
        <f t="shared" si="1"/>
        <v>0</v>
      </c>
      <c r="Q12" s="4">
        <f t="shared" si="1"/>
        <v>0</v>
      </c>
      <c r="R12" s="4">
        <f t="shared" si="1"/>
        <v>374500</v>
      </c>
      <c r="S12" s="4">
        <f t="shared" si="1"/>
        <v>375050</v>
      </c>
    </row>
  </sheetData>
  <mergeCells count="12">
    <mergeCell ref="P7:Q7"/>
    <mergeCell ref="R7:S7"/>
    <mergeCell ref="A3:N3"/>
    <mergeCell ref="A4:N4"/>
    <mergeCell ref="A5:N5"/>
    <mergeCell ref="B7:C7"/>
    <mergeCell ref="D7:E7"/>
    <mergeCell ref="F7:G7"/>
    <mergeCell ref="H7:I7"/>
    <mergeCell ref="J7:K7"/>
    <mergeCell ref="L7:M7"/>
    <mergeCell ref="N7:O7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/>
  </sheetViews>
  <sheetFormatPr defaultRowHeight="12.75" x14ac:dyDescent="0.2"/>
  <cols>
    <col min="1" max="1" width="64.28515625" bestFit="1" customWidth="1"/>
    <col min="2" max="2" width="11.85546875" customWidth="1"/>
    <col min="3" max="3" width="12.28515625" customWidth="1"/>
    <col min="4" max="4" width="10.85546875" bestFit="1" customWidth="1"/>
    <col min="5" max="5" width="18.28515625" bestFit="1" customWidth="1"/>
    <col min="6" max="6" width="13.28515625" customWidth="1"/>
    <col min="257" max="257" width="64.28515625" bestFit="1" customWidth="1"/>
    <col min="258" max="258" width="11.85546875" customWidth="1"/>
    <col min="259" max="259" width="12.28515625" customWidth="1"/>
    <col min="260" max="260" width="10.85546875" bestFit="1" customWidth="1"/>
    <col min="261" max="261" width="18.28515625" bestFit="1" customWidth="1"/>
    <col min="262" max="262" width="13.28515625" customWidth="1"/>
    <col min="513" max="513" width="64.28515625" bestFit="1" customWidth="1"/>
    <col min="514" max="514" width="11.85546875" customWidth="1"/>
    <col min="515" max="515" width="12.28515625" customWidth="1"/>
    <col min="516" max="516" width="10.85546875" bestFit="1" customWidth="1"/>
    <col min="517" max="517" width="18.28515625" bestFit="1" customWidth="1"/>
    <col min="518" max="518" width="13.28515625" customWidth="1"/>
    <col min="769" max="769" width="64.28515625" bestFit="1" customWidth="1"/>
    <col min="770" max="770" width="11.85546875" customWidth="1"/>
    <col min="771" max="771" width="12.28515625" customWidth="1"/>
    <col min="772" max="772" width="10.85546875" bestFit="1" customWidth="1"/>
    <col min="773" max="773" width="18.28515625" bestFit="1" customWidth="1"/>
    <col min="774" max="774" width="13.28515625" customWidth="1"/>
    <col min="1025" max="1025" width="64.28515625" bestFit="1" customWidth="1"/>
    <col min="1026" max="1026" width="11.85546875" customWidth="1"/>
    <col min="1027" max="1027" width="12.28515625" customWidth="1"/>
    <col min="1028" max="1028" width="10.85546875" bestFit="1" customWidth="1"/>
    <col min="1029" max="1029" width="18.28515625" bestFit="1" customWidth="1"/>
    <col min="1030" max="1030" width="13.28515625" customWidth="1"/>
    <col min="1281" max="1281" width="64.28515625" bestFit="1" customWidth="1"/>
    <col min="1282" max="1282" width="11.85546875" customWidth="1"/>
    <col min="1283" max="1283" width="12.28515625" customWidth="1"/>
    <col min="1284" max="1284" width="10.85546875" bestFit="1" customWidth="1"/>
    <col min="1285" max="1285" width="18.28515625" bestFit="1" customWidth="1"/>
    <col min="1286" max="1286" width="13.28515625" customWidth="1"/>
    <col min="1537" max="1537" width="64.28515625" bestFit="1" customWidth="1"/>
    <col min="1538" max="1538" width="11.85546875" customWidth="1"/>
    <col min="1539" max="1539" width="12.28515625" customWidth="1"/>
    <col min="1540" max="1540" width="10.85546875" bestFit="1" customWidth="1"/>
    <col min="1541" max="1541" width="18.28515625" bestFit="1" customWidth="1"/>
    <col min="1542" max="1542" width="13.28515625" customWidth="1"/>
    <col min="1793" max="1793" width="64.28515625" bestFit="1" customWidth="1"/>
    <col min="1794" max="1794" width="11.85546875" customWidth="1"/>
    <col min="1795" max="1795" width="12.28515625" customWidth="1"/>
    <col min="1796" max="1796" width="10.85546875" bestFit="1" customWidth="1"/>
    <col min="1797" max="1797" width="18.28515625" bestFit="1" customWidth="1"/>
    <col min="1798" max="1798" width="13.28515625" customWidth="1"/>
    <col min="2049" max="2049" width="64.28515625" bestFit="1" customWidth="1"/>
    <col min="2050" max="2050" width="11.85546875" customWidth="1"/>
    <col min="2051" max="2051" width="12.28515625" customWidth="1"/>
    <col min="2052" max="2052" width="10.85546875" bestFit="1" customWidth="1"/>
    <col min="2053" max="2053" width="18.28515625" bestFit="1" customWidth="1"/>
    <col min="2054" max="2054" width="13.28515625" customWidth="1"/>
    <col min="2305" max="2305" width="64.28515625" bestFit="1" customWidth="1"/>
    <col min="2306" max="2306" width="11.85546875" customWidth="1"/>
    <col min="2307" max="2307" width="12.28515625" customWidth="1"/>
    <col min="2308" max="2308" width="10.85546875" bestFit="1" customWidth="1"/>
    <col min="2309" max="2309" width="18.28515625" bestFit="1" customWidth="1"/>
    <col min="2310" max="2310" width="13.28515625" customWidth="1"/>
    <col min="2561" max="2561" width="64.28515625" bestFit="1" customWidth="1"/>
    <col min="2562" max="2562" width="11.85546875" customWidth="1"/>
    <col min="2563" max="2563" width="12.28515625" customWidth="1"/>
    <col min="2564" max="2564" width="10.85546875" bestFit="1" customWidth="1"/>
    <col min="2565" max="2565" width="18.28515625" bestFit="1" customWidth="1"/>
    <col min="2566" max="2566" width="13.28515625" customWidth="1"/>
    <col min="2817" max="2817" width="64.28515625" bestFit="1" customWidth="1"/>
    <col min="2818" max="2818" width="11.85546875" customWidth="1"/>
    <col min="2819" max="2819" width="12.28515625" customWidth="1"/>
    <col min="2820" max="2820" width="10.85546875" bestFit="1" customWidth="1"/>
    <col min="2821" max="2821" width="18.28515625" bestFit="1" customWidth="1"/>
    <col min="2822" max="2822" width="13.28515625" customWidth="1"/>
    <col min="3073" max="3073" width="64.28515625" bestFit="1" customWidth="1"/>
    <col min="3074" max="3074" width="11.85546875" customWidth="1"/>
    <col min="3075" max="3075" width="12.28515625" customWidth="1"/>
    <col min="3076" max="3076" width="10.85546875" bestFit="1" customWidth="1"/>
    <col min="3077" max="3077" width="18.28515625" bestFit="1" customWidth="1"/>
    <col min="3078" max="3078" width="13.28515625" customWidth="1"/>
    <col min="3329" max="3329" width="64.28515625" bestFit="1" customWidth="1"/>
    <col min="3330" max="3330" width="11.85546875" customWidth="1"/>
    <col min="3331" max="3331" width="12.28515625" customWidth="1"/>
    <col min="3332" max="3332" width="10.85546875" bestFit="1" customWidth="1"/>
    <col min="3333" max="3333" width="18.28515625" bestFit="1" customWidth="1"/>
    <col min="3334" max="3334" width="13.28515625" customWidth="1"/>
    <col min="3585" max="3585" width="64.28515625" bestFit="1" customWidth="1"/>
    <col min="3586" max="3586" width="11.85546875" customWidth="1"/>
    <col min="3587" max="3587" width="12.28515625" customWidth="1"/>
    <col min="3588" max="3588" width="10.85546875" bestFit="1" customWidth="1"/>
    <col min="3589" max="3589" width="18.28515625" bestFit="1" customWidth="1"/>
    <col min="3590" max="3590" width="13.28515625" customWidth="1"/>
    <col min="3841" max="3841" width="64.28515625" bestFit="1" customWidth="1"/>
    <col min="3842" max="3842" width="11.85546875" customWidth="1"/>
    <col min="3843" max="3843" width="12.28515625" customWidth="1"/>
    <col min="3844" max="3844" width="10.85546875" bestFit="1" customWidth="1"/>
    <col min="3845" max="3845" width="18.28515625" bestFit="1" customWidth="1"/>
    <col min="3846" max="3846" width="13.28515625" customWidth="1"/>
    <col min="4097" max="4097" width="64.28515625" bestFit="1" customWidth="1"/>
    <col min="4098" max="4098" width="11.85546875" customWidth="1"/>
    <col min="4099" max="4099" width="12.28515625" customWidth="1"/>
    <col min="4100" max="4100" width="10.85546875" bestFit="1" customWidth="1"/>
    <col min="4101" max="4101" width="18.28515625" bestFit="1" customWidth="1"/>
    <col min="4102" max="4102" width="13.28515625" customWidth="1"/>
    <col min="4353" max="4353" width="64.28515625" bestFit="1" customWidth="1"/>
    <col min="4354" max="4354" width="11.85546875" customWidth="1"/>
    <col min="4355" max="4355" width="12.28515625" customWidth="1"/>
    <col min="4356" max="4356" width="10.85546875" bestFit="1" customWidth="1"/>
    <col min="4357" max="4357" width="18.28515625" bestFit="1" customWidth="1"/>
    <col min="4358" max="4358" width="13.28515625" customWidth="1"/>
    <col min="4609" max="4609" width="64.28515625" bestFit="1" customWidth="1"/>
    <col min="4610" max="4610" width="11.85546875" customWidth="1"/>
    <col min="4611" max="4611" width="12.28515625" customWidth="1"/>
    <col min="4612" max="4612" width="10.85546875" bestFit="1" customWidth="1"/>
    <col min="4613" max="4613" width="18.28515625" bestFit="1" customWidth="1"/>
    <col min="4614" max="4614" width="13.28515625" customWidth="1"/>
    <col min="4865" max="4865" width="64.28515625" bestFit="1" customWidth="1"/>
    <col min="4866" max="4866" width="11.85546875" customWidth="1"/>
    <col min="4867" max="4867" width="12.28515625" customWidth="1"/>
    <col min="4868" max="4868" width="10.85546875" bestFit="1" customWidth="1"/>
    <col min="4869" max="4869" width="18.28515625" bestFit="1" customWidth="1"/>
    <col min="4870" max="4870" width="13.28515625" customWidth="1"/>
    <col min="5121" max="5121" width="64.28515625" bestFit="1" customWidth="1"/>
    <col min="5122" max="5122" width="11.85546875" customWidth="1"/>
    <col min="5123" max="5123" width="12.28515625" customWidth="1"/>
    <col min="5124" max="5124" width="10.85546875" bestFit="1" customWidth="1"/>
    <col min="5125" max="5125" width="18.28515625" bestFit="1" customWidth="1"/>
    <col min="5126" max="5126" width="13.28515625" customWidth="1"/>
    <col min="5377" max="5377" width="64.28515625" bestFit="1" customWidth="1"/>
    <col min="5378" max="5378" width="11.85546875" customWidth="1"/>
    <col min="5379" max="5379" width="12.28515625" customWidth="1"/>
    <col min="5380" max="5380" width="10.85546875" bestFit="1" customWidth="1"/>
    <col min="5381" max="5381" width="18.28515625" bestFit="1" customWidth="1"/>
    <col min="5382" max="5382" width="13.28515625" customWidth="1"/>
    <col min="5633" max="5633" width="64.28515625" bestFit="1" customWidth="1"/>
    <col min="5634" max="5634" width="11.85546875" customWidth="1"/>
    <col min="5635" max="5635" width="12.28515625" customWidth="1"/>
    <col min="5636" max="5636" width="10.85546875" bestFit="1" customWidth="1"/>
    <col min="5637" max="5637" width="18.28515625" bestFit="1" customWidth="1"/>
    <col min="5638" max="5638" width="13.28515625" customWidth="1"/>
    <col min="5889" max="5889" width="64.28515625" bestFit="1" customWidth="1"/>
    <col min="5890" max="5890" width="11.85546875" customWidth="1"/>
    <col min="5891" max="5891" width="12.28515625" customWidth="1"/>
    <col min="5892" max="5892" width="10.85546875" bestFit="1" customWidth="1"/>
    <col min="5893" max="5893" width="18.28515625" bestFit="1" customWidth="1"/>
    <col min="5894" max="5894" width="13.28515625" customWidth="1"/>
    <col min="6145" max="6145" width="64.28515625" bestFit="1" customWidth="1"/>
    <col min="6146" max="6146" width="11.85546875" customWidth="1"/>
    <col min="6147" max="6147" width="12.28515625" customWidth="1"/>
    <col min="6148" max="6148" width="10.85546875" bestFit="1" customWidth="1"/>
    <col min="6149" max="6149" width="18.28515625" bestFit="1" customWidth="1"/>
    <col min="6150" max="6150" width="13.28515625" customWidth="1"/>
    <col min="6401" max="6401" width="64.28515625" bestFit="1" customWidth="1"/>
    <col min="6402" max="6402" width="11.85546875" customWidth="1"/>
    <col min="6403" max="6403" width="12.28515625" customWidth="1"/>
    <col min="6404" max="6404" width="10.85546875" bestFit="1" customWidth="1"/>
    <col min="6405" max="6405" width="18.28515625" bestFit="1" customWidth="1"/>
    <col min="6406" max="6406" width="13.28515625" customWidth="1"/>
    <col min="6657" max="6657" width="64.28515625" bestFit="1" customWidth="1"/>
    <col min="6658" max="6658" width="11.85546875" customWidth="1"/>
    <col min="6659" max="6659" width="12.28515625" customWidth="1"/>
    <col min="6660" max="6660" width="10.85546875" bestFit="1" customWidth="1"/>
    <col min="6661" max="6661" width="18.28515625" bestFit="1" customWidth="1"/>
    <col min="6662" max="6662" width="13.28515625" customWidth="1"/>
    <col min="6913" max="6913" width="64.28515625" bestFit="1" customWidth="1"/>
    <col min="6914" max="6914" width="11.85546875" customWidth="1"/>
    <col min="6915" max="6915" width="12.28515625" customWidth="1"/>
    <col min="6916" max="6916" width="10.85546875" bestFit="1" customWidth="1"/>
    <col min="6917" max="6917" width="18.28515625" bestFit="1" customWidth="1"/>
    <col min="6918" max="6918" width="13.28515625" customWidth="1"/>
    <col min="7169" max="7169" width="64.28515625" bestFit="1" customWidth="1"/>
    <col min="7170" max="7170" width="11.85546875" customWidth="1"/>
    <col min="7171" max="7171" width="12.28515625" customWidth="1"/>
    <col min="7172" max="7172" width="10.85546875" bestFit="1" customWidth="1"/>
    <col min="7173" max="7173" width="18.28515625" bestFit="1" customWidth="1"/>
    <col min="7174" max="7174" width="13.28515625" customWidth="1"/>
    <col min="7425" max="7425" width="64.28515625" bestFit="1" customWidth="1"/>
    <col min="7426" max="7426" width="11.85546875" customWidth="1"/>
    <col min="7427" max="7427" width="12.28515625" customWidth="1"/>
    <col min="7428" max="7428" width="10.85546875" bestFit="1" customWidth="1"/>
    <col min="7429" max="7429" width="18.28515625" bestFit="1" customWidth="1"/>
    <col min="7430" max="7430" width="13.28515625" customWidth="1"/>
    <col min="7681" max="7681" width="64.28515625" bestFit="1" customWidth="1"/>
    <col min="7682" max="7682" width="11.85546875" customWidth="1"/>
    <col min="7683" max="7683" width="12.28515625" customWidth="1"/>
    <col min="7684" max="7684" width="10.85546875" bestFit="1" customWidth="1"/>
    <col min="7685" max="7685" width="18.28515625" bestFit="1" customWidth="1"/>
    <col min="7686" max="7686" width="13.28515625" customWidth="1"/>
    <col min="7937" max="7937" width="64.28515625" bestFit="1" customWidth="1"/>
    <col min="7938" max="7938" width="11.85546875" customWidth="1"/>
    <col min="7939" max="7939" width="12.28515625" customWidth="1"/>
    <col min="7940" max="7940" width="10.85546875" bestFit="1" customWidth="1"/>
    <col min="7941" max="7941" width="18.28515625" bestFit="1" customWidth="1"/>
    <col min="7942" max="7942" width="13.28515625" customWidth="1"/>
    <col min="8193" max="8193" width="64.28515625" bestFit="1" customWidth="1"/>
    <col min="8194" max="8194" width="11.85546875" customWidth="1"/>
    <col min="8195" max="8195" width="12.28515625" customWidth="1"/>
    <col min="8196" max="8196" width="10.85546875" bestFit="1" customWidth="1"/>
    <col min="8197" max="8197" width="18.28515625" bestFit="1" customWidth="1"/>
    <col min="8198" max="8198" width="13.28515625" customWidth="1"/>
    <col min="8449" max="8449" width="64.28515625" bestFit="1" customWidth="1"/>
    <col min="8450" max="8450" width="11.85546875" customWidth="1"/>
    <col min="8451" max="8451" width="12.28515625" customWidth="1"/>
    <col min="8452" max="8452" width="10.85546875" bestFit="1" customWidth="1"/>
    <col min="8453" max="8453" width="18.28515625" bestFit="1" customWidth="1"/>
    <col min="8454" max="8454" width="13.28515625" customWidth="1"/>
    <col min="8705" max="8705" width="64.28515625" bestFit="1" customWidth="1"/>
    <col min="8706" max="8706" width="11.85546875" customWidth="1"/>
    <col min="8707" max="8707" width="12.28515625" customWidth="1"/>
    <col min="8708" max="8708" width="10.85546875" bestFit="1" customWidth="1"/>
    <col min="8709" max="8709" width="18.28515625" bestFit="1" customWidth="1"/>
    <col min="8710" max="8710" width="13.28515625" customWidth="1"/>
    <col min="8961" max="8961" width="64.28515625" bestFit="1" customWidth="1"/>
    <col min="8962" max="8962" width="11.85546875" customWidth="1"/>
    <col min="8963" max="8963" width="12.28515625" customWidth="1"/>
    <col min="8964" max="8964" width="10.85546875" bestFit="1" customWidth="1"/>
    <col min="8965" max="8965" width="18.28515625" bestFit="1" customWidth="1"/>
    <col min="8966" max="8966" width="13.28515625" customWidth="1"/>
    <col min="9217" max="9217" width="64.28515625" bestFit="1" customWidth="1"/>
    <col min="9218" max="9218" width="11.85546875" customWidth="1"/>
    <col min="9219" max="9219" width="12.28515625" customWidth="1"/>
    <col min="9220" max="9220" width="10.85546875" bestFit="1" customWidth="1"/>
    <col min="9221" max="9221" width="18.28515625" bestFit="1" customWidth="1"/>
    <col min="9222" max="9222" width="13.28515625" customWidth="1"/>
    <col min="9473" max="9473" width="64.28515625" bestFit="1" customWidth="1"/>
    <col min="9474" max="9474" width="11.85546875" customWidth="1"/>
    <col min="9475" max="9475" width="12.28515625" customWidth="1"/>
    <col min="9476" max="9476" width="10.85546875" bestFit="1" customWidth="1"/>
    <col min="9477" max="9477" width="18.28515625" bestFit="1" customWidth="1"/>
    <col min="9478" max="9478" width="13.28515625" customWidth="1"/>
    <col min="9729" max="9729" width="64.28515625" bestFit="1" customWidth="1"/>
    <col min="9730" max="9730" width="11.85546875" customWidth="1"/>
    <col min="9731" max="9731" width="12.28515625" customWidth="1"/>
    <col min="9732" max="9732" width="10.85546875" bestFit="1" customWidth="1"/>
    <col min="9733" max="9733" width="18.28515625" bestFit="1" customWidth="1"/>
    <col min="9734" max="9734" width="13.28515625" customWidth="1"/>
    <col min="9985" max="9985" width="64.28515625" bestFit="1" customWidth="1"/>
    <col min="9986" max="9986" width="11.85546875" customWidth="1"/>
    <col min="9987" max="9987" width="12.28515625" customWidth="1"/>
    <col min="9988" max="9988" width="10.85546875" bestFit="1" customWidth="1"/>
    <col min="9989" max="9989" width="18.28515625" bestFit="1" customWidth="1"/>
    <col min="9990" max="9990" width="13.28515625" customWidth="1"/>
    <col min="10241" max="10241" width="64.28515625" bestFit="1" customWidth="1"/>
    <col min="10242" max="10242" width="11.85546875" customWidth="1"/>
    <col min="10243" max="10243" width="12.28515625" customWidth="1"/>
    <col min="10244" max="10244" width="10.85546875" bestFit="1" customWidth="1"/>
    <col min="10245" max="10245" width="18.28515625" bestFit="1" customWidth="1"/>
    <col min="10246" max="10246" width="13.28515625" customWidth="1"/>
    <col min="10497" max="10497" width="64.28515625" bestFit="1" customWidth="1"/>
    <col min="10498" max="10498" width="11.85546875" customWidth="1"/>
    <col min="10499" max="10499" width="12.28515625" customWidth="1"/>
    <col min="10500" max="10500" width="10.85546875" bestFit="1" customWidth="1"/>
    <col min="10501" max="10501" width="18.28515625" bestFit="1" customWidth="1"/>
    <col min="10502" max="10502" width="13.28515625" customWidth="1"/>
    <col min="10753" max="10753" width="64.28515625" bestFit="1" customWidth="1"/>
    <col min="10754" max="10754" width="11.85546875" customWidth="1"/>
    <col min="10755" max="10755" width="12.28515625" customWidth="1"/>
    <col min="10756" max="10756" width="10.85546875" bestFit="1" customWidth="1"/>
    <col min="10757" max="10757" width="18.28515625" bestFit="1" customWidth="1"/>
    <col min="10758" max="10758" width="13.28515625" customWidth="1"/>
    <col min="11009" max="11009" width="64.28515625" bestFit="1" customWidth="1"/>
    <col min="11010" max="11010" width="11.85546875" customWidth="1"/>
    <col min="11011" max="11011" width="12.28515625" customWidth="1"/>
    <col min="11012" max="11012" width="10.85546875" bestFit="1" customWidth="1"/>
    <col min="11013" max="11013" width="18.28515625" bestFit="1" customWidth="1"/>
    <col min="11014" max="11014" width="13.28515625" customWidth="1"/>
    <col min="11265" max="11265" width="64.28515625" bestFit="1" customWidth="1"/>
    <col min="11266" max="11266" width="11.85546875" customWidth="1"/>
    <col min="11267" max="11267" width="12.28515625" customWidth="1"/>
    <col min="11268" max="11268" width="10.85546875" bestFit="1" customWidth="1"/>
    <col min="11269" max="11269" width="18.28515625" bestFit="1" customWidth="1"/>
    <col min="11270" max="11270" width="13.28515625" customWidth="1"/>
    <col min="11521" max="11521" width="64.28515625" bestFit="1" customWidth="1"/>
    <col min="11522" max="11522" width="11.85546875" customWidth="1"/>
    <col min="11523" max="11523" width="12.28515625" customWidth="1"/>
    <col min="11524" max="11524" width="10.85546875" bestFit="1" customWidth="1"/>
    <col min="11525" max="11525" width="18.28515625" bestFit="1" customWidth="1"/>
    <col min="11526" max="11526" width="13.28515625" customWidth="1"/>
    <col min="11777" max="11777" width="64.28515625" bestFit="1" customWidth="1"/>
    <col min="11778" max="11778" width="11.85546875" customWidth="1"/>
    <col min="11779" max="11779" width="12.28515625" customWidth="1"/>
    <col min="11780" max="11780" width="10.85546875" bestFit="1" customWidth="1"/>
    <col min="11781" max="11781" width="18.28515625" bestFit="1" customWidth="1"/>
    <col min="11782" max="11782" width="13.28515625" customWidth="1"/>
    <col min="12033" max="12033" width="64.28515625" bestFit="1" customWidth="1"/>
    <col min="12034" max="12034" width="11.85546875" customWidth="1"/>
    <col min="12035" max="12035" width="12.28515625" customWidth="1"/>
    <col min="12036" max="12036" width="10.85546875" bestFit="1" customWidth="1"/>
    <col min="12037" max="12037" width="18.28515625" bestFit="1" customWidth="1"/>
    <col min="12038" max="12038" width="13.28515625" customWidth="1"/>
    <col min="12289" max="12289" width="64.28515625" bestFit="1" customWidth="1"/>
    <col min="12290" max="12290" width="11.85546875" customWidth="1"/>
    <col min="12291" max="12291" width="12.28515625" customWidth="1"/>
    <col min="12292" max="12292" width="10.85546875" bestFit="1" customWidth="1"/>
    <col min="12293" max="12293" width="18.28515625" bestFit="1" customWidth="1"/>
    <col min="12294" max="12294" width="13.28515625" customWidth="1"/>
    <col min="12545" max="12545" width="64.28515625" bestFit="1" customWidth="1"/>
    <col min="12546" max="12546" width="11.85546875" customWidth="1"/>
    <col min="12547" max="12547" width="12.28515625" customWidth="1"/>
    <col min="12548" max="12548" width="10.85546875" bestFit="1" customWidth="1"/>
    <col min="12549" max="12549" width="18.28515625" bestFit="1" customWidth="1"/>
    <col min="12550" max="12550" width="13.28515625" customWidth="1"/>
    <col min="12801" max="12801" width="64.28515625" bestFit="1" customWidth="1"/>
    <col min="12802" max="12802" width="11.85546875" customWidth="1"/>
    <col min="12803" max="12803" width="12.28515625" customWidth="1"/>
    <col min="12804" max="12804" width="10.85546875" bestFit="1" customWidth="1"/>
    <col min="12805" max="12805" width="18.28515625" bestFit="1" customWidth="1"/>
    <col min="12806" max="12806" width="13.28515625" customWidth="1"/>
    <col min="13057" max="13057" width="64.28515625" bestFit="1" customWidth="1"/>
    <col min="13058" max="13058" width="11.85546875" customWidth="1"/>
    <col min="13059" max="13059" width="12.28515625" customWidth="1"/>
    <col min="13060" max="13060" width="10.85546875" bestFit="1" customWidth="1"/>
    <col min="13061" max="13061" width="18.28515625" bestFit="1" customWidth="1"/>
    <col min="13062" max="13062" width="13.28515625" customWidth="1"/>
    <col min="13313" max="13313" width="64.28515625" bestFit="1" customWidth="1"/>
    <col min="13314" max="13314" width="11.85546875" customWidth="1"/>
    <col min="13315" max="13315" width="12.28515625" customWidth="1"/>
    <col min="13316" max="13316" width="10.85546875" bestFit="1" customWidth="1"/>
    <col min="13317" max="13317" width="18.28515625" bestFit="1" customWidth="1"/>
    <col min="13318" max="13318" width="13.28515625" customWidth="1"/>
    <col min="13569" max="13569" width="64.28515625" bestFit="1" customWidth="1"/>
    <col min="13570" max="13570" width="11.85546875" customWidth="1"/>
    <col min="13571" max="13571" width="12.28515625" customWidth="1"/>
    <col min="13572" max="13572" width="10.85546875" bestFit="1" customWidth="1"/>
    <col min="13573" max="13573" width="18.28515625" bestFit="1" customWidth="1"/>
    <col min="13574" max="13574" width="13.28515625" customWidth="1"/>
    <col min="13825" max="13825" width="64.28515625" bestFit="1" customWidth="1"/>
    <col min="13826" max="13826" width="11.85546875" customWidth="1"/>
    <col min="13827" max="13827" width="12.28515625" customWidth="1"/>
    <col min="13828" max="13828" width="10.85546875" bestFit="1" customWidth="1"/>
    <col min="13829" max="13829" width="18.28515625" bestFit="1" customWidth="1"/>
    <col min="13830" max="13830" width="13.28515625" customWidth="1"/>
    <col min="14081" max="14081" width="64.28515625" bestFit="1" customWidth="1"/>
    <col min="14082" max="14082" width="11.85546875" customWidth="1"/>
    <col min="14083" max="14083" width="12.28515625" customWidth="1"/>
    <col min="14084" max="14084" width="10.85546875" bestFit="1" customWidth="1"/>
    <col min="14085" max="14085" width="18.28515625" bestFit="1" customWidth="1"/>
    <col min="14086" max="14086" width="13.28515625" customWidth="1"/>
    <col min="14337" max="14337" width="64.28515625" bestFit="1" customWidth="1"/>
    <col min="14338" max="14338" width="11.85546875" customWidth="1"/>
    <col min="14339" max="14339" width="12.28515625" customWidth="1"/>
    <col min="14340" max="14340" width="10.85546875" bestFit="1" customWidth="1"/>
    <col min="14341" max="14341" width="18.28515625" bestFit="1" customWidth="1"/>
    <col min="14342" max="14342" width="13.28515625" customWidth="1"/>
    <col min="14593" max="14593" width="64.28515625" bestFit="1" customWidth="1"/>
    <col min="14594" max="14594" width="11.85546875" customWidth="1"/>
    <col min="14595" max="14595" width="12.28515625" customWidth="1"/>
    <col min="14596" max="14596" width="10.85546875" bestFit="1" customWidth="1"/>
    <col min="14597" max="14597" width="18.28515625" bestFit="1" customWidth="1"/>
    <col min="14598" max="14598" width="13.28515625" customWidth="1"/>
    <col min="14849" max="14849" width="64.28515625" bestFit="1" customWidth="1"/>
    <col min="14850" max="14850" width="11.85546875" customWidth="1"/>
    <col min="14851" max="14851" width="12.28515625" customWidth="1"/>
    <col min="14852" max="14852" width="10.85546875" bestFit="1" customWidth="1"/>
    <col min="14853" max="14853" width="18.28515625" bestFit="1" customWidth="1"/>
    <col min="14854" max="14854" width="13.28515625" customWidth="1"/>
    <col min="15105" max="15105" width="64.28515625" bestFit="1" customWidth="1"/>
    <col min="15106" max="15106" width="11.85546875" customWidth="1"/>
    <col min="15107" max="15107" width="12.28515625" customWidth="1"/>
    <col min="15108" max="15108" width="10.85546875" bestFit="1" customWidth="1"/>
    <col min="15109" max="15109" width="18.28515625" bestFit="1" customWidth="1"/>
    <col min="15110" max="15110" width="13.28515625" customWidth="1"/>
    <col min="15361" max="15361" width="64.28515625" bestFit="1" customWidth="1"/>
    <col min="15362" max="15362" width="11.85546875" customWidth="1"/>
    <col min="15363" max="15363" width="12.28515625" customWidth="1"/>
    <col min="15364" max="15364" width="10.85546875" bestFit="1" customWidth="1"/>
    <col min="15365" max="15365" width="18.28515625" bestFit="1" customWidth="1"/>
    <col min="15366" max="15366" width="13.28515625" customWidth="1"/>
    <col min="15617" max="15617" width="64.28515625" bestFit="1" customWidth="1"/>
    <col min="15618" max="15618" width="11.85546875" customWidth="1"/>
    <col min="15619" max="15619" width="12.28515625" customWidth="1"/>
    <col min="15620" max="15620" width="10.85546875" bestFit="1" customWidth="1"/>
    <col min="15621" max="15621" width="18.28515625" bestFit="1" customWidth="1"/>
    <col min="15622" max="15622" width="13.28515625" customWidth="1"/>
    <col min="15873" max="15873" width="64.28515625" bestFit="1" customWidth="1"/>
    <col min="15874" max="15874" width="11.85546875" customWidth="1"/>
    <col min="15875" max="15875" width="12.28515625" customWidth="1"/>
    <col min="15876" max="15876" width="10.85546875" bestFit="1" customWidth="1"/>
    <col min="15877" max="15877" width="18.28515625" bestFit="1" customWidth="1"/>
    <col min="15878" max="15878" width="13.28515625" customWidth="1"/>
    <col min="16129" max="16129" width="64.28515625" bestFit="1" customWidth="1"/>
    <col min="16130" max="16130" width="11.85546875" customWidth="1"/>
    <col min="16131" max="16131" width="12.28515625" customWidth="1"/>
    <col min="16132" max="16132" width="10.85546875" bestFit="1" customWidth="1"/>
    <col min="16133" max="16133" width="18.28515625" bestFit="1" customWidth="1"/>
    <col min="16134" max="16134" width="13.28515625" customWidth="1"/>
  </cols>
  <sheetData>
    <row r="1" spans="1:6" ht="16.5" x14ac:dyDescent="0.25">
      <c r="A1" s="190"/>
      <c r="B1" s="190"/>
      <c r="C1" s="190"/>
      <c r="D1" s="190"/>
      <c r="E1" s="190"/>
      <c r="F1" s="110" t="s">
        <v>971</v>
      </c>
    </row>
    <row r="2" spans="1:6" ht="15" x14ac:dyDescent="0.2">
      <c r="A2" s="191"/>
      <c r="B2" s="191"/>
      <c r="C2" s="191"/>
      <c r="D2" s="191"/>
      <c r="E2" s="191"/>
      <c r="F2" s="192"/>
    </row>
    <row r="3" spans="1:6" ht="16.5" x14ac:dyDescent="0.25">
      <c r="A3" s="523" t="s">
        <v>375</v>
      </c>
      <c r="B3" s="523"/>
      <c r="C3" s="523"/>
      <c r="D3" s="523"/>
      <c r="E3" s="523"/>
      <c r="F3" s="523"/>
    </row>
    <row r="4" spans="1:6" ht="16.5" x14ac:dyDescent="0.25">
      <c r="A4" s="523" t="s">
        <v>386</v>
      </c>
      <c r="B4" s="523"/>
      <c r="C4" s="523"/>
      <c r="D4" s="523"/>
      <c r="E4" s="523"/>
      <c r="F4" s="523"/>
    </row>
    <row r="5" spans="1:6" ht="16.5" x14ac:dyDescent="0.25">
      <c r="A5" s="524" t="s">
        <v>376</v>
      </c>
      <c r="B5" s="525" t="s">
        <v>377</v>
      </c>
      <c r="C5" s="525"/>
      <c r="D5" s="525"/>
      <c r="E5" s="525"/>
      <c r="F5" s="525"/>
    </row>
    <row r="6" spans="1:6" ht="66" x14ac:dyDescent="0.2">
      <c r="A6" s="524"/>
      <c r="B6" s="193" t="s">
        <v>378</v>
      </c>
      <c r="C6" s="193" t="s">
        <v>379</v>
      </c>
      <c r="D6" s="193" t="s">
        <v>380</v>
      </c>
      <c r="E6" s="194" t="s">
        <v>381</v>
      </c>
      <c r="F6" s="194" t="s">
        <v>382</v>
      </c>
    </row>
    <row r="7" spans="1:6" ht="16.5" x14ac:dyDescent="0.25">
      <c r="A7" s="195"/>
      <c r="B7" s="195"/>
      <c r="C7" s="195"/>
      <c r="D7" s="196"/>
      <c r="E7" s="197"/>
      <c r="F7" s="197"/>
    </row>
    <row r="8" spans="1:6" ht="16.5" x14ac:dyDescent="0.25">
      <c r="A8" s="195" t="s">
        <v>75</v>
      </c>
      <c r="B8" s="195">
        <v>11</v>
      </c>
      <c r="C8" s="195">
        <v>7</v>
      </c>
      <c r="D8" s="195">
        <v>0</v>
      </c>
      <c r="E8" s="197">
        <v>1</v>
      </c>
      <c r="F8" s="197">
        <f t="shared" ref="F8:F17" si="0">SUM(B8:E8)</f>
        <v>19</v>
      </c>
    </row>
    <row r="9" spans="1:6" ht="16.5" x14ac:dyDescent="0.25">
      <c r="A9" s="195" t="s">
        <v>76</v>
      </c>
      <c r="B9" s="195"/>
      <c r="C9" s="195"/>
      <c r="D9" s="195"/>
      <c r="E9" s="197"/>
      <c r="F9" s="197"/>
    </row>
    <row r="10" spans="1:6" ht="16.5" x14ac:dyDescent="0.25">
      <c r="A10" s="195" t="s">
        <v>383</v>
      </c>
      <c r="B10" s="195">
        <v>12</v>
      </c>
      <c r="C10" s="195">
        <v>0</v>
      </c>
      <c r="D10" s="195">
        <v>2</v>
      </c>
      <c r="E10" s="197">
        <v>0</v>
      </c>
      <c r="F10" s="197">
        <f t="shared" si="0"/>
        <v>14</v>
      </c>
    </row>
    <row r="11" spans="1:6" ht="16.5" x14ac:dyDescent="0.25">
      <c r="A11" s="195" t="s">
        <v>387</v>
      </c>
      <c r="B11" s="195">
        <v>21</v>
      </c>
      <c r="C11" s="195">
        <v>15</v>
      </c>
      <c r="D11" s="195">
        <v>0</v>
      </c>
      <c r="E11" s="197">
        <v>2</v>
      </c>
      <c r="F11" s="197">
        <f>SUM(B11:E11)</f>
        <v>38</v>
      </c>
    </row>
    <row r="12" spans="1:6" ht="16.5" x14ac:dyDescent="0.25">
      <c r="A12" s="195" t="s">
        <v>79</v>
      </c>
      <c r="B12" s="195">
        <v>23</v>
      </c>
      <c r="C12" s="195">
        <v>0</v>
      </c>
      <c r="D12" s="195">
        <v>41</v>
      </c>
      <c r="E12" s="197">
        <v>2</v>
      </c>
      <c r="F12" s="197">
        <f>SUM(B12:E12)</f>
        <v>66</v>
      </c>
    </row>
    <row r="13" spans="1:6" ht="16.5" x14ac:dyDescent="0.25">
      <c r="A13" s="195" t="s">
        <v>77</v>
      </c>
      <c r="B13" s="195">
        <v>6</v>
      </c>
      <c r="C13" s="195">
        <v>0</v>
      </c>
      <c r="D13" s="195">
        <v>2</v>
      </c>
      <c r="E13" s="197">
        <v>0</v>
      </c>
      <c r="F13" s="197">
        <f t="shared" si="0"/>
        <v>8</v>
      </c>
    </row>
    <row r="14" spans="1:6" ht="16.5" x14ac:dyDescent="0.25">
      <c r="A14" s="195" t="s">
        <v>80</v>
      </c>
      <c r="B14" s="195"/>
      <c r="C14" s="195"/>
      <c r="D14" s="195"/>
      <c r="E14" s="197"/>
      <c r="F14" s="197">
        <f t="shared" si="0"/>
        <v>0</v>
      </c>
    </row>
    <row r="15" spans="1:6" ht="16.5" x14ac:dyDescent="0.25">
      <c r="A15" s="195" t="s">
        <v>384</v>
      </c>
      <c r="B15" s="195">
        <v>54</v>
      </c>
      <c r="C15" s="195">
        <v>0</v>
      </c>
      <c r="D15" s="195">
        <v>9</v>
      </c>
      <c r="E15" s="197">
        <v>3</v>
      </c>
      <c r="F15" s="197">
        <f t="shared" si="0"/>
        <v>66</v>
      </c>
    </row>
    <row r="16" spans="1:6" ht="16.5" x14ac:dyDescent="0.25">
      <c r="A16" s="195" t="s">
        <v>385</v>
      </c>
      <c r="B16" s="195">
        <v>7</v>
      </c>
      <c r="C16" s="195">
        <v>0</v>
      </c>
      <c r="D16" s="195">
        <v>0</v>
      </c>
      <c r="E16" s="197">
        <v>0</v>
      </c>
      <c r="F16" s="197">
        <f t="shared" si="0"/>
        <v>7</v>
      </c>
    </row>
    <row r="17" spans="1:6" ht="16.5" x14ac:dyDescent="0.25">
      <c r="A17" s="195" t="s">
        <v>57</v>
      </c>
      <c r="B17" s="195">
        <v>8</v>
      </c>
      <c r="C17" s="195">
        <v>0</v>
      </c>
      <c r="D17" s="195">
        <v>5</v>
      </c>
      <c r="E17" s="197">
        <v>0</v>
      </c>
      <c r="F17" s="197">
        <f t="shared" si="0"/>
        <v>13</v>
      </c>
    </row>
    <row r="18" spans="1:6" ht="16.5" x14ac:dyDescent="0.25">
      <c r="A18" s="195"/>
      <c r="B18" s="195"/>
      <c r="C18" s="195"/>
      <c r="D18" s="195"/>
      <c r="E18" s="197"/>
      <c r="F18" s="197"/>
    </row>
    <row r="19" spans="1:6" ht="16.5" x14ac:dyDescent="0.25">
      <c r="A19" s="198" t="s">
        <v>49</v>
      </c>
      <c r="B19" s="199">
        <f>B8+B10+B11+B12+B13+B15+B16+B17</f>
        <v>142</v>
      </c>
      <c r="C19" s="199">
        <f>C8+C10+C11+C12+C13+C15+C16+C17</f>
        <v>22</v>
      </c>
      <c r="D19" s="199">
        <f>D8+D10+D11+D12+D13+D15+D16+D17</f>
        <v>59</v>
      </c>
      <c r="E19" s="199">
        <f>E8+E10+E11+E12+E13+E15+E16+E17</f>
        <v>8</v>
      </c>
      <c r="F19" s="199">
        <f>F8+F10+F11+F12+F13+F15+F16+F17</f>
        <v>231</v>
      </c>
    </row>
  </sheetData>
  <mergeCells count="4">
    <mergeCell ref="A3:F3"/>
    <mergeCell ref="A4:F4"/>
    <mergeCell ref="A5:A6"/>
    <mergeCell ref="B5:F5"/>
  </mergeCells>
  <pageMargins left="0.7" right="0.7" top="0.75" bottom="0.75" header="0.3" footer="0.3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workbookViewId="0"/>
  </sheetViews>
  <sheetFormatPr defaultRowHeight="12.75" x14ac:dyDescent="0.2"/>
  <cols>
    <col min="1" max="1" width="40" customWidth="1"/>
    <col min="2" max="5" width="10.42578125" customWidth="1"/>
    <col min="6" max="6" width="4.7109375" customWidth="1"/>
    <col min="7" max="7" width="32.42578125" customWidth="1"/>
    <col min="8" max="8" width="13.5703125" bestFit="1" customWidth="1"/>
    <col min="9" max="9" width="10.42578125" bestFit="1" customWidth="1"/>
    <col min="10" max="10" width="10.42578125" customWidth="1"/>
    <col min="11" max="11" width="9.85546875" bestFit="1" customWidth="1"/>
    <col min="255" max="255" width="40" customWidth="1"/>
    <col min="256" max="256" width="12" bestFit="1" customWidth="1"/>
    <col min="257" max="259" width="10.42578125" customWidth="1"/>
    <col min="260" max="260" width="11" customWidth="1"/>
    <col min="261" max="261" width="4.7109375" customWidth="1"/>
    <col min="262" max="262" width="32.42578125" customWidth="1"/>
    <col min="263" max="263" width="12" bestFit="1" customWidth="1"/>
    <col min="264" max="264" width="13.5703125" bestFit="1" customWidth="1"/>
    <col min="265" max="266" width="13.5703125" customWidth="1"/>
    <col min="267" max="267" width="11" customWidth="1"/>
    <col min="511" max="511" width="40" customWidth="1"/>
    <col min="512" max="512" width="12" bestFit="1" customWidth="1"/>
    <col min="513" max="515" width="10.42578125" customWidth="1"/>
    <col min="516" max="516" width="11" customWidth="1"/>
    <col min="517" max="517" width="4.7109375" customWidth="1"/>
    <col min="518" max="518" width="32.42578125" customWidth="1"/>
    <col min="519" max="519" width="12" bestFit="1" customWidth="1"/>
    <col min="520" max="520" width="13.5703125" bestFit="1" customWidth="1"/>
    <col min="521" max="522" width="13.5703125" customWidth="1"/>
    <col min="523" max="523" width="11" customWidth="1"/>
    <col min="767" max="767" width="40" customWidth="1"/>
    <col min="768" max="768" width="12" bestFit="1" customWidth="1"/>
    <col min="769" max="771" width="10.42578125" customWidth="1"/>
    <col min="772" max="772" width="11" customWidth="1"/>
    <col min="773" max="773" width="4.7109375" customWidth="1"/>
    <col min="774" max="774" width="32.42578125" customWidth="1"/>
    <col min="775" max="775" width="12" bestFit="1" customWidth="1"/>
    <col min="776" max="776" width="13.5703125" bestFit="1" customWidth="1"/>
    <col min="777" max="778" width="13.5703125" customWidth="1"/>
    <col min="779" max="779" width="11" customWidth="1"/>
    <col min="1023" max="1023" width="40" customWidth="1"/>
    <col min="1024" max="1024" width="12" bestFit="1" customWidth="1"/>
    <col min="1025" max="1027" width="10.42578125" customWidth="1"/>
    <col min="1028" max="1028" width="11" customWidth="1"/>
    <col min="1029" max="1029" width="4.7109375" customWidth="1"/>
    <col min="1030" max="1030" width="32.42578125" customWidth="1"/>
    <col min="1031" max="1031" width="12" bestFit="1" customWidth="1"/>
    <col min="1032" max="1032" width="13.5703125" bestFit="1" customWidth="1"/>
    <col min="1033" max="1034" width="13.5703125" customWidth="1"/>
    <col min="1035" max="1035" width="11" customWidth="1"/>
    <col min="1279" max="1279" width="40" customWidth="1"/>
    <col min="1280" max="1280" width="12" bestFit="1" customWidth="1"/>
    <col min="1281" max="1283" width="10.42578125" customWidth="1"/>
    <col min="1284" max="1284" width="11" customWidth="1"/>
    <col min="1285" max="1285" width="4.7109375" customWidth="1"/>
    <col min="1286" max="1286" width="32.42578125" customWidth="1"/>
    <col min="1287" max="1287" width="12" bestFit="1" customWidth="1"/>
    <col min="1288" max="1288" width="13.5703125" bestFit="1" customWidth="1"/>
    <col min="1289" max="1290" width="13.5703125" customWidth="1"/>
    <col min="1291" max="1291" width="11" customWidth="1"/>
    <col min="1535" max="1535" width="40" customWidth="1"/>
    <col min="1536" max="1536" width="12" bestFit="1" customWidth="1"/>
    <col min="1537" max="1539" width="10.42578125" customWidth="1"/>
    <col min="1540" max="1540" width="11" customWidth="1"/>
    <col min="1541" max="1541" width="4.7109375" customWidth="1"/>
    <col min="1542" max="1542" width="32.42578125" customWidth="1"/>
    <col min="1543" max="1543" width="12" bestFit="1" customWidth="1"/>
    <col min="1544" max="1544" width="13.5703125" bestFit="1" customWidth="1"/>
    <col min="1545" max="1546" width="13.5703125" customWidth="1"/>
    <col min="1547" max="1547" width="11" customWidth="1"/>
    <col min="1791" max="1791" width="40" customWidth="1"/>
    <col min="1792" max="1792" width="12" bestFit="1" customWidth="1"/>
    <col min="1793" max="1795" width="10.42578125" customWidth="1"/>
    <col min="1796" max="1796" width="11" customWidth="1"/>
    <col min="1797" max="1797" width="4.7109375" customWidth="1"/>
    <col min="1798" max="1798" width="32.42578125" customWidth="1"/>
    <col min="1799" max="1799" width="12" bestFit="1" customWidth="1"/>
    <col min="1800" max="1800" width="13.5703125" bestFit="1" customWidth="1"/>
    <col min="1801" max="1802" width="13.5703125" customWidth="1"/>
    <col min="1803" max="1803" width="11" customWidth="1"/>
    <col min="2047" max="2047" width="40" customWidth="1"/>
    <col min="2048" max="2048" width="12" bestFit="1" customWidth="1"/>
    <col min="2049" max="2051" width="10.42578125" customWidth="1"/>
    <col min="2052" max="2052" width="11" customWidth="1"/>
    <col min="2053" max="2053" width="4.7109375" customWidth="1"/>
    <col min="2054" max="2054" width="32.42578125" customWidth="1"/>
    <col min="2055" max="2055" width="12" bestFit="1" customWidth="1"/>
    <col min="2056" max="2056" width="13.5703125" bestFit="1" customWidth="1"/>
    <col min="2057" max="2058" width="13.5703125" customWidth="1"/>
    <col min="2059" max="2059" width="11" customWidth="1"/>
    <col min="2303" max="2303" width="40" customWidth="1"/>
    <col min="2304" max="2304" width="12" bestFit="1" customWidth="1"/>
    <col min="2305" max="2307" width="10.42578125" customWidth="1"/>
    <col min="2308" max="2308" width="11" customWidth="1"/>
    <col min="2309" max="2309" width="4.7109375" customWidth="1"/>
    <col min="2310" max="2310" width="32.42578125" customWidth="1"/>
    <col min="2311" max="2311" width="12" bestFit="1" customWidth="1"/>
    <col min="2312" max="2312" width="13.5703125" bestFit="1" customWidth="1"/>
    <col min="2313" max="2314" width="13.5703125" customWidth="1"/>
    <col min="2315" max="2315" width="11" customWidth="1"/>
    <col min="2559" max="2559" width="40" customWidth="1"/>
    <col min="2560" max="2560" width="12" bestFit="1" customWidth="1"/>
    <col min="2561" max="2563" width="10.42578125" customWidth="1"/>
    <col min="2564" max="2564" width="11" customWidth="1"/>
    <col min="2565" max="2565" width="4.7109375" customWidth="1"/>
    <col min="2566" max="2566" width="32.42578125" customWidth="1"/>
    <col min="2567" max="2567" width="12" bestFit="1" customWidth="1"/>
    <col min="2568" max="2568" width="13.5703125" bestFit="1" customWidth="1"/>
    <col min="2569" max="2570" width="13.5703125" customWidth="1"/>
    <col min="2571" max="2571" width="11" customWidth="1"/>
    <col min="2815" max="2815" width="40" customWidth="1"/>
    <col min="2816" max="2816" width="12" bestFit="1" customWidth="1"/>
    <col min="2817" max="2819" width="10.42578125" customWidth="1"/>
    <col min="2820" max="2820" width="11" customWidth="1"/>
    <col min="2821" max="2821" width="4.7109375" customWidth="1"/>
    <col min="2822" max="2822" width="32.42578125" customWidth="1"/>
    <col min="2823" max="2823" width="12" bestFit="1" customWidth="1"/>
    <col min="2824" max="2824" width="13.5703125" bestFit="1" customWidth="1"/>
    <col min="2825" max="2826" width="13.5703125" customWidth="1"/>
    <col min="2827" max="2827" width="11" customWidth="1"/>
    <col min="3071" max="3071" width="40" customWidth="1"/>
    <col min="3072" max="3072" width="12" bestFit="1" customWidth="1"/>
    <col min="3073" max="3075" width="10.42578125" customWidth="1"/>
    <col min="3076" max="3076" width="11" customWidth="1"/>
    <col min="3077" max="3077" width="4.7109375" customWidth="1"/>
    <col min="3078" max="3078" width="32.42578125" customWidth="1"/>
    <col min="3079" max="3079" width="12" bestFit="1" customWidth="1"/>
    <col min="3080" max="3080" width="13.5703125" bestFit="1" customWidth="1"/>
    <col min="3081" max="3082" width="13.5703125" customWidth="1"/>
    <col min="3083" max="3083" width="11" customWidth="1"/>
    <col min="3327" max="3327" width="40" customWidth="1"/>
    <col min="3328" max="3328" width="12" bestFit="1" customWidth="1"/>
    <col min="3329" max="3331" width="10.42578125" customWidth="1"/>
    <col min="3332" max="3332" width="11" customWidth="1"/>
    <col min="3333" max="3333" width="4.7109375" customWidth="1"/>
    <col min="3334" max="3334" width="32.42578125" customWidth="1"/>
    <col min="3335" max="3335" width="12" bestFit="1" customWidth="1"/>
    <col min="3336" max="3336" width="13.5703125" bestFit="1" customWidth="1"/>
    <col min="3337" max="3338" width="13.5703125" customWidth="1"/>
    <col min="3339" max="3339" width="11" customWidth="1"/>
    <col min="3583" max="3583" width="40" customWidth="1"/>
    <col min="3584" max="3584" width="12" bestFit="1" customWidth="1"/>
    <col min="3585" max="3587" width="10.42578125" customWidth="1"/>
    <col min="3588" max="3588" width="11" customWidth="1"/>
    <col min="3589" max="3589" width="4.7109375" customWidth="1"/>
    <col min="3590" max="3590" width="32.42578125" customWidth="1"/>
    <col min="3591" max="3591" width="12" bestFit="1" customWidth="1"/>
    <col min="3592" max="3592" width="13.5703125" bestFit="1" customWidth="1"/>
    <col min="3593" max="3594" width="13.5703125" customWidth="1"/>
    <col min="3595" max="3595" width="11" customWidth="1"/>
    <col min="3839" max="3839" width="40" customWidth="1"/>
    <col min="3840" max="3840" width="12" bestFit="1" customWidth="1"/>
    <col min="3841" max="3843" width="10.42578125" customWidth="1"/>
    <col min="3844" max="3844" width="11" customWidth="1"/>
    <col min="3845" max="3845" width="4.7109375" customWidth="1"/>
    <col min="3846" max="3846" width="32.42578125" customWidth="1"/>
    <col min="3847" max="3847" width="12" bestFit="1" customWidth="1"/>
    <col min="3848" max="3848" width="13.5703125" bestFit="1" customWidth="1"/>
    <col min="3849" max="3850" width="13.5703125" customWidth="1"/>
    <col min="3851" max="3851" width="11" customWidth="1"/>
    <col min="4095" max="4095" width="40" customWidth="1"/>
    <col min="4096" max="4096" width="12" bestFit="1" customWidth="1"/>
    <col min="4097" max="4099" width="10.42578125" customWidth="1"/>
    <col min="4100" max="4100" width="11" customWidth="1"/>
    <col min="4101" max="4101" width="4.7109375" customWidth="1"/>
    <col min="4102" max="4102" width="32.42578125" customWidth="1"/>
    <col min="4103" max="4103" width="12" bestFit="1" customWidth="1"/>
    <col min="4104" max="4104" width="13.5703125" bestFit="1" customWidth="1"/>
    <col min="4105" max="4106" width="13.5703125" customWidth="1"/>
    <col min="4107" max="4107" width="11" customWidth="1"/>
    <col min="4351" max="4351" width="40" customWidth="1"/>
    <col min="4352" max="4352" width="12" bestFit="1" customWidth="1"/>
    <col min="4353" max="4355" width="10.42578125" customWidth="1"/>
    <col min="4356" max="4356" width="11" customWidth="1"/>
    <col min="4357" max="4357" width="4.7109375" customWidth="1"/>
    <col min="4358" max="4358" width="32.42578125" customWidth="1"/>
    <col min="4359" max="4359" width="12" bestFit="1" customWidth="1"/>
    <col min="4360" max="4360" width="13.5703125" bestFit="1" customWidth="1"/>
    <col min="4361" max="4362" width="13.5703125" customWidth="1"/>
    <col min="4363" max="4363" width="11" customWidth="1"/>
    <col min="4607" max="4607" width="40" customWidth="1"/>
    <col min="4608" max="4608" width="12" bestFit="1" customWidth="1"/>
    <col min="4609" max="4611" width="10.42578125" customWidth="1"/>
    <col min="4612" max="4612" width="11" customWidth="1"/>
    <col min="4613" max="4613" width="4.7109375" customWidth="1"/>
    <col min="4614" max="4614" width="32.42578125" customWidth="1"/>
    <col min="4615" max="4615" width="12" bestFit="1" customWidth="1"/>
    <col min="4616" max="4616" width="13.5703125" bestFit="1" customWidth="1"/>
    <col min="4617" max="4618" width="13.5703125" customWidth="1"/>
    <col min="4619" max="4619" width="11" customWidth="1"/>
    <col min="4863" max="4863" width="40" customWidth="1"/>
    <col min="4864" max="4864" width="12" bestFit="1" customWidth="1"/>
    <col min="4865" max="4867" width="10.42578125" customWidth="1"/>
    <col min="4868" max="4868" width="11" customWidth="1"/>
    <col min="4869" max="4869" width="4.7109375" customWidth="1"/>
    <col min="4870" max="4870" width="32.42578125" customWidth="1"/>
    <col min="4871" max="4871" width="12" bestFit="1" customWidth="1"/>
    <col min="4872" max="4872" width="13.5703125" bestFit="1" customWidth="1"/>
    <col min="4873" max="4874" width="13.5703125" customWidth="1"/>
    <col min="4875" max="4875" width="11" customWidth="1"/>
    <col min="5119" max="5119" width="40" customWidth="1"/>
    <col min="5120" max="5120" width="12" bestFit="1" customWidth="1"/>
    <col min="5121" max="5123" width="10.42578125" customWidth="1"/>
    <col min="5124" max="5124" width="11" customWidth="1"/>
    <col min="5125" max="5125" width="4.7109375" customWidth="1"/>
    <col min="5126" max="5126" width="32.42578125" customWidth="1"/>
    <col min="5127" max="5127" width="12" bestFit="1" customWidth="1"/>
    <col min="5128" max="5128" width="13.5703125" bestFit="1" customWidth="1"/>
    <col min="5129" max="5130" width="13.5703125" customWidth="1"/>
    <col min="5131" max="5131" width="11" customWidth="1"/>
    <col min="5375" max="5375" width="40" customWidth="1"/>
    <col min="5376" max="5376" width="12" bestFit="1" customWidth="1"/>
    <col min="5377" max="5379" width="10.42578125" customWidth="1"/>
    <col min="5380" max="5380" width="11" customWidth="1"/>
    <col min="5381" max="5381" width="4.7109375" customWidth="1"/>
    <col min="5382" max="5382" width="32.42578125" customWidth="1"/>
    <col min="5383" max="5383" width="12" bestFit="1" customWidth="1"/>
    <col min="5384" max="5384" width="13.5703125" bestFit="1" customWidth="1"/>
    <col min="5385" max="5386" width="13.5703125" customWidth="1"/>
    <col min="5387" max="5387" width="11" customWidth="1"/>
    <col min="5631" max="5631" width="40" customWidth="1"/>
    <col min="5632" max="5632" width="12" bestFit="1" customWidth="1"/>
    <col min="5633" max="5635" width="10.42578125" customWidth="1"/>
    <col min="5636" max="5636" width="11" customWidth="1"/>
    <col min="5637" max="5637" width="4.7109375" customWidth="1"/>
    <col min="5638" max="5638" width="32.42578125" customWidth="1"/>
    <col min="5639" max="5639" width="12" bestFit="1" customWidth="1"/>
    <col min="5640" max="5640" width="13.5703125" bestFit="1" customWidth="1"/>
    <col min="5641" max="5642" width="13.5703125" customWidth="1"/>
    <col min="5643" max="5643" width="11" customWidth="1"/>
    <col min="5887" max="5887" width="40" customWidth="1"/>
    <col min="5888" max="5888" width="12" bestFit="1" customWidth="1"/>
    <col min="5889" max="5891" width="10.42578125" customWidth="1"/>
    <col min="5892" max="5892" width="11" customWidth="1"/>
    <col min="5893" max="5893" width="4.7109375" customWidth="1"/>
    <col min="5894" max="5894" width="32.42578125" customWidth="1"/>
    <col min="5895" max="5895" width="12" bestFit="1" customWidth="1"/>
    <col min="5896" max="5896" width="13.5703125" bestFit="1" customWidth="1"/>
    <col min="5897" max="5898" width="13.5703125" customWidth="1"/>
    <col min="5899" max="5899" width="11" customWidth="1"/>
    <col min="6143" max="6143" width="40" customWidth="1"/>
    <col min="6144" max="6144" width="12" bestFit="1" customWidth="1"/>
    <col min="6145" max="6147" width="10.42578125" customWidth="1"/>
    <col min="6148" max="6148" width="11" customWidth="1"/>
    <col min="6149" max="6149" width="4.7109375" customWidth="1"/>
    <col min="6150" max="6150" width="32.42578125" customWidth="1"/>
    <col min="6151" max="6151" width="12" bestFit="1" customWidth="1"/>
    <col min="6152" max="6152" width="13.5703125" bestFit="1" customWidth="1"/>
    <col min="6153" max="6154" width="13.5703125" customWidth="1"/>
    <col min="6155" max="6155" width="11" customWidth="1"/>
    <col min="6399" max="6399" width="40" customWidth="1"/>
    <col min="6400" max="6400" width="12" bestFit="1" customWidth="1"/>
    <col min="6401" max="6403" width="10.42578125" customWidth="1"/>
    <col min="6404" max="6404" width="11" customWidth="1"/>
    <col min="6405" max="6405" width="4.7109375" customWidth="1"/>
    <col min="6406" max="6406" width="32.42578125" customWidth="1"/>
    <col min="6407" max="6407" width="12" bestFit="1" customWidth="1"/>
    <col min="6408" max="6408" width="13.5703125" bestFit="1" customWidth="1"/>
    <col min="6409" max="6410" width="13.5703125" customWidth="1"/>
    <col min="6411" max="6411" width="11" customWidth="1"/>
    <col min="6655" max="6655" width="40" customWidth="1"/>
    <col min="6656" max="6656" width="12" bestFit="1" customWidth="1"/>
    <col min="6657" max="6659" width="10.42578125" customWidth="1"/>
    <col min="6660" max="6660" width="11" customWidth="1"/>
    <col min="6661" max="6661" width="4.7109375" customWidth="1"/>
    <col min="6662" max="6662" width="32.42578125" customWidth="1"/>
    <col min="6663" max="6663" width="12" bestFit="1" customWidth="1"/>
    <col min="6664" max="6664" width="13.5703125" bestFit="1" customWidth="1"/>
    <col min="6665" max="6666" width="13.5703125" customWidth="1"/>
    <col min="6667" max="6667" width="11" customWidth="1"/>
    <col min="6911" max="6911" width="40" customWidth="1"/>
    <col min="6912" max="6912" width="12" bestFit="1" customWidth="1"/>
    <col min="6913" max="6915" width="10.42578125" customWidth="1"/>
    <col min="6916" max="6916" width="11" customWidth="1"/>
    <col min="6917" max="6917" width="4.7109375" customWidth="1"/>
    <col min="6918" max="6918" width="32.42578125" customWidth="1"/>
    <col min="6919" max="6919" width="12" bestFit="1" customWidth="1"/>
    <col min="6920" max="6920" width="13.5703125" bestFit="1" customWidth="1"/>
    <col min="6921" max="6922" width="13.5703125" customWidth="1"/>
    <col min="6923" max="6923" width="11" customWidth="1"/>
    <col min="7167" max="7167" width="40" customWidth="1"/>
    <col min="7168" max="7168" width="12" bestFit="1" customWidth="1"/>
    <col min="7169" max="7171" width="10.42578125" customWidth="1"/>
    <col min="7172" max="7172" width="11" customWidth="1"/>
    <col min="7173" max="7173" width="4.7109375" customWidth="1"/>
    <col min="7174" max="7174" width="32.42578125" customWidth="1"/>
    <col min="7175" max="7175" width="12" bestFit="1" customWidth="1"/>
    <col min="7176" max="7176" width="13.5703125" bestFit="1" customWidth="1"/>
    <col min="7177" max="7178" width="13.5703125" customWidth="1"/>
    <col min="7179" max="7179" width="11" customWidth="1"/>
    <col min="7423" max="7423" width="40" customWidth="1"/>
    <col min="7424" max="7424" width="12" bestFit="1" customWidth="1"/>
    <col min="7425" max="7427" width="10.42578125" customWidth="1"/>
    <col min="7428" max="7428" width="11" customWidth="1"/>
    <col min="7429" max="7429" width="4.7109375" customWidth="1"/>
    <col min="7430" max="7430" width="32.42578125" customWidth="1"/>
    <col min="7431" max="7431" width="12" bestFit="1" customWidth="1"/>
    <col min="7432" max="7432" width="13.5703125" bestFit="1" customWidth="1"/>
    <col min="7433" max="7434" width="13.5703125" customWidth="1"/>
    <col min="7435" max="7435" width="11" customWidth="1"/>
    <col min="7679" max="7679" width="40" customWidth="1"/>
    <col min="7680" max="7680" width="12" bestFit="1" customWidth="1"/>
    <col min="7681" max="7683" width="10.42578125" customWidth="1"/>
    <col min="7684" max="7684" width="11" customWidth="1"/>
    <col min="7685" max="7685" width="4.7109375" customWidth="1"/>
    <col min="7686" max="7686" width="32.42578125" customWidth="1"/>
    <col min="7687" max="7687" width="12" bestFit="1" customWidth="1"/>
    <col min="7688" max="7688" width="13.5703125" bestFit="1" customWidth="1"/>
    <col min="7689" max="7690" width="13.5703125" customWidth="1"/>
    <col min="7691" max="7691" width="11" customWidth="1"/>
    <col min="7935" max="7935" width="40" customWidth="1"/>
    <col min="7936" max="7936" width="12" bestFit="1" customWidth="1"/>
    <col min="7937" max="7939" width="10.42578125" customWidth="1"/>
    <col min="7940" max="7940" width="11" customWidth="1"/>
    <col min="7941" max="7941" width="4.7109375" customWidth="1"/>
    <col min="7942" max="7942" width="32.42578125" customWidth="1"/>
    <col min="7943" max="7943" width="12" bestFit="1" customWidth="1"/>
    <col min="7944" max="7944" width="13.5703125" bestFit="1" customWidth="1"/>
    <col min="7945" max="7946" width="13.5703125" customWidth="1"/>
    <col min="7947" max="7947" width="11" customWidth="1"/>
    <col min="8191" max="8191" width="40" customWidth="1"/>
    <col min="8192" max="8192" width="12" bestFit="1" customWidth="1"/>
    <col min="8193" max="8195" width="10.42578125" customWidth="1"/>
    <col min="8196" max="8196" width="11" customWidth="1"/>
    <col min="8197" max="8197" width="4.7109375" customWidth="1"/>
    <col min="8198" max="8198" width="32.42578125" customWidth="1"/>
    <col min="8199" max="8199" width="12" bestFit="1" customWidth="1"/>
    <col min="8200" max="8200" width="13.5703125" bestFit="1" customWidth="1"/>
    <col min="8201" max="8202" width="13.5703125" customWidth="1"/>
    <col min="8203" max="8203" width="11" customWidth="1"/>
    <col min="8447" max="8447" width="40" customWidth="1"/>
    <col min="8448" max="8448" width="12" bestFit="1" customWidth="1"/>
    <col min="8449" max="8451" width="10.42578125" customWidth="1"/>
    <col min="8452" max="8452" width="11" customWidth="1"/>
    <col min="8453" max="8453" width="4.7109375" customWidth="1"/>
    <col min="8454" max="8454" width="32.42578125" customWidth="1"/>
    <col min="8455" max="8455" width="12" bestFit="1" customWidth="1"/>
    <col min="8456" max="8456" width="13.5703125" bestFit="1" customWidth="1"/>
    <col min="8457" max="8458" width="13.5703125" customWidth="1"/>
    <col min="8459" max="8459" width="11" customWidth="1"/>
    <col min="8703" max="8703" width="40" customWidth="1"/>
    <col min="8704" max="8704" width="12" bestFit="1" customWidth="1"/>
    <col min="8705" max="8707" width="10.42578125" customWidth="1"/>
    <col min="8708" max="8708" width="11" customWidth="1"/>
    <col min="8709" max="8709" width="4.7109375" customWidth="1"/>
    <col min="8710" max="8710" width="32.42578125" customWidth="1"/>
    <col min="8711" max="8711" width="12" bestFit="1" customWidth="1"/>
    <col min="8712" max="8712" width="13.5703125" bestFit="1" customWidth="1"/>
    <col min="8713" max="8714" width="13.5703125" customWidth="1"/>
    <col min="8715" max="8715" width="11" customWidth="1"/>
    <col min="8959" max="8959" width="40" customWidth="1"/>
    <col min="8960" max="8960" width="12" bestFit="1" customWidth="1"/>
    <col min="8961" max="8963" width="10.42578125" customWidth="1"/>
    <col min="8964" max="8964" width="11" customWidth="1"/>
    <col min="8965" max="8965" width="4.7109375" customWidth="1"/>
    <col min="8966" max="8966" width="32.42578125" customWidth="1"/>
    <col min="8967" max="8967" width="12" bestFit="1" customWidth="1"/>
    <col min="8968" max="8968" width="13.5703125" bestFit="1" customWidth="1"/>
    <col min="8969" max="8970" width="13.5703125" customWidth="1"/>
    <col min="8971" max="8971" width="11" customWidth="1"/>
    <col min="9215" max="9215" width="40" customWidth="1"/>
    <col min="9216" max="9216" width="12" bestFit="1" customWidth="1"/>
    <col min="9217" max="9219" width="10.42578125" customWidth="1"/>
    <col min="9220" max="9220" width="11" customWidth="1"/>
    <col min="9221" max="9221" width="4.7109375" customWidth="1"/>
    <col min="9222" max="9222" width="32.42578125" customWidth="1"/>
    <col min="9223" max="9223" width="12" bestFit="1" customWidth="1"/>
    <col min="9224" max="9224" width="13.5703125" bestFit="1" customWidth="1"/>
    <col min="9225" max="9226" width="13.5703125" customWidth="1"/>
    <col min="9227" max="9227" width="11" customWidth="1"/>
    <col min="9471" max="9471" width="40" customWidth="1"/>
    <col min="9472" max="9472" width="12" bestFit="1" customWidth="1"/>
    <col min="9473" max="9475" width="10.42578125" customWidth="1"/>
    <col min="9476" max="9476" width="11" customWidth="1"/>
    <col min="9477" max="9477" width="4.7109375" customWidth="1"/>
    <col min="9478" max="9478" width="32.42578125" customWidth="1"/>
    <col min="9479" max="9479" width="12" bestFit="1" customWidth="1"/>
    <col min="9480" max="9480" width="13.5703125" bestFit="1" customWidth="1"/>
    <col min="9481" max="9482" width="13.5703125" customWidth="1"/>
    <col min="9483" max="9483" width="11" customWidth="1"/>
    <col min="9727" max="9727" width="40" customWidth="1"/>
    <col min="9728" max="9728" width="12" bestFit="1" customWidth="1"/>
    <col min="9729" max="9731" width="10.42578125" customWidth="1"/>
    <col min="9732" max="9732" width="11" customWidth="1"/>
    <col min="9733" max="9733" width="4.7109375" customWidth="1"/>
    <col min="9734" max="9734" width="32.42578125" customWidth="1"/>
    <col min="9735" max="9735" width="12" bestFit="1" customWidth="1"/>
    <col min="9736" max="9736" width="13.5703125" bestFit="1" customWidth="1"/>
    <col min="9737" max="9738" width="13.5703125" customWidth="1"/>
    <col min="9739" max="9739" width="11" customWidth="1"/>
    <col min="9983" max="9983" width="40" customWidth="1"/>
    <col min="9984" max="9984" width="12" bestFit="1" customWidth="1"/>
    <col min="9985" max="9987" width="10.42578125" customWidth="1"/>
    <col min="9988" max="9988" width="11" customWidth="1"/>
    <col min="9989" max="9989" width="4.7109375" customWidth="1"/>
    <col min="9990" max="9990" width="32.42578125" customWidth="1"/>
    <col min="9991" max="9991" width="12" bestFit="1" customWidth="1"/>
    <col min="9992" max="9992" width="13.5703125" bestFit="1" customWidth="1"/>
    <col min="9993" max="9994" width="13.5703125" customWidth="1"/>
    <col min="9995" max="9995" width="11" customWidth="1"/>
    <col min="10239" max="10239" width="40" customWidth="1"/>
    <col min="10240" max="10240" width="12" bestFit="1" customWidth="1"/>
    <col min="10241" max="10243" width="10.42578125" customWidth="1"/>
    <col min="10244" max="10244" width="11" customWidth="1"/>
    <col min="10245" max="10245" width="4.7109375" customWidth="1"/>
    <col min="10246" max="10246" width="32.42578125" customWidth="1"/>
    <col min="10247" max="10247" width="12" bestFit="1" customWidth="1"/>
    <col min="10248" max="10248" width="13.5703125" bestFit="1" customWidth="1"/>
    <col min="10249" max="10250" width="13.5703125" customWidth="1"/>
    <col min="10251" max="10251" width="11" customWidth="1"/>
    <col min="10495" max="10495" width="40" customWidth="1"/>
    <col min="10496" max="10496" width="12" bestFit="1" customWidth="1"/>
    <col min="10497" max="10499" width="10.42578125" customWidth="1"/>
    <col min="10500" max="10500" width="11" customWidth="1"/>
    <col min="10501" max="10501" width="4.7109375" customWidth="1"/>
    <col min="10502" max="10502" width="32.42578125" customWidth="1"/>
    <col min="10503" max="10503" width="12" bestFit="1" customWidth="1"/>
    <col min="10504" max="10504" width="13.5703125" bestFit="1" customWidth="1"/>
    <col min="10505" max="10506" width="13.5703125" customWidth="1"/>
    <col min="10507" max="10507" width="11" customWidth="1"/>
    <col min="10751" max="10751" width="40" customWidth="1"/>
    <col min="10752" max="10752" width="12" bestFit="1" customWidth="1"/>
    <col min="10753" max="10755" width="10.42578125" customWidth="1"/>
    <col min="10756" max="10756" width="11" customWidth="1"/>
    <col min="10757" max="10757" width="4.7109375" customWidth="1"/>
    <col min="10758" max="10758" width="32.42578125" customWidth="1"/>
    <col min="10759" max="10759" width="12" bestFit="1" customWidth="1"/>
    <col min="10760" max="10760" width="13.5703125" bestFit="1" customWidth="1"/>
    <col min="10761" max="10762" width="13.5703125" customWidth="1"/>
    <col min="10763" max="10763" width="11" customWidth="1"/>
    <col min="11007" max="11007" width="40" customWidth="1"/>
    <col min="11008" max="11008" width="12" bestFit="1" customWidth="1"/>
    <col min="11009" max="11011" width="10.42578125" customWidth="1"/>
    <col min="11012" max="11012" width="11" customWidth="1"/>
    <col min="11013" max="11013" width="4.7109375" customWidth="1"/>
    <col min="11014" max="11014" width="32.42578125" customWidth="1"/>
    <col min="11015" max="11015" width="12" bestFit="1" customWidth="1"/>
    <col min="11016" max="11016" width="13.5703125" bestFit="1" customWidth="1"/>
    <col min="11017" max="11018" width="13.5703125" customWidth="1"/>
    <col min="11019" max="11019" width="11" customWidth="1"/>
    <col min="11263" max="11263" width="40" customWidth="1"/>
    <col min="11264" max="11264" width="12" bestFit="1" customWidth="1"/>
    <col min="11265" max="11267" width="10.42578125" customWidth="1"/>
    <col min="11268" max="11268" width="11" customWidth="1"/>
    <col min="11269" max="11269" width="4.7109375" customWidth="1"/>
    <col min="11270" max="11270" width="32.42578125" customWidth="1"/>
    <col min="11271" max="11271" width="12" bestFit="1" customWidth="1"/>
    <col min="11272" max="11272" width="13.5703125" bestFit="1" customWidth="1"/>
    <col min="11273" max="11274" width="13.5703125" customWidth="1"/>
    <col min="11275" max="11275" width="11" customWidth="1"/>
    <col min="11519" max="11519" width="40" customWidth="1"/>
    <col min="11520" max="11520" width="12" bestFit="1" customWidth="1"/>
    <col min="11521" max="11523" width="10.42578125" customWidth="1"/>
    <col min="11524" max="11524" width="11" customWidth="1"/>
    <col min="11525" max="11525" width="4.7109375" customWidth="1"/>
    <col min="11526" max="11526" width="32.42578125" customWidth="1"/>
    <col min="11527" max="11527" width="12" bestFit="1" customWidth="1"/>
    <col min="11528" max="11528" width="13.5703125" bestFit="1" customWidth="1"/>
    <col min="11529" max="11530" width="13.5703125" customWidth="1"/>
    <col min="11531" max="11531" width="11" customWidth="1"/>
    <col min="11775" max="11775" width="40" customWidth="1"/>
    <col min="11776" max="11776" width="12" bestFit="1" customWidth="1"/>
    <col min="11777" max="11779" width="10.42578125" customWidth="1"/>
    <col min="11780" max="11780" width="11" customWidth="1"/>
    <col min="11781" max="11781" width="4.7109375" customWidth="1"/>
    <col min="11782" max="11782" width="32.42578125" customWidth="1"/>
    <col min="11783" max="11783" width="12" bestFit="1" customWidth="1"/>
    <col min="11784" max="11784" width="13.5703125" bestFit="1" customWidth="1"/>
    <col min="11785" max="11786" width="13.5703125" customWidth="1"/>
    <col min="11787" max="11787" width="11" customWidth="1"/>
    <col min="12031" max="12031" width="40" customWidth="1"/>
    <col min="12032" max="12032" width="12" bestFit="1" customWidth="1"/>
    <col min="12033" max="12035" width="10.42578125" customWidth="1"/>
    <col min="12036" max="12036" width="11" customWidth="1"/>
    <col min="12037" max="12037" width="4.7109375" customWidth="1"/>
    <col min="12038" max="12038" width="32.42578125" customWidth="1"/>
    <col min="12039" max="12039" width="12" bestFit="1" customWidth="1"/>
    <col min="12040" max="12040" width="13.5703125" bestFit="1" customWidth="1"/>
    <col min="12041" max="12042" width="13.5703125" customWidth="1"/>
    <col min="12043" max="12043" width="11" customWidth="1"/>
    <col min="12287" max="12287" width="40" customWidth="1"/>
    <col min="12288" max="12288" width="12" bestFit="1" customWidth="1"/>
    <col min="12289" max="12291" width="10.42578125" customWidth="1"/>
    <col min="12292" max="12292" width="11" customWidth="1"/>
    <col min="12293" max="12293" width="4.7109375" customWidth="1"/>
    <col min="12294" max="12294" width="32.42578125" customWidth="1"/>
    <col min="12295" max="12295" width="12" bestFit="1" customWidth="1"/>
    <col min="12296" max="12296" width="13.5703125" bestFit="1" customWidth="1"/>
    <col min="12297" max="12298" width="13.5703125" customWidth="1"/>
    <col min="12299" max="12299" width="11" customWidth="1"/>
    <col min="12543" max="12543" width="40" customWidth="1"/>
    <col min="12544" max="12544" width="12" bestFit="1" customWidth="1"/>
    <col min="12545" max="12547" width="10.42578125" customWidth="1"/>
    <col min="12548" max="12548" width="11" customWidth="1"/>
    <col min="12549" max="12549" width="4.7109375" customWidth="1"/>
    <col min="12550" max="12550" width="32.42578125" customWidth="1"/>
    <col min="12551" max="12551" width="12" bestFit="1" customWidth="1"/>
    <col min="12552" max="12552" width="13.5703125" bestFit="1" customWidth="1"/>
    <col min="12553" max="12554" width="13.5703125" customWidth="1"/>
    <col min="12555" max="12555" width="11" customWidth="1"/>
    <col min="12799" max="12799" width="40" customWidth="1"/>
    <col min="12800" max="12800" width="12" bestFit="1" customWidth="1"/>
    <col min="12801" max="12803" width="10.42578125" customWidth="1"/>
    <col min="12804" max="12804" width="11" customWidth="1"/>
    <col min="12805" max="12805" width="4.7109375" customWidth="1"/>
    <col min="12806" max="12806" width="32.42578125" customWidth="1"/>
    <col min="12807" max="12807" width="12" bestFit="1" customWidth="1"/>
    <col min="12808" max="12808" width="13.5703125" bestFit="1" customWidth="1"/>
    <col min="12809" max="12810" width="13.5703125" customWidth="1"/>
    <col min="12811" max="12811" width="11" customWidth="1"/>
    <col min="13055" max="13055" width="40" customWidth="1"/>
    <col min="13056" max="13056" width="12" bestFit="1" customWidth="1"/>
    <col min="13057" max="13059" width="10.42578125" customWidth="1"/>
    <col min="13060" max="13060" width="11" customWidth="1"/>
    <col min="13061" max="13061" width="4.7109375" customWidth="1"/>
    <col min="13062" max="13062" width="32.42578125" customWidth="1"/>
    <col min="13063" max="13063" width="12" bestFit="1" customWidth="1"/>
    <col min="13064" max="13064" width="13.5703125" bestFit="1" customWidth="1"/>
    <col min="13065" max="13066" width="13.5703125" customWidth="1"/>
    <col min="13067" max="13067" width="11" customWidth="1"/>
    <col min="13311" max="13311" width="40" customWidth="1"/>
    <col min="13312" max="13312" width="12" bestFit="1" customWidth="1"/>
    <col min="13313" max="13315" width="10.42578125" customWidth="1"/>
    <col min="13316" max="13316" width="11" customWidth="1"/>
    <col min="13317" max="13317" width="4.7109375" customWidth="1"/>
    <col min="13318" max="13318" width="32.42578125" customWidth="1"/>
    <col min="13319" max="13319" width="12" bestFit="1" customWidth="1"/>
    <col min="13320" max="13320" width="13.5703125" bestFit="1" customWidth="1"/>
    <col min="13321" max="13322" width="13.5703125" customWidth="1"/>
    <col min="13323" max="13323" width="11" customWidth="1"/>
    <col min="13567" max="13567" width="40" customWidth="1"/>
    <col min="13568" max="13568" width="12" bestFit="1" customWidth="1"/>
    <col min="13569" max="13571" width="10.42578125" customWidth="1"/>
    <col min="13572" max="13572" width="11" customWidth="1"/>
    <col min="13573" max="13573" width="4.7109375" customWidth="1"/>
    <col min="13574" max="13574" width="32.42578125" customWidth="1"/>
    <col min="13575" max="13575" width="12" bestFit="1" customWidth="1"/>
    <col min="13576" max="13576" width="13.5703125" bestFit="1" customWidth="1"/>
    <col min="13577" max="13578" width="13.5703125" customWidth="1"/>
    <col min="13579" max="13579" width="11" customWidth="1"/>
    <col min="13823" max="13823" width="40" customWidth="1"/>
    <col min="13824" max="13824" width="12" bestFit="1" customWidth="1"/>
    <col min="13825" max="13827" width="10.42578125" customWidth="1"/>
    <col min="13828" max="13828" width="11" customWidth="1"/>
    <col min="13829" max="13829" width="4.7109375" customWidth="1"/>
    <col min="13830" max="13830" width="32.42578125" customWidth="1"/>
    <col min="13831" max="13831" width="12" bestFit="1" customWidth="1"/>
    <col min="13832" max="13832" width="13.5703125" bestFit="1" customWidth="1"/>
    <col min="13833" max="13834" width="13.5703125" customWidth="1"/>
    <col min="13835" max="13835" width="11" customWidth="1"/>
    <col min="14079" max="14079" width="40" customWidth="1"/>
    <col min="14080" max="14080" width="12" bestFit="1" customWidth="1"/>
    <col min="14081" max="14083" width="10.42578125" customWidth="1"/>
    <col min="14084" max="14084" width="11" customWidth="1"/>
    <col min="14085" max="14085" width="4.7109375" customWidth="1"/>
    <col min="14086" max="14086" width="32.42578125" customWidth="1"/>
    <col min="14087" max="14087" width="12" bestFit="1" customWidth="1"/>
    <col min="14088" max="14088" width="13.5703125" bestFit="1" customWidth="1"/>
    <col min="14089" max="14090" width="13.5703125" customWidth="1"/>
    <col min="14091" max="14091" width="11" customWidth="1"/>
    <col min="14335" max="14335" width="40" customWidth="1"/>
    <col min="14336" max="14336" width="12" bestFit="1" customWidth="1"/>
    <col min="14337" max="14339" width="10.42578125" customWidth="1"/>
    <col min="14340" max="14340" width="11" customWidth="1"/>
    <col min="14341" max="14341" width="4.7109375" customWidth="1"/>
    <col min="14342" max="14342" width="32.42578125" customWidth="1"/>
    <col min="14343" max="14343" width="12" bestFit="1" customWidth="1"/>
    <col min="14344" max="14344" width="13.5703125" bestFit="1" customWidth="1"/>
    <col min="14345" max="14346" width="13.5703125" customWidth="1"/>
    <col min="14347" max="14347" width="11" customWidth="1"/>
    <col min="14591" max="14591" width="40" customWidth="1"/>
    <col min="14592" max="14592" width="12" bestFit="1" customWidth="1"/>
    <col min="14593" max="14595" width="10.42578125" customWidth="1"/>
    <col min="14596" max="14596" width="11" customWidth="1"/>
    <col min="14597" max="14597" width="4.7109375" customWidth="1"/>
    <col min="14598" max="14598" width="32.42578125" customWidth="1"/>
    <col min="14599" max="14599" width="12" bestFit="1" customWidth="1"/>
    <col min="14600" max="14600" width="13.5703125" bestFit="1" customWidth="1"/>
    <col min="14601" max="14602" width="13.5703125" customWidth="1"/>
    <col min="14603" max="14603" width="11" customWidth="1"/>
    <col min="14847" max="14847" width="40" customWidth="1"/>
    <col min="14848" max="14848" width="12" bestFit="1" customWidth="1"/>
    <col min="14849" max="14851" width="10.42578125" customWidth="1"/>
    <col min="14852" max="14852" width="11" customWidth="1"/>
    <col min="14853" max="14853" width="4.7109375" customWidth="1"/>
    <col min="14854" max="14854" width="32.42578125" customWidth="1"/>
    <col min="14855" max="14855" width="12" bestFit="1" customWidth="1"/>
    <col min="14856" max="14856" width="13.5703125" bestFit="1" customWidth="1"/>
    <col min="14857" max="14858" width="13.5703125" customWidth="1"/>
    <col min="14859" max="14859" width="11" customWidth="1"/>
    <col min="15103" max="15103" width="40" customWidth="1"/>
    <col min="15104" max="15104" width="12" bestFit="1" customWidth="1"/>
    <col min="15105" max="15107" width="10.42578125" customWidth="1"/>
    <col min="15108" max="15108" width="11" customWidth="1"/>
    <col min="15109" max="15109" width="4.7109375" customWidth="1"/>
    <col min="15110" max="15110" width="32.42578125" customWidth="1"/>
    <col min="15111" max="15111" width="12" bestFit="1" customWidth="1"/>
    <col min="15112" max="15112" width="13.5703125" bestFit="1" customWidth="1"/>
    <col min="15113" max="15114" width="13.5703125" customWidth="1"/>
    <col min="15115" max="15115" width="11" customWidth="1"/>
    <col min="15359" max="15359" width="40" customWidth="1"/>
    <col min="15360" max="15360" width="12" bestFit="1" customWidth="1"/>
    <col min="15361" max="15363" width="10.42578125" customWidth="1"/>
    <col min="15364" max="15364" width="11" customWidth="1"/>
    <col min="15365" max="15365" width="4.7109375" customWidth="1"/>
    <col min="15366" max="15366" width="32.42578125" customWidth="1"/>
    <col min="15367" max="15367" width="12" bestFit="1" customWidth="1"/>
    <col min="15368" max="15368" width="13.5703125" bestFit="1" customWidth="1"/>
    <col min="15369" max="15370" width="13.5703125" customWidth="1"/>
    <col min="15371" max="15371" width="11" customWidth="1"/>
    <col min="15615" max="15615" width="40" customWidth="1"/>
    <col min="15616" max="15616" width="12" bestFit="1" customWidth="1"/>
    <col min="15617" max="15619" width="10.42578125" customWidth="1"/>
    <col min="15620" max="15620" width="11" customWidth="1"/>
    <col min="15621" max="15621" width="4.7109375" customWidth="1"/>
    <col min="15622" max="15622" width="32.42578125" customWidth="1"/>
    <col min="15623" max="15623" width="12" bestFit="1" customWidth="1"/>
    <col min="15624" max="15624" width="13.5703125" bestFit="1" customWidth="1"/>
    <col min="15625" max="15626" width="13.5703125" customWidth="1"/>
    <col min="15627" max="15627" width="11" customWidth="1"/>
    <col min="15871" max="15871" width="40" customWidth="1"/>
    <col min="15872" max="15872" width="12" bestFit="1" customWidth="1"/>
    <col min="15873" max="15875" width="10.42578125" customWidth="1"/>
    <col min="15876" max="15876" width="11" customWidth="1"/>
    <col min="15877" max="15877" width="4.7109375" customWidth="1"/>
    <col min="15878" max="15878" width="32.42578125" customWidth="1"/>
    <col min="15879" max="15879" width="12" bestFit="1" customWidth="1"/>
    <col min="15880" max="15880" width="13.5703125" bestFit="1" customWidth="1"/>
    <col min="15881" max="15882" width="13.5703125" customWidth="1"/>
    <col min="15883" max="15883" width="11" customWidth="1"/>
    <col min="16127" max="16127" width="40" customWidth="1"/>
    <col min="16128" max="16128" width="12" bestFit="1" customWidth="1"/>
    <col min="16129" max="16131" width="10.42578125" customWidth="1"/>
    <col min="16132" max="16132" width="11" customWidth="1"/>
    <col min="16133" max="16133" width="4.7109375" customWidth="1"/>
    <col min="16134" max="16134" width="32.42578125" customWidth="1"/>
    <col min="16135" max="16135" width="12" bestFit="1" customWidth="1"/>
    <col min="16136" max="16136" width="13.5703125" bestFit="1" customWidth="1"/>
    <col min="16137" max="16138" width="13.5703125" customWidth="1"/>
    <col min="16139" max="16139" width="11" customWidth="1"/>
  </cols>
  <sheetData>
    <row r="1" spans="1:15" ht="15.75" x14ac:dyDescent="0.25">
      <c r="A1" s="200"/>
      <c r="B1" s="201"/>
      <c r="C1" s="201"/>
      <c r="D1" s="201"/>
      <c r="E1" s="201"/>
      <c r="F1" s="201"/>
      <c r="G1" s="202"/>
      <c r="H1" s="201"/>
      <c r="I1" s="201"/>
      <c r="J1" s="201"/>
      <c r="K1" s="110" t="s">
        <v>972</v>
      </c>
    </row>
    <row r="2" spans="1:15" ht="15.75" x14ac:dyDescent="0.25">
      <c r="A2" s="203"/>
      <c r="B2" s="204"/>
      <c r="C2" s="204"/>
      <c r="D2" s="204"/>
      <c r="E2" s="204"/>
      <c r="F2" s="204"/>
      <c r="G2" s="202"/>
      <c r="H2" s="201"/>
      <c r="I2" s="201"/>
      <c r="J2" s="201"/>
      <c r="K2" s="201"/>
    </row>
    <row r="3" spans="1:15" x14ac:dyDescent="0.2">
      <c r="A3" s="526" t="s">
        <v>388</v>
      </c>
      <c r="B3" s="527"/>
      <c r="C3" s="527"/>
      <c r="D3" s="527"/>
      <c r="E3" s="527"/>
      <c r="F3" s="527"/>
      <c r="G3" s="527"/>
      <c r="H3" s="527"/>
      <c r="I3" s="527"/>
      <c r="J3" s="527"/>
      <c r="K3" s="527"/>
    </row>
    <row r="4" spans="1:15" x14ac:dyDescent="0.2">
      <c r="A4" s="528" t="s">
        <v>424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</row>
    <row r="5" spans="1:15" x14ac:dyDescent="0.2">
      <c r="A5" s="205"/>
      <c r="B5" s="206"/>
      <c r="C5" s="206"/>
      <c r="D5" s="206"/>
      <c r="E5" s="206"/>
      <c r="F5" s="206"/>
      <c r="G5" s="205"/>
      <c r="H5" s="207"/>
      <c r="I5" s="207"/>
      <c r="J5" s="207"/>
      <c r="K5" s="207"/>
    </row>
    <row r="6" spans="1:15" x14ac:dyDescent="0.2">
      <c r="A6" s="208" t="s">
        <v>389</v>
      </c>
      <c r="B6" s="209"/>
      <c r="C6" s="209"/>
      <c r="D6" s="209"/>
      <c r="E6" s="209"/>
      <c r="F6" s="206"/>
      <c r="G6" s="208" t="s">
        <v>390</v>
      </c>
      <c r="H6" s="207"/>
      <c r="I6" s="207"/>
      <c r="J6" s="207"/>
      <c r="K6" s="207"/>
    </row>
    <row r="7" spans="1:15" x14ac:dyDescent="0.2">
      <c r="A7" s="210"/>
      <c r="B7" s="211" t="s">
        <v>423</v>
      </c>
      <c r="C7" s="211" t="s">
        <v>426</v>
      </c>
      <c r="D7" s="211" t="s">
        <v>427</v>
      </c>
      <c r="E7" s="211" t="s">
        <v>1017</v>
      </c>
      <c r="F7" s="212"/>
      <c r="G7" s="210"/>
      <c r="H7" s="211" t="s">
        <v>423</v>
      </c>
      <c r="I7" s="211" t="s">
        <v>426</v>
      </c>
      <c r="J7" s="211" t="s">
        <v>427</v>
      </c>
      <c r="K7" s="211" t="s">
        <v>1017</v>
      </c>
      <c r="L7" s="213"/>
    </row>
    <row r="8" spans="1:15" x14ac:dyDescent="0.2">
      <c r="A8" s="208"/>
      <c r="B8" s="214" t="s">
        <v>50</v>
      </c>
      <c r="C8" s="214" t="s">
        <v>50</v>
      </c>
      <c r="D8" s="214" t="s">
        <v>50</v>
      </c>
      <c r="E8" s="214" t="s">
        <v>50</v>
      </c>
      <c r="F8" s="215"/>
      <c r="G8" s="216"/>
      <c r="H8" s="214" t="s">
        <v>50</v>
      </c>
      <c r="I8" s="214" t="s">
        <v>50</v>
      </c>
      <c r="J8" s="214" t="s">
        <v>50</v>
      </c>
      <c r="K8" s="214" t="s">
        <v>50</v>
      </c>
      <c r="L8" s="213"/>
    </row>
    <row r="9" spans="1:15" x14ac:dyDescent="0.2">
      <c r="A9" s="205" t="s">
        <v>391</v>
      </c>
      <c r="B9" s="217">
        <v>178695</v>
      </c>
      <c r="C9" s="217">
        <v>175641</v>
      </c>
      <c r="D9" s="217">
        <v>172599</v>
      </c>
      <c r="E9" s="217">
        <v>180362</v>
      </c>
      <c r="F9" s="217"/>
      <c r="G9" s="205" t="s">
        <v>47</v>
      </c>
      <c r="H9" s="218">
        <v>633278</v>
      </c>
      <c r="I9" s="218">
        <v>670371</v>
      </c>
      <c r="J9" s="218">
        <v>660659</v>
      </c>
      <c r="K9" s="218">
        <v>665357</v>
      </c>
      <c r="L9" s="218"/>
      <c r="M9" s="218"/>
      <c r="N9" s="218"/>
      <c r="O9" s="218"/>
    </row>
    <row r="10" spans="1:15" x14ac:dyDescent="0.2">
      <c r="A10" s="205" t="s">
        <v>97</v>
      </c>
      <c r="B10" s="217">
        <v>657712</v>
      </c>
      <c r="C10" s="217">
        <v>793517</v>
      </c>
      <c r="D10" s="217">
        <v>805300</v>
      </c>
      <c r="E10" s="217">
        <v>805300</v>
      </c>
      <c r="F10" s="217"/>
      <c r="G10" s="205" t="s">
        <v>392</v>
      </c>
      <c r="H10" s="218">
        <v>165081</v>
      </c>
      <c r="I10" s="218">
        <v>177598</v>
      </c>
      <c r="J10" s="218">
        <v>142969</v>
      </c>
      <c r="K10" s="218">
        <v>144031</v>
      </c>
      <c r="L10" s="218"/>
      <c r="M10" s="218"/>
      <c r="N10" s="218"/>
      <c r="O10" s="218"/>
    </row>
    <row r="11" spans="1:15" x14ac:dyDescent="0.2">
      <c r="A11" s="205" t="s">
        <v>393</v>
      </c>
      <c r="B11" s="217">
        <v>1248932</v>
      </c>
      <c r="C11" s="217">
        <v>1213595</v>
      </c>
      <c r="D11" s="217">
        <v>1070294</v>
      </c>
      <c r="E11" s="217">
        <v>1086441</v>
      </c>
      <c r="F11" s="217"/>
      <c r="G11" s="205" t="s">
        <v>394</v>
      </c>
      <c r="H11" s="218">
        <v>861737</v>
      </c>
      <c r="I11" s="218">
        <v>864767</v>
      </c>
      <c r="J11" s="218">
        <v>890699</v>
      </c>
      <c r="K11" s="218">
        <v>892598</v>
      </c>
      <c r="L11" s="218"/>
      <c r="M11" s="218"/>
      <c r="N11" s="218"/>
      <c r="O11" s="218"/>
    </row>
    <row r="12" spans="1:15" x14ac:dyDescent="0.2">
      <c r="A12" s="205" t="s">
        <v>395</v>
      </c>
      <c r="B12" s="217">
        <v>161090</v>
      </c>
      <c r="C12" s="217">
        <v>148383</v>
      </c>
      <c r="D12" s="217">
        <v>92550</v>
      </c>
      <c r="E12" s="217">
        <v>94942</v>
      </c>
      <c r="F12" s="217"/>
      <c r="G12" s="205" t="s">
        <v>396</v>
      </c>
      <c r="H12" s="218">
        <v>682740</v>
      </c>
      <c r="I12" s="218">
        <v>730705</v>
      </c>
      <c r="J12" s="218">
        <v>485054</v>
      </c>
      <c r="K12" s="218">
        <v>507768</v>
      </c>
      <c r="L12" s="218"/>
      <c r="M12" s="218"/>
      <c r="N12" s="218"/>
      <c r="O12" s="218"/>
    </row>
    <row r="13" spans="1:15" ht="24" x14ac:dyDescent="0.2">
      <c r="A13" s="205" t="s">
        <v>397</v>
      </c>
      <c r="B13" s="217">
        <v>1938</v>
      </c>
      <c r="C13" s="217">
        <v>6410</v>
      </c>
      <c r="D13" s="217">
        <v>6283</v>
      </c>
      <c r="E13" s="217">
        <v>6283</v>
      </c>
      <c r="F13" s="217"/>
      <c r="G13" s="205" t="s">
        <v>82</v>
      </c>
      <c r="H13" s="218">
        <v>58816</v>
      </c>
      <c r="I13" s="218">
        <v>35289</v>
      </c>
      <c r="J13" s="218">
        <v>38150</v>
      </c>
      <c r="K13" s="218">
        <v>38150</v>
      </c>
      <c r="L13" s="218"/>
      <c r="M13" s="218"/>
      <c r="N13" s="218"/>
      <c r="O13" s="218"/>
    </row>
    <row r="14" spans="1:15" x14ac:dyDescent="0.2">
      <c r="A14" s="205" t="s">
        <v>398</v>
      </c>
      <c r="B14" s="217">
        <v>70418</v>
      </c>
      <c r="C14" s="217">
        <v>27300</v>
      </c>
      <c r="D14" s="217">
        <v>2300</v>
      </c>
      <c r="E14" s="217">
        <v>2300</v>
      </c>
      <c r="F14" s="217"/>
      <c r="G14" s="205" t="s">
        <v>399</v>
      </c>
      <c r="H14" s="218">
        <v>18000</v>
      </c>
      <c r="I14" s="218">
        <v>1050853</v>
      </c>
      <c r="J14" s="218">
        <v>0</v>
      </c>
      <c r="K14" s="218">
        <v>324947</v>
      </c>
      <c r="L14" s="218"/>
      <c r="M14" s="218"/>
      <c r="N14" s="218"/>
      <c r="O14" s="218"/>
    </row>
    <row r="15" spans="1:15" x14ac:dyDescent="0.2">
      <c r="A15" s="219" t="s">
        <v>400</v>
      </c>
      <c r="B15" s="217">
        <v>18688</v>
      </c>
      <c r="C15" s="217">
        <v>42817</v>
      </c>
      <c r="D15" s="217">
        <v>67177</v>
      </c>
      <c r="E15" s="217">
        <v>68288</v>
      </c>
      <c r="F15" s="217"/>
      <c r="G15" s="205" t="s">
        <v>401</v>
      </c>
      <c r="H15" s="218">
        <v>6482</v>
      </c>
      <c r="I15" s="218">
        <v>7453</v>
      </c>
      <c r="J15" s="218">
        <v>7000</v>
      </c>
      <c r="K15" s="218">
        <v>7000</v>
      </c>
      <c r="L15" s="218"/>
      <c r="M15" s="218"/>
      <c r="N15" s="218"/>
      <c r="O15" s="218"/>
    </row>
    <row r="16" spans="1:15" x14ac:dyDescent="0.2">
      <c r="A16" s="205" t="s">
        <v>402</v>
      </c>
      <c r="B16" s="217">
        <v>18000</v>
      </c>
      <c r="C16" s="217">
        <v>1050853</v>
      </c>
      <c r="D16" s="217">
        <v>0</v>
      </c>
      <c r="E16" s="217">
        <v>324947</v>
      </c>
      <c r="F16" s="217"/>
      <c r="G16" s="205" t="s">
        <v>403</v>
      </c>
      <c r="H16" s="218">
        <v>0</v>
      </c>
      <c r="I16" s="218">
        <v>26400</v>
      </c>
      <c r="J16" s="218">
        <v>1400</v>
      </c>
      <c r="K16" s="218">
        <v>1400</v>
      </c>
      <c r="L16" s="218"/>
      <c r="M16" s="218"/>
      <c r="N16" s="218"/>
      <c r="O16" s="218"/>
    </row>
    <row r="17" spans="1:15" x14ac:dyDescent="0.2">
      <c r="A17" s="205" t="s">
        <v>404</v>
      </c>
      <c r="B17" s="217">
        <v>40547</v>
      </c>
      <c r="C17" s="217">
        <v>39627</v>
      </c>
      <c r="D17" s="217">
        <v>0</v>
      </c>
      <c r="E17" s="217">
        <v>0</v>
      </c>
      <c r="F17" s="217"/>
      <c r="G17" s="205" t="s">
        <v>405</v>
      </c>
      <c r="H17" s="218">
        <v>0</v>
      </c>
      <c r="I17" s="218">
        <v>22453</v>
      </c>
      <c r="J17" s="218">
        <v>29168</v>
      </c>
      <c r="K17" s="218">
        <v>16918</v>
      </c>
      <c r="L17" s="218"/>
      <c r="M17" s="218"/>
      <c r="N17" s="218"/>
      <c r="O17" s="218"/>
    </row>
    <row r="18" spans="1:15" ht="24" x14ac:dyDescent="0.2">
      <c r="A18" s="213"/>
      <c r="B18" s="213"/>
      <c r="C18" s="213"/>
      <c r="D18" s="213"/>
      <c r="E18" s="213"/>
      <c r="F18" s="217"/>
      <c r="G18" s="220" t="s">
        <v>425</v>
      </c>
      <c r="H18" s="207">
        <v>38567</v>
      </c>
      <c r="I18" s="207">
        <v>40547</v>
      </c>
      <c r="J18" s="218">
        <v>39627</v>
      </c>
      <c r="K18" s="218">
        <v>39627</v>
      </c>
      <c r="L18" s="218"/>
      <c r="M18" s="218"/>
      <c r="N18" s="218"/>
      <c r="O18" s="218"/>
    </row>
    <row r="19" spans="1:15" x14ac:dyDescent="0.2">
      <c r="A19" s="221"/>
      <c r="B19" s="207"/>
      <c r="C19" s="217"/>
      <c r="D19" s="217"/>
      <c r="E19" s="217"/>
      <c r="F19" s="217"/>
      <c r="G19" s="220"/>
      <c r="H19" s="218"/>
      <c r="I19" s="218"/>
      <c r="J19" s="218"/>
      <c r="K19" s="218"/>
      <c r="L19" s="218"/>
      <c r="M19" s="218"/>
      <c r="N19" s="218"/>
      <c r="O19" s="218"/>
    </row>
    <row r="20" spans="1:15" x14ac:dyDescent="0.2">
      <c r="A20" s="208" t="s">
        <v>406</v>
      </c>
      <c r="B20" s="222">
        <f>SUM(B9:B19)</f>
        <v>2396020</v>
      </c>
      <c r="C20" s="222">
        <f>SUM(C9:C19)</f>
        <v>3498143</v>
      </c>
      <c r="D20" s="222">
        <f>SUM(D9:D19)</f>
        <v>2216503</v>
      </c>
      <c r="E20" s="222">
        <f>SUM(E9:E19)</f>
        <v>2568863</v>
      </c>
      <c r="F20" s="223"/>
      <c r="G20" s="208" t="s">
        <v>407</v>
      </c>
      <c r="H20" s="224">
        <f>SUM(H9:H19)</f>
        <v>2464701</v>
      </c>
      <c r="I20" s="224">
        <f>SUM(I9:I19)</f>
        <v>3626436</v>
      </c>
      <c r="J20" s="224">
        <f>SUM(J9:J19)</f>
        <v>2294726</v>
      </c>
      <c r="K20" s="224">
        <f>SUM(K9:K19)</f>
        <v>2637796</v>
      </c>
      <c r="L20" s="218"/>
      <c r="M20" s="218"/>
      <c r="N20" s="218"/>
      <c r="O20" s="218"/>
    </row>
    <row r="21" spans="1:15" x14ac:dyDescent="0.2">
      <c r="A21" s="221"/>
      <c r="B21" s="207"/>
      <c r="C21" s="222"/>
      <c r="D21" s="222"/>
      <c r="E21" s="222"/>
      <c r="F21" s="222"/>
      <c r="G21" s="205"/>
      <c r="H21" s="218"/>
      <c r="I21" s="218"/>
      <c r="J21" s="218"/>
      <c r="K21" s="218"/>
      <c r="L21" s="218"/>
      <c r="M21" s="218"/>
      <c r="N21" s="218"/>
      <c r="O21" s="218"/>
    </row>
    <row r="22" spans="1:15" x14ac:dyDescent="0.2">
      <c r="A22" s="205" t="s">
        <v>112</v>
      </c>
      <c r="B22" s="217">
        <v>66970</v>
      </c>
      <c r="C22" s="218">
        <v>257481</v>
      </c>
      <c r="D22" s="218">
        <v>292663</v>
      </c>
      <c r="E22" s="218">
        <v>309830</v>
      </c>
      <c r="F22" s="207"/>
      <c r="G22" s="205" t="s">
        <v>84</v>
      </c>
      <c r="H22" s="218">
        <v>123261</v>
      </c>
      <c r="I22" s="218">
        <v>125345</v>
      </c>
      <c r="J22" s="218">
        <v>162063</v>
      </c>
      <c r="K22" s="218">
        <v>417600</v>
      </c>
      <c r="L22" s="218"/>
      <c r="M22" s="218"/>
      <c r="N22" s="218"/>
      <c r="O22" s="218"/>
    </row>
    <row r="23" spans="1:15" x14ac:dyDescent="0.2">
      <c r="A23" s="205" t="s">
        <v>408</v>
      </c>
      <c r="B23" s="217">
        <v>126690</v>
      </c>
      <c r="C23" s="217">
        <v>567</v>
      </c>
      <c r="D23" s="217">
        <v>0</v>
      </c>
      <c r="E23" s="217">
        <v>0</v>
      </c>
      <c r="F23" s="217"/>
      <c r="G23" s="205" t="s">
        <v>45</v>
      </c>
      <c r="H23" s="218">
        <v>160707</v>
      </c>
      <c r="I23" s="218">
        <v>273393</v>
      </c>
      <c r="J23" s="218">
        <v>151172</v>
      </c>
      <c r="K23" s="218">
        <v>167414</v>
      </c>
      <c r="L23" s="218"/>
      <c r="M23" s="218"/>
      <c r="N23" s="218"/>
      <c r="O23" s="218"/>
    </row>
    <row r="24" spans="1:15" x14ac:dyDescent="0.2">
      <c r="A24" s="205" t="s">
        <v>409</v>
      </c>
      <c r="B24" s="217">
        <v>3110</v>
      </c>
      <c r="C24" s="217">
        <v>13254</v>
      </c>
      <c r="D24" s="217">
        <v>13016</v>
      </c>
      <c r="E24" s="217">
        <v>16870</v>
      </c>
      <c r="F24" s="217"/>
      <c r="G24" s="225" t="s">
        <v>431</v>
      </c>
      <c r="H24" s="218">
        <v>104690</v>
      </c>
      <c r="I24" s="218">
        <v>24437</v>
      </c>
      <c r="J24" s="218">
        <v>20663</v>
      </c>
      <c r="K24" s="218">
        <v>24253</v>
      </c>
      <c r="L24" s="218"/>
      <c r="M24" s="218"/>
      <c r="N24" s="218"/>
      <c r="O24" s="218"/>
    </row>
    <row r="25" spans="1:15" x14ac:dyDescent="0.2">
      <c r="A25" s="205" t="s">
        <v>411</v>
      </c>
      <c r="B25" s="226">
        <v>261590</v>
      </c>
      <c r="C25" s="226">
        <v>70873</v>
      </c>
      <c r="D25" s="226">
        <v>47866</v>
      </c>
      <c r="E25" s="226">
        <v>47866</v>
      </c>
      <c r="F25" s="226"/>
      <c r="G25" s="205" t="s">
        <v>412</v>
      </c>
      <c r="H25" s="218">
        <v>8000</v>
      </c>
      <c r="I25" s="218">
        <v>0</v>
      </c>
      <c r="J25" s="218">
        <v>17109</v>
      </c>
      <c r="K25" s="218">
        <v>17109</v>
      </c>
      <c r="L25" s="218"/>
      <c r="M25" s="218"/>
      <c r="N25" s="218"/>
      <c r="O25" s="218"/>
    </row>
    <row r="26" spans="1:15" x14ac:dyDescent="0.2">
      <c r="A26" s="219" t="s">
        <v>413</v>
      </c>
      <c r="B26" s="217">
        <v>8607</v>
      </c>
      <c r="C26" s="217">
        <v>40489</v>
      </c>
      <c r="D26" s="217">
        <v>1025</v>
      </c>
      <c r="E26" s="217">
        <v>1025</v>
      </c>
      <c r="F26" s="217"/>
      <c r="G26" s="205" t="s">
        <v>414</v>
      </c>
      <c r="H26" s="218">
        <v>0</v>
      </c>
      <c r="I26" s="218">
        <v>106</v>
      </c>
      <c r="J26" s="218">
        <v>3600</v>
      </c>
      <c r="K26" s="218">
        <v>3600</v>
      </c>
      <c r="L26" s="218"/>
      <c r="M26" s="218"/>
      <c r="N26" s="218"/>
      <c r="O26" s="218"/>
    </row>
    <row r="27" spans="1:15" x14ac:dyDescent="0.2">
      <c r="A27" s="205" t="s">
        <v>415</v>
      </c>
      <c r="B27" s="217">
        <v>291952</v>
      </c>
      <c r="C27" s="217">
        <v>250769</v>
      </c>
      <c r="D27" s="217">
        <v>310851</v>
      </c>
      <c r="E27" s="217">
        <v>310851</v>
      </c>
      <c r="F27" s="217"/>
      <c r="G27" s="205" t="s">
        <v>416</v>
      </c>
      <c r="H27" s="218">
        <v>0</v>
      </c>
      <c r="I27" s="218">
        <v>166459</v>
      </c>
      <c r="J27" s="218">
        <v>270302</v>
      </c>
      <c r="K27" s="218">
        <v>275244</v>
      </c>
      <c r="L27" s="218"/>
      <c r="M27" s="218"/>
      <c r="N27" s="218"/>
      <c r="O27" s="218"/>
    </row>
    <row r="28" spans="1:15" x14ac:dyDescent="0.2">
      <c r="A28" s="205" t="s">
        <v>417</v>
      </c>
      <c r="B28" s="227">
        <v>0</v>
      </c>
      <c r="C28" s="217">
        <v>89160</v>
      </c>
      <c r="D28" s="217">
        <v>40751</v>
      </c>
      <c r="E28" s="217">
        <v>290751</v>
      </c>
      <c r="F28" s="217"/>
      <c r="G28" s="205" t="s">
        <v>418</v>
      </c>
      <c r="H28" s="218">
        <v>0</v>
      </c>
      <c r="I28" s="218">
        <v>4560</v>
      </c>
      <c r="J28" s="218">
        <v>3040</v>
      </c>
      <c r="K28" s="218">
        <v>3040</v>
      </c>
      <c r="L28" s="218"/>
      <c r="M28" s="218"/>
      <c r="N28" s="218"/>
      <c r="O28" s="218"/>
    </row>
    <row r="29" spans="1:15" x14ac:dyDescent="0.2">
      <c r="A29" s="219"/>
      <c r="B29" s="227"/>
      <c r="C29" s="217"/>
      <c r="D29" s="217"/>
      <c r="E29" s="217"/>
      <c r="F29" s="217"/>
      <c r="G29" s="220"/>
      <c r="H29" s="218"/>
      <c r="I29" s="218"/>
      <c r="J29" s="218"/>
      <c r="K29" s="218"/>
      <c r="L29" s="218"/>
      <c r="M29" s="218"/>
      <c r="N29" s="218"/>
      <c r="O29" s="218"/>
    </row>
    <row r="30" spans="1:15" x14ac:dyDescent="0.2">
      <c r="A30" s="208" t="s">
        <v>419</v>
      </c>
      <c r="B30" s="222">
        <f>SUM(B22:B29)</f>
        <v>758919</v>
      </c>
      <c r="C30" s="222">
        <f>SUM(C22:C29)</f>
        <v>722593</v>
      </c>
      <c r="D30" s="222">
        <f>SUM(D22:D29)</f>
        <v>706172</v>
      </c>
      <c r="E30" s="222">
        <f>SUM(E22:E29)</f>
        <v>977193</v>
      </c>
      <c r="F30" s="222"/>
      <c r="G30" s="208" t="s">
        <v>420</v>
      </c>
      <c r="H30" s="224">
        <f>SUM(H22:H29)</f>
        <v>396658</v>
      </c>
      <c r="I30" s="224">
        <f>SUM(I22:I29)</f>
        <v>594300</v>
      </c>
      <c r="J30" s="224">
        <f>SUM(J22:J29)</f>
        <v>627949</v>
      </c>
      <c r="K30" s="224">
        <f>SUM(K22:K29)</f>
        <v>908260</v>
      </c>
      <c r="L30" s="218"/>
      <c r="M30" s="218"/>
      <c r="N30" s="218"/>
      <c r="O30" s="218"/>
    </row>
    <row r="31" spans="1:15" x14ac:dyDescent="0.2">
      <c r="A31" s="208"/>
      <c r="B31" s="222"/>
      <c r="C31" s="222"/>
      <c r="D31" s="222"/>
      <c r="E31" s="222"/>
      <c r="F31" s="222"/>
      <c r="G31" s="208"/>
      <c r="H31" s="224"/>
      <c r="I31" s="224"/>
      <c r="J31" s="224"/>
      <c r="K31" s="224"/>
      <c r="L31" s="218"/>
      <c r="M31" s="218"/>
      <c r="N31" s="218"/>
      <c r="O31" s="218"/>
    </row>
    <row r="32" spans="1:15" x14ac:dyDescent="0.2">
      <c r="A32" s="208"/>
      <c r="B32" s="222"/>
      <c r="C32" s="222"/>
      <c r="D32" s="222"/>
      <c r="E32" s="222"/>
      <c r="F32" s="222"/>
      <c r="G32" s="208"/>
      <c r="H32" s="218"/>
      <c r="I32" s="218"/>
      <c r="J32" s="218"/>
      <c r="K32" s="218"/>
      <c r="L32" s="218"/>
      <c r="M32" s="218"/>
      <c r="N32" s="218"/>
      <c r="O32" s="218"/>
    </row>
    <row r="33" spans="1:15" x14ac:dyDescent="0.2">
      <c r="A33" s="228" t="s">
        <v>421</v>
      </c>
      <c r="B33" s="229">
        <f>SUM(B30,B20)</f>
        <v>3154939</v>
      </c>
      <c r="C33" s="229">
        <f>SUM(C30,C20)</f>
        <v>4220736</v>
      </c>
      <c r="D33" s="229">
        <f>SUM(D30,D20)</f>
        <v>2922675</v>
      </c>
      <c r="E33" s="229">
        <f>SUM(E30,E20)</f>
        <v>3546056</v>
      </c>
      <c r="F33" s="229"/>
      <c r="G33" s="228" t="s">
        <v>422</v>
      </c>
      <c r="H33" s="229">
        <f>SUM(H30,H20)</f>
        <v>2861359</v>
      </c>
      <c r="I33" s="229">
        <f>SUM(I30,I20)</f>
        <v>4220736</v>
      </c>
      <c r="J33" s="229">
        <f>SUM(J30,J20)</f>
        <v>2922675</v>
      </c>
      <c r="K33" s="229">
        <f>SUM(K30,K20)</f>
        <v>3546056</v>
      </c>
      <c r="L33" s="218"/>
      <c r="M33" s="218"/>
      <c r="N33" s="218"/>
      <c r="O33" s="218"/>
    </row>
    <row r="34" spans="1:15" x14ac:dyDescent="0.2">
      <c r="A34" s="213"/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</row>
    <row r="35" spans="1:15" x14ac:dyDescent="0.2">
      <c r="A35" s="213"/>
      <c r="B35" s="213"/>
      <c r="C35" s="213"/>
      <c r="D35" s="213"/>
      <c r="E35" s="213"/>
      <c r="F35" s="213"/>
      <c r="G35" s="213"/>
      <c r="H35" s="213"/>
      <c r="I35" s="213"/>
      <c r="J35" s="213"/>
      <c r="K35" s="213"/>
    </row>
    <row r="36" spans="1:15" x14ac:dyDescent="0.2">
      <c r="A36" s="213"/>
      <c r="B36" s="213"/>
      <c r="C36" s="213"/>
      <c r="D36" s="213"/>
      <c r="E36" s="213"/>
      <c r="F36" s="213"/>
      <c r="G36" s="213"/>
      <c r="H36" s="213"/>
      <c r="I36" s="213"/>
      <c r="J36" s="213"/>
      <c r="K36" s="213"/>
    </row>
  </sheetData>
  <mergeCells count="2">
    <mergeCell ref="A3:K3"/>
    <mergeCell ref="A4:K4"/>
  </mergeCells>
  <pageMargins left="0.7" right="0.7" top="0.75" bottom="0.75" header="0.3" footer="0.3"/>
  <pageSetup paperSize="9" scale="8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view="pageBreakPreview" zoomScaleNormal="100" zoomScaleSheetLayoutView="100" workbookViewId="0"/>
  </sheetViews>
  <sheetFormatPr defaultRowHeight="12.75" x14ac:dyDescent="0.2"/>
  <cols>
    <col min="1" max="1" width="6.42578125" style="232" customWidth="1"/>
    <col min="2" max="2" width="30.7109375" style="233" customWidth="1"/>
    <col min="3" max="4" width="11.5703125" style="232" customWidth="1"/>
    <col min="5" max="10" width="9.85546875" style="232" bestFit="1" customWidth="1"/>
    <col min="11" max="12" width="8.7109375" style="232" customWidth="1"/>
    <col min="13" max="13" width="10.7109375" style="232" customWidth="1"/>
    <col min="14" max="14" width="34.7109375" style="232" customWidth="1"/>
    <col min="15" max="16" width="11.28515625" style="235" customWidth="1"/>
    <col min="17" max="17" width="11.85546875" style="235" customWidth="1"/>
    <col min="18" max="20" width="11.28515625" style="235" customWidth="1"/>
    <col min="21" max="21" width="11.85546875" style="232" customWidth="1"/>
    <col min="22" max="256" width="9.140625" style="232"/>
    <col min="257" max="257" width="6.42578125" style="232" customWidth="1"/>
    <col min="258" max="258" width="30.7109375" style="232" customWidth="1"/>
    <col min="259" max="260" width="11.5703125" style="232" customWidth="1"/>
    <col min="261" max="262" width="8.7109375" style="232" customWidth="1"/>
    <col min="263" max="266" width="9.85546875" style="232" bestFit="1" customWidth="1"/>
    <col min="267" max="268" width="8.7109375" style="232" customWidth="1"/>
    <col min="269" max="269" width="10.7109375" style="232" customWidth="1"/>
    <col min="270" max="270" width="34.7109375" style="232" customWidth="1"/>
    <col min="271" max="272" width="11.28515625" style="232" customWidth="1"/>
    <col min="273" max="273" width="11.85546875" style="232" customWidth="1"/>
    <col min="274" max="276" width="11.28515625" style="232" customWidth="1"/>
    <col min="277" max="277" width="11.85546875" style="232" customWidth="1"/>
    <col min="278" max="512" width="9.140625" style="232"/>
    <col min="513" max="513" width="6.42578125" style="232" customWidth="1"/>
    <col min="514" max="514" width="30.7109375" style="232" customWidth="1"/>
    <col min="515" max="516" width="11.5703125" style="232" customWidth="1"/>
    <col min="517" max="518" width="8.7109375" style="232" customWidth="1"/>
    <col min="519" max="522" width="9.85546875" style="232" bestFit="1" customWidth="1"/>
    <col min="523" max="524" width="8.7109375" style="232" customWidth="1"/>
    <col min="525" max="525" width="10.7109375" style="232" customWidth="1"/>
    <col min="526" max="526" width="34.7109375" style="232" customWidth="1"/>
    <col min="527" max="528" width="11.28515625" style="232" customWidth="1"/>
    <col min="529" max="529" width="11.85546875" style="232" customWidth="1"/>
    <col min="530" max="532" width="11.28515625" style="232" customWidth="1"/>
    <col min="533" max="533" width="11.85546875" style="232" customWidth="1"/>
    <col min="534" max="768" width="9.140625" style="232"/>
    <col min="769" max="769" width="6.42578125" style="232" customWidth="1"/>
    <col min="770" max="770" width="30.7109375" style="232" customWidth="1"/>
    <col min="771" max="772" width="11.5703125" style="232" customWidth="1"/>
    <col min="773" max="774" width="8.7109375" style="232" customWidth="1"/>
    <col min="775" max="778" width="9.85546875" style="232" bestFit="1" customWidth="1"/>
    <col min="779" max="780" width="8.7109375" style="232" customWidth="1"/>
    <col min="781" max="781" width="10.7109375" style="232" customWidth="1"/>
    <col min="782" max="782" width="34.7109375" style="232" customWidth="1"/>
    <col min="783" max="784" width="11.28515625" style="232" customWidth="1"/>
    <col min="785" max="785" width="11.85546875" style="232" customWidth="1"/>
    <col min="786" max="788" width="11.28515625" style="232" customWidth="1"/>
    <col min="789" max="789" width="11.85546875" style="232" customWidth="1"/>
    <col min="790" max="1024" width="9.140625" style="232"/>
    <col min="1025" max="1025" width="6.42578125" style="232" customWidth="1"/>
    <col min="1026" max="1026" width="30.7109375" style="232" customWidth="1"/>
    <col min="1027" max="1028" width="11.5703125" style="232" customWidth="1"/>
    <col min="1029" max="1030" width="8.7109375" style="232" customWidth="1"/>
    <col min="1031" max="1034" width="9.85546875" style="232" bestFit="1" customWidth="1"/>
    <col min="1035" max="1036" width="8.7109375" style="232" customWidth="1"/>
    <col min="1037" max="1037" width="10.7109375" style="232" customWidth="1"/>
    <col min="1038" max="1038" width="34.7109375" style="232" customWidth="1"/>
    <col min="1039" max="1040" width="11.28515625" style="232" customWidth="1"/>
    <col min="1041" max="1041" width="11.85546875" style="232" customWidth="1"/>
    <col min="1042" max="1044" width="11.28515625" style="232" customWidth="1"/>
    <col min="1045" max="1045" width="11.85546875" style="232" customWidth="1"/>
    <col min="1046" max="1280" width="9.140625" style="232"/>
    <col min="1281" max="1281" width="6.42578125" style="232" customWidth="1"/>
    <col min="1282" max="1282" width="30.7109375" style="232" customWidth="1"/>
    <col min="1283" max="1284" width="11.5703125" style="232" customWidth="1"/>
    <col min="1285" max="1286" width="8.7109375" style="232" customWidth="1"/>
    <col min="1287" max="1290" width="9.85546875" style="232" bestFit="1" customWidth="1"/>
    <col min="1291" max="1292" width="8.7109375" style="232" customWidth="1"/>
    <col min="1293" max="1293" width="10.7109375" style="232" customWidth="1"/>
    <col min="1294" max="1294" width="34.7109375" style="232" customWidth="1"/>
    <col min="1295" max="1296" width="11.28515625" style="232" customWidth="1"/>
    <col min="1297" max="1297" width="11.85546875" style="232" customWidth="1"/>
    <col min="1298" max="1300" width="11.28515625" style="232" customWidth="1"/>
    <col min="1301" max="1301" width="11.85546875" style="232" customWidth="1"/>
    <col min="1302" max="1536" width="9.140625" style="232"/>
    <col min="1537" max="1537" width="6.42578125" style="232" customWidth="1"/>
    <col min="1538" max="1538" width="30.7109375" style="232" customWidth="1"/>
    <col min="1539" max="1540" width="11.5703125" style="232" customWidth="1"/>
    <col min="1541" max="1542" width="8.7109375" style="232" customWidth="1"/>
    <col min="1543" max="1546" width="9.85546875" style="232" bestFit="1" customWidth="1"/>
    <col min="1547" max="1548" width="8.7109375" style="232" customWidth="1"/>
    <col min="1549" max="1549" width="10.7109375" style="232" customWidth="1"/>
    <col min="1550" max="1550" width="34.7109375" style="232" customWidth="1"/>
    <col min="1551" max="1552" width="11.28515625" style="232" customWidth="1"/>
    <col min="1553" max="1553" width="11.85546875" style="232" customWidth="1"/>
    <col min="1554" max="1556" width="11.28515625" style="232" customWidth="1"/>
    <col min="1557" max="1557" width="11.85546875" style="232" customWidth="1"/>
    <col min="1558" max="1792" width="9.140625" style="232"/>
    <col min="1793" max="1793" width="6.42578125" style="232" customWidth="1"/>
    <col min="1794" max="1794" width="30.7109375" style="232" customWidth="1"/>
    <col min="1795" max="1796" width="11.5703125" style="232" customWidth="1"/>
    <col min="1797" max="1798" width="8.7109375" style="232" customWidth="1"/>
    <col min="1799" max="1802" width="9.85546875" style="232" bestFit="1" customWidth="1"/>
    <col min="1803" max="1804" width="8.7109375" style="232" customWidth="1"/>
    <col min="1805" max="1805" width="10.7109375" style="232" customWidth="1"/>
    <col min="1806" max="1806" width="34.7109375" style="232" customWidth="1"/>
    <col min="1807" max="1808" width="11.28515625" style="232" customWidth="1"/>
    <col min="1809" max="1809" width="11.85546875" style="232" customWidth="1"/>
    <col min="1810" max="1812" width="11.28515625" style="232" customWidth="1"/>
    <col min="1813" max="1813" width="11.85546875" style="232" customWidth="1"/>
    <col min="1814" max="2048" width="9.140625" style="232"/>
    <col min="2049" max="2049" width="6.42578125" style="232" customWidth="1"/>
    <col min="2050" max="2050" width="30.7109375" style="232" customWidth="1"/>
    <col min="2051" max="2052" width="11.5703125" style="232" customWidth="1"/>
    <col min="2053" max="2054" width="8.7109375" style="232" customWidth="1"/>
    <col min="2055" max="2058" width="9.85546875" style="232" bestFit="1" customWidth="1"/>
    <col min="2059" max="2060" width="8.7109375" style="232" customWidth="1"/>
    <col min="2061" max="2061" width="10.7109375" style="232" customWidth="1"/>
    <col min="2062" max="2062" width="34.7109375" style="232" customWidth="1"/>
    <col min="2063" max="2064" width="11.28515625" style="232" customWidth="1"/>
    <col min="2065" max="2065" width="11.85546875" style="232" customWidth="1"/>
    <col min="2066" max="2068" width="11.28515625" style="232" customWidth="1"/>
    <col min="2069" max="2069" width="11.85546875" style="232" customWidth="1"/>
    <col min="2070" max="2304" width="9.140625" style="232"/>
    <col min="2305" max="2305" width="6.42578125" style="232" customWidth="1"/>
    <col min="2306" max="2306" width="30.7109375" style="232" customWidth="1"/>
    <col min="2307" max="2308" width="11.5703125" style="232" customWidth="1"/>
    <col min="2309" max="2310" width="8.7109375" style="232" customWidth="1"/>
    <col min="2311" max="2314" width="9.85546875" style="232" bestFit="1" customWidth="1"/>
    <col min="2315" max="2316" width="8.7109375" style="232" customWidth="1"/>
    <col min="2317" max="2317" width="10.7109375" style="232" customWidth="1"/>
    <col min="2318" max="2318" width="34.7109375" style="232" customWidth="1"/>
    <col min="2319" max="2320" width="11.28515625" style="232" customWidth="1"/>
    <col min="2321" max="2321" width="11.85546875" style="232" customWidth="1"/>
    <col min="2322" max="2324" width="11.28515625" style="232" customWidth="1"/>
    <col min="2325" max="2325" width="11.85546875" style="232" customWidth="1"/>
    <col min="2326" max="2560" width="9.140625" style="232"/>
    <col min="2561" max="2561" width="6.42578125" style="232" customWidth="1"/>
    <col min="2562" max="2562" width="30.7109375" style="232" customWidth="1"/>
    <col min="2563" max="2564" width="11.5703125" style="232" customWidth="1"/>
    <col min="2565" max="2566" width="8.7109375" style="232" customWidth="1"/>
    <col min="2567" max="2570" width="9.85546875" style="232" bestFit="1" customWidth="1"/>
    <col min="2571" max="2572" width="8.7109375" style="232" customWidth="1"/>
    <col min="2573" max="2573" width="10.7109375" style="232" customWidth="1"/>
    <col min="2574" max="2574" width="34.7109375" style="232" customWidth="1"/>
    <col min="2575" max="2576" width="11.28515625" style="232" customWidth="1"/>
    <col min="2577" max="2577" width="11.85546875" style="232" customWidth="1"/>
    <col min="2578" max="2580" width="11.28515625" style="232" customWidth="1"/>
    <col min="2581" max="2581" width="11.85546875" style="232" customWidth="1"/>
    <col min="2582" max="2816" width="9.140625" style="232"/>
    <col min="2817" max="2817" width="6.42578125" style="232" customWidth="1"/>
    <col min="2818" max="2818" width="30.7109375" style="232" customWidth="1"/>
    <col min="2819" max="2820" width="11.5703125" style="232" customWidth="1"/>
    <col min="2821" max="2822" width="8.7109375" style="232" customWidth="1"/>
    <col min="2823" max="2826" width="9.85546875" style="232" bestFit="1" customWidth="1"/>
    <col min="2827" max="2828" width="8.7109375" style="232" customWidth="1"/>
    <col min="2829" max="2829" width="10.7109375" style="232" customWidth="1"/>
    <col min="2830" max="2830" width="34.7109375" style="232" customWidth="1"/>
    <col min="2831" max="2832" width="11.28515625" style="232" customWidth="1"/>
    <col min="2833" max="2833" width="11.85546875" style="232" customWidth="1"/>
    <col min="2834" max="2836" width="11.28515625" style="232" customWidth="1"/>
    <col min="2837" max="2837" width="11.85546875" style="232" customWidth="1"/>
    <col min="2838" max="3072" width="9.140625" style="232"/>
    <col min="3073" max="3073" width="6.42578125" style="232" customWidth="1"/>
    <col min="3074" max="3074" width="30.7109375" style="232" customWidth="1"/>
    <col min="3075" max="3076" width="11.5703125" style="232" customWidth="1"/>
    <col min="3077" max="3078" width="8.7109375" style="232" customWidth="1"/>
    <col min="3079" max="3082" width="9.85546875" style="232" bestFit="1" customWidth="1"/>
    <col min="3083" max="3084" width="8.7109375" style="232" customWidth="1"/>
    <col min="3085" max="3085" width="10.7109375" style="232" customWidth="1"/>
    <col min="3086" max="3086" width="34.7109375" style="232" customWidth="1"/>
    <col min="3087" max="3088" width="11.28515625" style="232" customWidth="1"/>
    <col min="3089" max="3089" width="11.85546875" style="232" customWidth="1"/>
    <col min="3090" max="3092" width="11.28515625" style="232" customWidth="1"/>
    <col min="3093" max="3093" width="11.85546875" style="232" customWidth="1"/>
    <col min="3094" max="3328" width="9.140625" style="232"/>
    <col min="3329" max="3329" width="6.42578125" style="232" customWidth="1"/>
    <col min="3330" max="3330" width="30.7109375" style="232" customWidth="1"/>
    <col min="3331" max="3332" width="11.5703125" style="232" customWidth="1"/>
    <col min="3333" max="3334" width="8.7109375" style="232" customWidth="1"/>
    <col min="3335" max="3338" width="9.85546875" style="232" bestFit="1" customWidth="1"/>
    <col min="3339" max="3340" width="8.7109375" style="232" customWidth="1"/>
    <col min="3341" max="3341" width="10.7109375" style="232" customWidth="1"/>
    <col min="3342" max="3342" width="34.7109375" style="232" customWidth="1"/>
    <col min="3343" max="3344" width="11.28515625" style="232" customWidth="1"/>
    <col min="3345" max="3345" width="11.85546875" style="232" customWidth="1"/>
    <col min="3346" max="3348" width="11.28515625" style="232" customWidth="1"/>
    <col min="3349" max="3349" width="11.85546875" style="232" customWidth="1"/>
    <col min="3350" max="3584" width="9.140625" style="232"/>
    <col min="3585" max="3585" width="6.42578125" style="232" customWidth="1"/>
    <col min="3586" max="3586" width="30.7109375" style="232" customWidth="1"/>
    <col min="3587" max="3588" width="11.5703125" style="232" customWidth="1"/>
    <col min="3589" max="3590" width="8.7109375" style="232" customWidth="1"/>
    <col min="3591" max="3594" width="9.85546875" style="232" bestFit="1" customWidth="1"/>
    <col min="3595" max="3596" width="8.7109375" style="232" customWidth="1"/>
    <col min="3597" max="3597" width="10.7109375" style="232" customWidth="1"/>
    <col min="3598" max="3598" width="34.7109375" style="232" customWidth="1"/>
    <col min="3599" max="3600" width="11.28515625" style="232" customWidth="1"/>
    <col min="3601" max="3601" width="11.85546875" style="232" customWidth="1"/>
    <col min="3602" max="3604" width="11.28515625" style="232" customWidth="1"/>
    <col min="3605" max="3605" width="11.85546875" style="232" customWidth="1"/>
    <col min="3606" max="3840" width="9.140625" style="232"/>
    <col min="3841" max="3841" width="6.42578125" style="232" customWidth="1"/>
    <col min="3842" max="3842" width="30.7109375" style="232" customWidth="1"/>
    <col min="3843" max="3844" width="11.5703125" style="232" customWidth="1"/>
    <col min="3845" max="3846" width="8.7109375" style="232" customWidth="1"/>
    <col min="3847" max="3850" width="9.85546875" style="232" bestFit="1" customWidth="1"/>
    <col min="3851" max="3852" width="8.7109375" style="232" customWidth="1"/>
    <col min="3853" max="3853" width="10.7109375" style="232" customWidth="1"/>
    <col min="3854" max="3854" width="34.7109375" style="232" customWidth="1"/>
    <col min="3855" max="3856" width="11.28515625" style="232" customWidth="1"/>
    <col min="3857" max="3857" width="11.85546875" style="232" customWidth="1"/>
    <col min="3858" max="3860" width="11.28515625" style="232" customWidth="1"/>
    <col min="3861" max="3861" width="11.85546875" style="232" customWidth="1"/>
    <col min="3862" max="4096" width="9.140625" style="232"/>
    <col min="4097" max="4097" width="6.42578125" style="232" customWidth="1"/>
    <col min="4098" max="4098" width="30.7109375" style="232" customWidth="1"/>
    <col min="4099" max="4100" width="11.5703125" style="232" customWidth="1"/>
    <col min="4101" max="4102" width="8.7109375" style="232" customWidth="1"/>
    <col min="4103" max="4106" width="9.85546875" style="232" bestFit="1" customWidth="1"/>
    <col min="4107" max="4108" width="8.7109375" style="232" customWidth="1"/>
    <col min="4109" max="4109" width="10.7109375" style="232" customWidth="1"/>
    <col min="4110" max="4110" width="34.7109375" style="232" customWidth="1"/>
    <col min="4111" max="4112" width="11.28515625" style="232" customWidth="1"/>
    <col min="4113" max="4113" width="11.85546875" style="232" customWidth="1"/>
    <col min="4114" max="4116" width="11.28515625" style="232" customWidth="1"/>
    <col min="4117" max="4117" width="11.85546875" style="232" customWidth="1"/>
    <col min="4118" max="4352" width="9.140625" style="232"/>
    <col min="4353" max="4353" width="6.42578125" style="232" customWidth="1"/>
    <col min="4354" max="4354" width="30.7109375" style="232" customWidth="1"/>
    <col min="4355" max="4356" width="11.5703125" style="232" customWidth="1"/>
    <col min="4357" max="4358" width="8.7109375" style="232" customWidth="1"/>
    <col min="4359" max="4362" width="9.85546875" style="232" bestFit="1" customWidth="1"/>
    <col min="4363" max="4364" width="8.7109375" style="232" customWidth="1"/>
    <col min="4365" max="4365" width="10.7109375" style="232" customWidth="1"/>
    <col min="4366" max="4366" width="34.7109375" style="232" customWidth="1"/>
    <col min="4367" max="4368" width="11.28515625" style="232" customWidth="1"/>
    <col min="4369" max="4369" width="11.85546875" style="232" customWidth="1"/>
    <col min="4370" max="4372" width="11.28515625" style="232" customWidth="1"/>
    <col min="4373" max="4373" width="11.85546875" style="232" customWidth="1"/>
    <col min="4374" max="4608" width="9.140625" style="232"/>
    <col min="4609" max="4609" width="6.42578125" style="232" customWidth="1"/>
    <col min="4610" max="4610" width="30.7109375" style="232" customWidth="1"/>
    <col min="4611" max="4612" width="11.5703125" style="232" customWidth="1"/>
    <col min="4613" max="4614" width="8.7109375" style="232" customWidth="1"/>
    <col min="4615" max="4618" width="9.85546875" style="232" bestFit="1" customWidth="1"/>
    <col min="4619" max="4620" width="8.7109375" style="232" customWidth="1"/>
    <col min="4621" max="4621" width="10.7109375" style="232" customWidth="1"/>
    <col min="4622" max="4622" width="34.7109375" style="232" customWidth="1"/>
    <col min="4623" max="4624" width="11.28515625" style="232" customWidth="1"/>
    <col min="4625" max="4625" width="11.85546875" style="232" customWidth="1"/>
    <col min="4626" max="4628" width="11.28515625" style="232" customWidth="1"/>
    <col min="4629" max="4629" width="11.85546875" style="232" customWidth="1"/>
    <col min="4630" max="4864" width="9.140625" style="232"/>
    <col min="4865" max="4865" width="6.42578125" style="232" customWidth="1"/>
    <col min="4866" max="4866" width="30.7109375" style="232" customWidth="1"/>
    <col min="4867" max="4868" width="11.5703125" style="232" customWidth="1"/>
    <col min="4869" max="4870" width="8.7109375" style="232" customWidth="1"/>
    <col min="4871" max="4874" width="9.85546875" style="232" bestFit="1" customWidth="1"/>
    <col min="4875" max="4876" width="8.7109375" style="232" customWidth="1"/>
    <col min="4877" max="4877" width="10.7109375" style="232" customWidth="1"/>
    <col min="4878" max="4878" width="34.7109375" style="232" customWidth="1"/>
    <col min="4879" max="4880" width="11.28515625" style="232" customWidth="1"/>
    <col min="4881" max="4881" width="11.85546875" style="232" customWidth="1"/>
    <col min="4882" max="4884" width="11.28515625" style="232" customWidth="1"/>
    <col min="4885" max="4885" width="11.85546875" style="232" customWidth="1"/>
    <col min="4886" max="5120" width="9.140625" style="232"/>
    <col min="5121" max="5121" width="6.42578125" style="232" customWidth="1"/>
    <col min="5122" max="5122" width="30.7109375" style="232" customWidth="1"/>
    <col min="5123" max="5124" width="11.5703125" style="232" customWidth="1"/>
    <col min="5125" max="5126" width="8.7109375" style="232" customWidth="1"/>
    <col min="5127" max="5130" width="9.85546875" style="232" bestFit="1" customWidth="1"/>
    <col min="5131" max="5132" width="8.7109375" style="232" customWidth="1"/>
    <col min="5133" max="5133" width="10.7109375" style="232" customWidth="1"/>
    <col min="5134" max="5134" width="34.7109375" style="232" customWidth="1"/>
    <col min="5135" max="5136" width="11.28515625" style="232" customWidth="1"/>
    <col min="5137" max="5137" width="11.85546875" style="232" customWidth="1"/>
    <col min="5138" max="5140" width="11.28515625" style="232" customWidth="1"/>
    <col min="5141" max="5141" width="11.85546875" style="232" customWidth="1"/>
    <col min="5142" max="5376" width="9.140625" style="232"/>
    <col min="5377" max="5377" width="6.42578125" style="232" customWidth="1"/>
    <col min="5378" max="5378" width="30.7109375" style="232" customWidth="1"/>
    <col min="5379" max="5380" width="11.5703125" style="232" customWidth="1"/>
    <col min="5381" max="5382" width="8.7109375" style="232" customWidth="1"/>
    <col min="5383" max="5386" width="9.85546875" style="232" bestFit="1" customWidth="1"/>
    <col min="5387" max="5388" width="8.7109375" style="232" customWidth="1"/>
    <col min="5389" max="5389" width="10.7109375" style="232" customWidth="1"/>
    <col min="5390" max="5390" width="34.7109375" style="232" customWidth="1"/>
    <col min="5391" max="5392" width="11.28515625" style="232" customWidth="1"/>
    <col min="5393" max="5393" width="11.85546875" style="232" customWidth="1"/>
    <col min="5394" max="5396" width="11.28515625" style="232" customWidth="1"/>
    <col min="5397" max="5397" width="11.85546875" style="232" customWidth="1"/>
    <col min="5398" max="5632" width="9.140625" style="232"/>
    <col min="5633" max="5633" width="6.42578125" style="232" customWidth="1"/>
    <col min="5634" max="5634" width="30.7109375" style="232" customWidth="1"/>
    <col min="5635" max="5636" width="11.5703125" style="232" customWidth="1"/>
    <col min="5637" max="5638" width="8.7109375" style="232" customWidth="1"/>
    <col min="5639" max="5642" width="9.85546875" style="232" bestFit="1" customWidth="1"/>
    <col min="5643" max="5644" width="8.7109375" style="232" customWidth="1"/>
    <col min="5645" max="5645" width="10.7109375" style="232" customWidth="1"/>
    <col min="5646" max="5646" width="34.7109375" style="232" customWidth="1"/>
    <col min="5647" max="5648" width="11.28515625" style="232" customWidth="1"/>
    <col min="5649" max="5649" width="11.85546875" style="232" customWidth="1"/>
    <col min="5650" max="5652" width="11.28515625" style="232" customWidth="1"/>
    <col min="5653" max="5653" width="11.85546875" style="232" customWidth="1"/>
    <col min="5654" max="5888" width="9.140625" style="232"/>
    <col min="5889" max="5889" width="6.42578125" style="232" customWidth="1"/>
    <col min="5890" max="5890" width="30.7109375" style="232" customWidth="1"/>
    <col min="5891" max="5892" width="11.5703125" style="232" customWidth="1"/>
    <col min="5893" max="5894" width="8.7109375" style="232" customWidth="1"/>
    <col min="5895" max="5898" width="9.85546875" style="232" bestFit="1" customWidth="1"/>
    <col min="5899" max="5900" width="8.7109375" style="232" customWidth="1"/>
    <col min="5901" max="5901" width="10.7109375" style="232" customWidth="1"/>
    <col min="5902" max="5902" width="34.7109375" style="232" customWidth="1"/>
    <col min="5903" max="5904" width="11.28515625" style="232" customWidth="1"/>
    <col min="5905" max="5905" width="11.85546875" style="232" customWidth="1"/>
    <col min="5906" max="5908" width="11.28515625" style="232" customWidth="1"/>
    <col min="5909" max="5909" width="11.85546875" style="232" customWidth="1"/>
    <col min="5910" max="6144" width="9.140625" style="232"/>
    <col min="6145" max="6145" width="6.42578125" style="232" customWidth="1"/>
    <col min="6146" max="6146" width="30.7109375" style="232" customWidth="1"/>
    <col min="6147" max="6148" width="11.5703125" style="232" customWidth="1"/>
    <col min="6149" max="6150" width="8.7109375" style="232" customWidth="1"/>
    <col min="6151" max="6154" width="9.85546875" style="232" bestFit="1" customWidth="1"/>
    <col min="6155" max="6156" width="8.7109375" style="232" customWidth="1"/>
    <col min="6157" max="6157" width="10.7109375" style="232" customWidth="1"/>
    <col min="6158" max="6158" width="34.7109375" style="232" customWidth="1"/>
    <col min="6159" max="6160" width="11.28515625" style="232" customWidth="1"/>
    <col min="6161" max="6161" width="11.85546875" style="232" customWidth="1"/>
    <col min="6162" max="6164" width="11.28515625" style="232" customWidth="1"/>
    <col min="6165" max="6165" width="11.85546875" style="232" customWidth="1"/>
    <col min="6166" max="6400" width="9.140625" style="232"/>
    <col min="6401" max="6401" width="6.42578125" style="232" customWidth="1"/>
    <col min="6402" max="6402" width="30.7109375" style="232" customWidth="1"/>
    <col min="6403" max="6404" width="11.5703125" style="232" customWidth="1"/>
    <col min="6405" max="6406" width="8.7109375" style="232" customWidth="1"/>
    <col min="6407" max="6410" width="9.85546875" style="232" bestFit="1" customWidth="1"/>
    <col min="6411" max="6412" width="8.7109375" style="232" customWidth="1"/>
    <col min="6413" max="6413" width="10.7109375" style="232" customWidth="1"/>
    <col min="6414" max="6414" width="34.7109375" style="232" customWidth="1"/>
    <col min="6415" max="6416" width="11.28515625" style="232" customWidth="1"/>
    <col min="6417" max="6417" width="11.85546875" style="232" customWidth="1"/>
    <col min="6418" max="6420" width="11.28515625" style="232" customWidth="1"/>
    <col min="6421" max="6421" width="11.85546875" style="232" customWidth="1"/>
    <col min="6422" max="6656" width="9.140625" style="232"/>
    <col min="6657" max="6657" width="6.42578125" style="232" customWidth="1"/>
    <col min="6658" max="6658" width="30.7109375" style="232" customWidth="1"/>
    <col min="6659" max="6660" width="11.5703125" style="232" customWidth="1"/>
    <col min="6661" max="6662" width="8.7109375" style="232" customWidth="1"/>
    <col min="6663" max="6666" width="9.85546875" style="232" bestFit="1" customWidth="1"/>
    <col min="6667" max="6668" width="8.7109375" style="232" customWidth="1"/>
    <col min="6669" max="6669" width="10.7109375" style="232" customWidth="1"/>
    <col min="6670" max="6670" width="34.7109375" style="232" customWidth="1"/>
    <col min="6671" max="6672" width="11.28515625" style="232" customWidth="1"/>
    <col min="6673" max="6673" width="11.85546875" style="232" customWidth="1"/>
    <col min="6674" max="6676" width="11.28515625" style="232" customWidth="1"/>
    <col min="6677" max="6677" width="11.85546875" style="232" customWidth="1"/>
    <col min="6678" max="6912" width="9.140625" style="232"/>
    <col min="6913" max="6913" width="6.42578125" style="232" customWidth="1"/>
    <col min="6914" max="6914" width="30.7109375" style="232" customWidth="1"/>
    <col min="6915" max="6916" width="11.5703125" style="232" customWidth="1"/>
    <col min="6917" max="6918" width="8.7109375" style="232" customWidth="1"/>
    <col min="6919" max="6922" width="9.85546875" style="232" bestFit="1" customWidth="1"/>
    <col min="6923" max="6924" width="8.7109375" style="232" customWidth="1"/>
    <col min="6925" max="6925" width="10.7109375" style="232" customWidth="1"/>
    <col min="6926" max="6926" width="34.7109375" style="232" customWidth="1"/>
    <col min="6927" max="6928" width="11.28515625" style="232" customWidth="1"/>
    <col min="6929" max="6929" width="11.85546875" style="232" customWidth="1"/>
    <col min="6930" max="6932" width="11.28515625" style="232" customWidth="1"/>
    <col min="6933" max="6933" width="11.85546875" style="232" customWidth="1"/>
    <col min="6934" max="7168" width="9.140625" style="232"/>
    <col min="7169" max="7169" width="6.42578125" style="232" customWidth="1"/>
    <col min="7170" max="7170" width="30.7109375" style="232" customWidth="1"/>
    <col min="7171" max="7172" width="11.5703125" style="232" customWidth="1"/>
    <col min="7173" max="7174" width="8.7109375" style="232" customWidth="1"/>
    <col min="7175" max="7178" width="9.85546875" style="232" bestFit="1" customWidth="1"/>
    <col min="7179" max="7180" width="8.7109375" style="232" customWidth="1"/>
    <col min="7181" max="7181" width="10.7109375" style="232" customWidth="1"/>
    <col min="7182" max="7182" width="34.7109375" style="232" customWidth="1"/>
    <col min="7183" max="7184" width="11.28515625" style="232" customWidth="1"/>
    <col min="7185" max="7185" width="11.85546875" style="232" customWidth="1"/>
    <col min="7186" max="7188" width="11.28515625" style="232" customWidth="1"/>
    <col min="7189" max="7189" width="11.85546875" style="232" customWidth="1"/>
    <col min="7190" max="7424" width="9.140625" style="232"/>
    <col min="7425" max="7425" width="6.42578125" style="232" customWidth="1"/>
    <col min="7426" max="7426" width="30.7109375" style="232" customWidth="1"/>
    <col min="7427" max="7428" width="11.5703125" style="232" customWidth="1"/>
    <col min="7429" max="7430" width="8.7109375" style="232" customWidth="1"/>
    <col min="7431" max="7434" width="9.85546875" style="232" bestFit="1" customWidth="1"/>
    <col min="7435" max="7436" width="8.7109375" style="232" customWidth="1"/>
    <col min="7437" max="7437" width="10.7109375" style="232" customWidth="1"/>
    <col min="7438" max="7438" width="34.7109375" style="232" customWidth="1"/>
    <col min="7439" max="7440" width="11.28515625" style="232" customWidth="1"/>
    <col min="7441" max="7441" width="11.85546875" style="232" customWidth="1"/>
    <col min="7442" max="7444" width="11.28515625" style="232" customWidth="1"/>
    <col min="7445" max="7445" width="11.85546875" style="232" customWidth="1"/>
    <col min="7446" max="7680" width="9.140625" style="232"/>
    <col min="7681" max="7681" width="6.42578125" style="232" customWidth="1"/>
    <col min="7682" max="7682" width="30.7109375" style="232" customWidth="1"/>
    <col min="7683" max="7684" width="11.5703125" style="232" customWidth="1"/>
    <col min="7685" max="7686" width="8.7109375" style="232" customWidth="1"/>
    <col min="7687" max="7690" width="9.85546875" style="232" bestFit="1" customWidth="1"/>
    <col min="7691" max="7692" width="8.7109375" style="232" customWidth="1"/>
    <col min="7693" max="7693" width="10.7109375" style="232" customWidth="1"/>
    <col min="7694" max="7694" width="34.7109375" style="232" customWidth="1"/>
    <col min="7695" max="7696" width="11.28515625" style="232" customWidth="1"/>
    <col min="7697" max="7697" width="11.85546875" style="232" customWidth="1"/>
    <col min="7698" max="7700" width="11.28515625" style="232" customWidth="1"/>
    <col min="7701" max="7701" width="11.85546875" style="232" customWidth="1"/>
    <col min="7702" max="7936" width="9.140625" style="232"/>
    <col min="7937" max="7937" width="6.42578125" style="232" customWidth="1"/>
    <col min="7938" max="7938" width="30.7109375" style="232" customWidth="1"/>
    <col min="7939" max="7940" width="11.5703125" style="232" customWidth="1"/>
    <col min="7941" max="7942" width="8.7109375" style="232" customWidth="1"/>
    <col min="7943" max="7946" width="9.85546875" style="232" bestFit="1" customWidth="1"/>
    <col min="7947" max="7948" width="8.7109375" style="232" customWidth="1"/>
    <col min="7949" max="7949" width="10.7109375" style="232" customWidth="1"/>
    <col min="7950" max="7950" width="34.7109375" style="232" customWidth="1"/>
    <col min="7951" max="7952" width="11.28515625" style="232" customWidth="1"/>
    <col min="7953" max="7953" width="11.85546875" style="232" customWidth="1"/>
    <col min="7954" max="7956" width="11.28515625" style="232" customWidth="1"/>
    <col min="7957" max="7957" width="11.85546875" style="232" customWidth="1"/>
    <col min="7958" max="8192" width="9.140625" style="232"/>
    <col min="8193" max="8193" width="6.42578125" style="232" customWidth="1"/>
    <col min="8194" max="8194" width="30.7109375" style="232" customWidth="1"/>
    <col min="8195" max="8196" width="11.5703125" style="232" customWidth="1"/>
    <col min="8197" max="8198" width="8.7109375" style="232" customWidth="1"/>
    <col min="8199" max="8202" width="9.85546875" style="232" bestFit="1" customWidth="1"/>
    <col min="8203" max="8204" width="8.7109375" style="232" customWidth="1"/>
    <col min="8205" max="8205" width="10.7109375" style="232" customWidth="1"/>
    <col min="8206" max="8206" width="34.7109375" style="232" customWidth="1"/>
    <col min="8207" max="8208" width="11.28515625" style="232" customWidth="1"/>
    <col min="8209" max="8209" width="11.85546875" style="232" customWidth="1"/>
    <col min="8210" max="8212" width="11.28515625" style="232" customWidth="1"/>
    <col min="8213" max="8213" width="11.85546875" style="232" customWidth="1"/>
    <col min="8214" max="8448" width="9.140625" style="232"/>
    <col min="8449" max="8449" width="6.42578125" style="232" customWidth="1"/>
    <col min="8450" max="8450" width="30.7109375" style="232" customWidth="1"/>
    <col min="8451" max="8452" width="11.5703125" style="232" customWidth="1"/>
    <col min="8453" max="8454" width="8.7109375" style="232" customWidth="1"/>
    <col min="8455" max="8458" width="9.85546875" style="232" bestFit="1" customWidth="1"/>
    <col min="8459" max="8460" width="8.7109375" style="232" customWidth="1"/>
    <col min="8461" max="8461" width="10.7109375" style="232" customWidth="1"/>
    <col min="8462" max="8462" width="34.7109375" style="232" customWidth="1"/>
    <col min="8463" max="8464" width="11.28515625" style="232" customWidth="1"/>
    <col min="8465" max="8465" width="11.85546875" style="232" customWidth="1"/>
    <col min="8466" max="8468" width="11.28515625" style="232" customWidth="1"/>
    <col min="8469" max="8469" width="11.85546875" style="232" customWidth="1"/>
    <col min="8470" max="8704" width="9.140625" style="232"/>
    <col min="8705" max="8705" width="6.42578125" style="232" customWidth="1"/>
    <col min="8706" max="8706" width="30.7109375" style="232" customWidth="1"/>
    <col min="8707" max="8708" width="11.5703125" style="232" customWidth="1"/>
    <col min="8709" max="8710" width="8.7109375" style="232" customWidth="1"/>
    <col min="8711" max="8714" width="9.85546875" style="232" bestFit="1" customWidth="1"/>
    <col min="8715" max="8716" width="8.7109375" style="232" customWidth="1"/>
    <col min="8717" max="8717" width="10.7109375" style="232" customWidth="1"/>
    <col min="8718" max="8718" width="34.7109375" style="232" customWidth="1"/>
    <col min="8719" max="8720" width="11.28515625" style="232" customWidth="1"/>
    <col min="8721" max="8721" width="11.85546875" style="232" customWidth="1"/>
    <col min="8722" max="8724" width="11.28515625" style="232" customWidth="1"/>
    <col min="8725" max="8725" width="11.85546875" style="232" customWidth="1"/>
    <col min="8726" max="8960" width="9.140625" style="232"/>
    <col min="8961" max="8961" width="6.42578125" style="232" customWidth="1"/>
    <col min="8962" max="8962" width="30.7109375" style="232" customWidth="1"/>
    <col min="8963" max="8964" width="11.5703125" style="232" customWidth="1"/>
    <col min="8965" max="8966" width="8.7109375" style="232" customWidth="1"/>
    <col min="8967" max="8970" width="9.85546875" style="232" bestFit="1" customWidth="1"/>
    <col min="8971" max="8972" width="8.7109375" style="232" customWidth="1"/>
    <col min="8973" max="8973" width="10.7109375" style="232" customWidth="1"/>
    <col min="8974" max="8974" width="34.7109375" style="232" customWidth="1"/>
    <col min="8975" max="8976" width="11.28515625" style="232" customWidth="1"/>
    <col min="8977" max="8977" width="11.85546875" style="232" customWidth="1"/>
    <col min="8978" max="8980" width="11.28515625" style="232" customWidth="1"/>
    <col min="8981" max="8981" width="11.85546875" style="232" customWidth="1"/>
    <col min="8982" max="9216" width="9.140625" style="232"/>
    <col min="9217" max="9217" width="6.42578125" style="232" customWidth="1"/>
    <col min="9218" max="9218" width="30.7109375" style="232" customWidth="1"/>
    <col min="9219" max="9220" width="11.5703125" style="232" customWidth="1"/>
    <col min="9221" max="9222" width="8.7109375" style="232" customWidth="1"/>
    <col min="9223" max="9226" width="9.85546875" style="232" bestFit="1" customWidth="1"/>
    <col min="9227" max="9228" width="8.7109375" style="232" customWidth="1"/>
    <col min="9229" max="9229" width="10.7109375" style="232" customWidth="1"/>
    <col min="9230" max="9230" width="34.7109375" style="232" customWidth="1"/>
    <col min="9231" max="9232" width="11.28515625" style="232" customWidth="1"/>
    <col min="9233" max="9233" width="11.85546875" style="232" customWidth="1"/>
    <col min="9234" max="9236" width="11.28515625" style="232" customWidth="1"/>
    <col min="9237" max="9237" width="11.85546875" style="232" customWidth="1"/>
    <col min="9238" max="9472" width="9.140625" style="232"/>
    <col min="9473" max="9473" width="6.42578125" style="232" customWidth="1"/>
    <col min="9474" max="9474" width="30.7109375" style="232" customWidth="1"/>
    <col min="9475" max="9476" width="11.5703125" style="232" customWidth="1"/>
    <col min="9477" max="9478" width="8.7109375" style="232" customWidth="1"/>
    <col min="9479" max="9482" width="9.85546875" style="232" bestFit="1" customWidth="1"/>
    <col min="9483" max="9484" width="8.7109375" style="232" customWidth="1"/>
    <col min="9485" max="9485" width="10.7109375" style="232" customWidth="1"/>
    <col min="9486" max="9486" width="34.7109375" style="232" customWidth="1"/>
    <col min="9487" max="9488" width="11.28515625" style="232" customWidth="1"/>
    <col min="9489" max="9489" width="11.85546875" style="232" customWidth="1"/>
    <col min="9490" max="9492" width="11.28515625" style="232" customWidth="1"/>
    <col min="9493" max="9493" width="11.85546875" style="232" customWidth="1"/>
    <col min="9494" max="9728" width="9.140625" style="232"/>
    <col min="9729" max="9729" width="6.42578125" style="232" customWidth="1"/>
    <col min="9730" max="9730" width="30.7109375" style="232" customWidth="1"/>
    <col min="9731" max="9732" width="11.5703125" style="232" customWidth="1"/>
    <col min="9733" max="9734" width="8.7109375" style="232" customWidth="1"/>
    <col min="9735" max="9738" width="9.85546875" style="232" bestFit="1" customWidth="1"/>
    <col min="9739" max="9740" width="8.7109375" style="232" customWidth="1"/>
    <col min="9741" max="9741" width="10.7109375" style="232" customWidth="1"/>
    <col min="9742" max="9742" width="34.7109375" style="232" customWidth="1"/>
    <col min="9743" max="9744" width="11.28515625" style="232" customWidth="1"/>
    <col min="9745" max="9745" width="11.85546875" style="232" customWidth="1"/>
    <col min="9746" max="9748" width="11.28515625" style="232" customWidth="1"/>
    <col min="9749" max="9749" width="11.85546875" style="232" customWidth="1"/>
    <col min="9750" max="9984" width="9.140625" style="232"/>
    <col min="9985" max="9985" width="6.42578125" style="232" customWidth="1"/>
    <col min="9986" max="9986" width="30.7109375" style="232" customWidth="1"/>
    <col min="9987" max="9988" width="11.5703125" style="232" customWidth="1"/>
    <col min="9989" max="9990" width="8.7109375" style="232" customWidth="1"/>
    <col min="9991" max="9994" width="9.85546875" style="232" bestFit="1" customWidth="1"/>
    <col min="9995" max="9996" width="8.7109375" style="232" customWidth="1"/>
    <col min="9997" max="9997" width="10.7109375" style="232" customWidth="1"/>
    <col min="9998" max="9998" width="34.7109375" style="232" customWidth="1"/>
    <col min="9999" max="10000" width="11.28515625" style="232" customWidth="1"/>
    <col min="10001" max="10001" width="11.85546875" style="232" customWidth="1"/>
    <col min="10002" max="10004" width="11.28515625" style="232" customWidth="1"/>
    <col min="10005" max="10005" width="11.85546875" style="232" customWidth="1"/>
    <col min="10006" max="10240" width="9.140625" style="232"/>
    <col min="10241" max="10241" width="6.42578125" style="232" customWidth="1"/>
    <col min="10242" max="10242" width="30.7109375" style="232" customWidth="1"/>
    <col min="10243" max="10244" width="11.5703125" style="232" customWidth="1"/>
    <col min="10245" max="10246" width="8.7109375" style="232" customWidth="1"/>
    <col min="10247" max="10250" width="9.85546875" style="232" bestFit="1" customWidth="1"/>
    <col min="10251" max="10252" width="8.7109375" style="232" customWidth="1"/>
    <col min="10253" max="10253" width="10.7109375" style="232" customWidth="1"/>
    <col min="10254" max="10254" width="34.7109375" style="232" customWidth="1"/>
    <col min="10255" max="10256" width="11.28515625" style="232" customWidth="1"/>
    <col min="10257" max="10257" width="11.85546875" style="232" customWidth="1"/>
    <col min="10258" max="10260" width="11.28515625" style="232" customWidth="1"/>
    <col min="10261" max="10261" width="11.85546875" style="232" customWidth="1"/>
    <col min="10262" max="10496" width="9.140625" style="232"/>
    <col min="10497" max="10497" width="6.42578125" style="232" customWidth="1"/>
    <col min="10498" max="10498" width="30.7109375" style="232" customWidth="1"/>
    <col min="10499" max="10500" width="11.5703125" style="232" customWidth="1"/>
    <col min="10501" max="10502" width="8.7109375" style="232" customWidth="1"/>
    <col min="10503" max="10506" width="9.85546875" style="232" bestFit="1" customWidth="1"/>
    <col min="10507" max="10508" width="8.7109375" style="232" customWidth="1"/>
    <col min="10509" max="10509" width="10.7109375" style="232" customWidth="1"/>
    <col min="10510" max="10510" width="34.7109375" style="232" customWidth="1"/>
    <col min="10511" max="10512" width="11.28515625" style="232" customWidth="1"/>
    <col min="10513" max="10513" width="11.85546875" style="232" customWidth="1"/>
    <col min="10514" max="10516" width="11.28515625" style="232" customWidth="1"/>
    <col min="10517" max="10517" width="11.85546875" style="232" customWidth="1"/>
    <col min="10518" max="10752" width="9.140625" style="232"/>
    <col min="10753" max="10753" width="6.42578125" style="232" customWidth="1"/>
    <col min="10754" max="10754" width="30.7109375" style="232" customWidth="1"/>
    <col min="10755" max="10756" width="11.5703125" style="232" customWidth="1"/>
    <col min="10757" max="10758" width="8.7109375" style="232" customWidth="1"/>
    <col min="10759" max="10762" width="9.85546875" style="232" bestFit="1" customWidth="1"/>
    <col min="10763" max="10764" width="8.7109375" style="232" customWidth="1"/>
    <col min="10765" max="10765" width="10.7109375" style="232" customWidth="1"/>
    <col min="10766" max="10766" width="34.7109375" style="232" customWidth="1"/>
    <col min="10767" max="10768" width="11.28515625" style="232" customWidth="1"/>
    <col min="10769" max="10769" width="11.85546875" style="232" customWidth="1"/>
    <col min="10770" max="10772" width="11.28515625" style="232" customWidth="1"/>
    <col min="10773" max="10773" width="11.85546875" style="232" customWidth="1"/>
    <col min="10774" max="11008" width="9.140625" style="232"/>
    <col min="11009" max="11009" width="6.42578125" style="232" customWidth="1"/>
    <col min="11010" max="11010" width="30.7109375" style="232" customWidth="1"/>
    <col min="11011" max="11012" width="11.5703125" style="232" customWidth="1"/>
    <col min="11013" max="11014" width="8.7109375" style="232" customWidth="1"/>
    <col min="11015" max="11018" width="9.85546875" style="232" bestFit="1" customWidth="1"/>
    <col min="11019" max="11020" width="8.7109375" style="232" customWidth="1"/>
    <col min="11021" max="11021" width="10.7109375" style="232" customWidth="1"/>
    <col min="11022" max="11022" width="34.7109375" style="232" customWidth="1"/>
    <col min="11023" max="11024" width="11.28515625" style="232" customWidth="1"/>
    <col min="11025" max="11025" width="11.85546875" style="232" customWidth="1"/>
    <col min="11026" max="11028" width="11.28515625" style="232" customWidth="1"/>
    <col min="11029" max="11029" width="11.85546875" style="232" customWidth="1"/>
    <col min="11030" max="11264" width="9.140625" style="232"/>
    <col min="11265" max="11265" width="6.42578125" style="232" customWidth="1"/>
    <col min="11266" max="11266" width="30.7109375" style="232" customWidth="1"/>
    <col min="11267" max="11268" width="11.5703125" style="232" customWidth="1"/>
    <col min="11269" max="11270" width="8.7109375" style="232" customWidth="1"/>
    <col min="11271" max="11274" width="9.85546875" style="232" bestFit="1" customWidth="1"/>
    <col min="11275" max="11276" width="8.7109375" style="232" customWidth="1"/>
    <col min="11277" max="11277" width="10.7109375" style="232" customWidth="1"/>
    <col min="11278" max="11278" width="34.7109375" style="232" customWidth="1"/>
    <col min="11279" max="11280" width="11.28515625" style="232" customWidth="1"/>
    <col min="11281" max="11281" width="11.85546875" style="232" customWidth="1"/>
    <col min="11282" max="11284" width="11.28515625" style="232" customWidth="1"/>
    <col min="11285" max="11285" width="11.85546875" style="232" customWidth="1"/>
    <col min="11286" max="11520" width="9.140625" style="232"/>
    <col min="11521" max="11521" width="6.42578125" style="232" customWidth="1"/>
    <col min="11522" max="11522" width="30.7109375" style="232" customWidth="1"/>
    <col min="11523" max="11524" width="11.5703125" style="232" customWidth="1"/>
    <col min="11525" max="11526" width="8.7109375" style="232" customWidth="1"/>
    <col min="11527" max="11530" width="9.85546875" style="232" bestFit="1" customWidth="1"/>
    <col min="11531" max="11532" width="8.7109375" style="232" customWidth="1"/>
    <col min="11533" max="11533" width="10.7109375" style="232" customWidth="1"/>
    <col min="11534" max="11534" width="34.7109375" style="232" customWidth="1"/>
    <col min="11535" max="11536" width="11.28515625" style="232" customWidth="1"/>
    <col min="11537" max="11537" width="11.85546875" style="232" customWidth="1"/>
    <col min="11538" max="11540" width="11.28515625" style="232" customWidth="1"/>
    <col min="11541" max="11541" width="11.85546875" style="232" customWidth="1"/>
    <col min="11542" max="11776" width="9.140625" style="232"/>
    <col min="11777" max="11777" width="6.42578125" style="232" customWidth="1"/>
    <col min="11778" max="11778" width="30.7109375" style="232" customWidth="1"/>
    <col min="11779" max="11780" width="11.5703125" style="232" customWidth="1"/>
    <col min="11781" max="11782" width="8.7109375" style="232" customWidth="1"/>
    <col min="11783" max="11786" width="9.85546875" style="232" bestFit="1" customWidth="1"/>
    <col min="11787" max="11788" width="8.7109375" style="232" customWidth="1"/>
    <col min="11789" max="11789" width="10.7109375" style="232" customWidth="1"/>
    <col min="11790" max="11790" width="34.7109375" style="232" customWidth="1"/>
    <col min="11791" max="11792" width="11.28515625" style="232" customWidth="1"/>
    <col min="11793" max="11793" width="11.85546875" style="232" customWidth="1"/>
    <col min="11794" max="11796" width="11.28515625" style="232" customWidth="1"/>
    <col min="11797" max="11797" width="11.85546875" style="232" customWidth="1"/>
    <col min="11798" max="12032" width="9.140625" style="232"/>
    <col min="12033" max="12033" width="6.42578125" style="232" customWidth="1"/>
    <col min="12034" max="12034" width="30.7109375" style="232" customWidth="1"/>
    <col min="12035" max="12036" width="11.5703125" style="232" customWidth="1"/>
    <col min="12037" max="12038" width="8.7109375" style="232" customWidth="1"/>
    <col min="12039" max="12042" width="9.85546875" style="232" bestFit="1" customWidth="1"/>
    <col min="12043" max="12044" width="8.7109375" style="232" customWidth="1"/>
    <col min="12045" max="12045" width="10.7109375" style="232" customWidth="1"/>
    <col min="12046" max="12046" width="34.7109375" style="232" customWidth="1"/>
    <col min="12047" max="12048" width="11.28515625" style="232" customWidth="1"/>
    <col min="12049" max="12049" width="11.85546875" style="232" customWidth="1"/>
    <col min="12050" max="12052" width="11.28515625" style="232" customWidth="1"/>
    <col min="12053" max="12053" width="11.85546875" style="232" customWidth="1"/>
    <col min="12054" max="12288" width="9.140625" style="232"/>
    <col min="12289" max="12289" width="6.42578125" style="232" customWidth="1"/>
    <col min="12290" max="12290" width="30.7109375" style="232" customWidth="1"/>
    <col min="12291" max="12292" width="11.5703125" style="232" customWidth="1"/>
    <col min="12293" max="12294" width="8.7109375" style="232" customWidth="1"/>
    <col min="12295" max="12298" width="9.85546875" style="232" bestFit="1" customWidth="1"/>
    <col min="12299" max="12300" width="8.7109375" style="232" customWidth="1"/>
    <col min="12301" max="12301" width="10.7109375" style="232" customWidth="1"/>
    <col min="12302" max="12302" width="34.7109375" style="232" customWidth="1"/>
    <col min="12303" max="12304" width="11.28515625" style="232" customWidth="1"/>
    <col min="12305" max="12305" width="11.85546875" style="232" customWidth="1"/>
    <col min="12306" max="12308" width="11.28515625" style="232" customWidth="1"/>
    <col min="12309" max="12309" width="11.85546875" style="232" customWidth="1"/>
    <col min="12310" max="12544" width="9.140625" style="232"/>
    <col min="12545" max="12545" width="6.42578125" style="232" customWidth="1"/>
    <col min="12546" max="12546" width="30.7109375" style="232" customWidth="1"/>
    <col min="12547" max="12548" width="11.5703125" style="232" customWidth="1"/>
    <col min="12549" max="12550" width="8.7109375" style="232" customWidth="1"/>
    <col min="12551" max="12554" width="9.85546875" style="232" bestFit="1" customWidth="1"/>
    <col min="12555" max="12556" width="8.7109375" style="232" customWidth="1"/>
    <col min="12557" max="12557" width="10.7109375" style="232" customWidth="1"/>
    <col min="12558" max="12558" width="34.7109375" style="232" customWidth="1"/>
    <col min="12559" max="12560" width="11.28515625" style="232" customWidth="1"/>
    <col min="12561" max="12561" width="11.85546875" style="232" customWidth="1"/>
    <col min="12562" max="12564" width="11.28515625" style="232" customWidth="1"/>
    <col min="12565" max="12565" width="11.85546875" style="232" customWidth="1"/>
    <col min="12566" max="12800" width="9.140625" style="232"/>
    <col min="12801" max="12801" width="6.42578125" style="232" customWidth="1"/>
    <col min="12802" max="12802" width="30.7109375" style="232" customWidth="1"/>
    <col min="12803" max="12804" width="11.5703125" style="232" customWidth="1"/>
    <col min="12805" max="12806" width="8.7109375" style="232" customWidth="1"/>
    <col min="12807" max="12810" width="9.85546875" style="232" bestFit="1" customWidth="1"/>
    <col min="12811" max="12812" width="8.7109375" style="232" customWidth="1"/>
    <col min="12813" max="12813" width="10.7109375" style="232" customWidth="1"/>
    <col min="12814" max="12814" width="34.7109375" style="232" customWidth="1"/>
    <col min="12815" max="12816" width="11.28515625" style="232" customWidth="1"/>
    <col min="12817" max="12817" width="11.85546875" style="232" customWidth="1"/>
    <col min="12818" max="12820" width="11.28515625" style="232" customWidth="1"/>
    <col min="12821" max="12821" width="11.85546875" style="232" customWidth="1"/>
    <col min="12822" max="13056" width="9.140625" style="232"/>
    <col min="13057" max="13057" width="6.42578125" style="232" customWidth="1"/>
    <col min="13058" max="13058" width="30.7109375" style="232" customWidth="1"/>
    <col min="13059" max="13060" width="11.5703125" style="232" customWidth="1"/>
    <col min="13061" max="13062" width="8.7109375" style="232" customWidth="1"/>
    <col min="13063" max="13066" width="9.85546875" style="232" bestFit="1" customWidth="1"/>
    <col min="13067" max="13068" width="8.7109375" style="232" customWidth="1"/>
    <col min="13069" max="13069" width="10.7109375" style="232" customWidth="1"/>
    <col min="13070" max="13070" width="34.7109375" style="232" customWidth="1"/>
    <col min="13071" max="13072" width="11.28515625" style="232" customWidth="1"/>
    <col min="13073" max="13073" width="11.85546875" style="232" customWidth="1"/>
    <col min="13074" max="13076" width="11.28515625" style="232" customWidth="1"/>
    <col min="13077" max="13077" width="11.85546875" style="232" customWidth="1"/>
    <col min="13078" max="13312" width="9.140625" style="232"/>
    <col min="13313" max="13313" width="6.42578125" style="232" customWidth="1"/>
    <col min="13314" max="13314" width="30.7109375" style="232" customWidth="1"/>
    <col min="13315" max="13316" width="11.5703125" style="232" customWidth="1"/>
    <col min="13317" max="13318" width="8.7109375" style="232" customWidth="1"/>
    <col min="13319" max="13322" width="9.85546875" style="232" bestFit="1" customWidth="1"/>
    <col min="13323" max="13324" width="8.7109375" style="232" customWidth="1"/>
    <col min="13325" max="13325" width="10.7109375" style="232" customWidth="1"/>
    <col min="13326" max="13326" width="34.7109375" style="232" customWidth="1"/>
    <col min="13327" max="13328" width="11.28515625" style="232" customWidth="1"/>
    <col min="13329" max="13329" width="11.85546875" style="232" customWidth="1"/>
    <col min="13330" max="13332" width="11.28515625" style="232" customWidth="1"/>
    <col min="13333" max="13333" width="11.85546875" style="232" customWidth="1"/>
    <col min="13334" max="13568" width="9.140625" style="232"/>
    <col min="13569" max="13569" width="6.42578125" style="232" customWidth="1"/>
    <col min="13570" max="13570" width="30.7109375" style="232" customWidth="1"/>
    <col min="13571" max="13572" width="11.5703125" style="232" customWidth="1"/>
    <col min="13573" max="13574" width="8.7109375" style="232" customWidth="1"/>
    <col min="13575" max="13578" width="9.85546875" style="232" bestFit="1" customWidth="1"/>
    <col min="13579" max="13580" width="8.7109375" style="232" customWidth="1"/>
    <col min="13581" max="13581" width="10.7109375" style="232" customWidth="1"/>
    <col min="13582" max="13582" width="34.7109375" style="232" customWidth="1"/>
    <col min="13583" max="13584" width="11.28515625" style="232" customWidth="1"/>
    <col min="13585" max="13585" width="11.85546875" style="232" customWidth="1"/>
    <col min="13586" max="13588" width="11.28515625" style="232" customWidth="1"/>
    <col min="13589" max="13589" width="11.85546875" style="232" customWidth="1"/>
    <col min="13590" max="13824" width="9.140625" style="232"/>
    <col min="13825" max="13825" width="6.42578125" style="232" customWidth="1"/>
    <col min="13826" max="13826" width="30.7109375" style="232" customWidth="1"/>
    <col min="13827" max="13828" width="11.5703125" style="232" customWidth="1"/>
    <col min="13829" max="13830" width="8.7109375" style="232" customWidth="1"/>
    <col min="13831" max="13834" width="9.85546875" style="232" bestFit="1" customWidth="1"/>
    <col min="13835" max="13836" width="8.7109375" style="232" customWidth="1"/>
    <col min="13837" max="13837" width="10.7109375" style="232" customWidth="1"/>
    <col min="13838" max="13838" width="34.7109375" style="232" customWidth="1"/>
    <col min="13839" max="13840" width="11.28515625" style="232" customWidth="1"/>
    <col min="13841" max="13841" width="11.85546875" style="232" customWidth="1"/>
    <col min="13842" max="13844" width="11.28515625" style="232" customWidth="1"/>
    <col min="13845" max="13845" width="11.85546875" style="232" customWidth="1"/>
    <col min="13846" max="14080" width="9.140625" style="232"/>
    <col min="14081" max="14081" width="6.42578125" style="232" customWidth="1"/>
    <col min="14082" max="14082" width="30.7109375" style="232" customWidth="1"/>
    <col min="14083" max="14084" width="11.5703125" style="232" customWidth="1"/>
    <col min="14085" max="14086" width="8.7109375" style="232" customWidth="1"/>
    <col min="14087" max="14090" width="9.85546875" style="232" bestFit="1" customWidth="1"/>
    <col min="14091" max="14092" width="8.7109375" style="232" customWidth="1"/>
    <col min="14093" max="14093" width="10.7109375" style="232" customWidth="1"/>
    <col min="14094" max="14094" width="34.7109375" style="232" customWidth="1"/>
    <col min="14095" max="14096" width="11.28515625" style="232" customWidth="1"/>
    <col min="14097" max="14097" width="11.85546875" style="232" customWidth="1"/>
    <col min="14098" max="14100" width="11.28515625" style="232" customWidth="1"/>
    <col min="14101" max="14101" width="11.85546875" style="232" customWidth="1"/>
    <col min="14102" max="14336" width="9.140625" style="232"/>
    <col min="14337" max="14337" width="6.42578125" style="232" customWidth="1"/>
    <col min="14338" max="14338" width="30.7109375" style="232" customWidth="1"/>
    <col min="14339" max="14340" width="11.5703125" style="232" customWidth="1"/>
    <col min="14341" max="14342" width="8.7109375" style="232" customWidth="1"/>
    <col min="14343" max="14346" width="9.85546875" style="232" bestFit="1" customWidth="1"/>
    <col min="14347" max="14348" width="8.7109375" style="232" customWidth="1"/>
    <col min="14349" max="14349" width="10.7109375" style="232" customWidth="1"/>
    <col min="14350" max="14350" width="34.7109375" style="232" customWidth="1"/>
    <col min="14351" max="14352" width="11.28515625" style="232" customWidth="1"/>
    <col min="14353" max="14353" width="11.85546875" style="232" customWidth="1"/>
    <col min="14354" max="14356" width="11.28515625" style="232" customWidth="1"/>
    <col min="14357" max="14357" width="11.85546875" style="232" customWidth="1"/>
    <col min="14358" max="14592" width="9.140625" style="232"/>
    <col min="14593" max="14593" width="6.42578125" style="232" customWidth="1"/>
    <col min="14594" max="14594" width="30.7109375" style="232" customWidth="1"/>
    <col min="14595" max="14596" width="11.5703125" style="232" customWidth="1"/>
    <col min="14597" max="14598" width="8.7109375" style="232" customWidth="1"/>
    <col min="14599" max="14602" width="9.85546875" style="232" bestFit="1" customWidth="1"/>
    <col min="14603" max="14604" width="8.7109375" style="232" customWidth="1"/>
    <col min="14605" max="14605" width="10.7109375" style="232" customWidth="1"/>
    <col min="14606" max="14606" width="34.7109375" style="232" customWidth="1"/>
    <col min="14607" max="14608" width="11.28515625" style="232" customWidth="1"/>
    <col min="14609" max="14609" width="11.85546875" style="232" customWidth="1"/>
    <col min="14610" max="14612" width="11.28515625" style="232" customWidth="1"/>
    <col min="14613" max="14613" width="11.85546875" style="232" customWidth="1"/>
    <col min="14614" max="14848" width="9.140625" style="232"/>
    <col min="14849" max="14849" width="6.42578125" style="232" customWidth="1"/>
    <col min="14850" max="14850" width="30.7109375" style="232" customWidth="1"/>
    <col min="14851" max="14852" width="11.5703125" style="232" customWidth="1"/>
    <col min="14853" max="14854" width="8.7109375" style="232" customWidth="1"/>
    <col min="14855" max="14858" width="9.85546875" style="232" bestFit="1" customWidth="1"/>
    <col min="14859" max="14860" width="8.7109375" style="232" customWidth="1"/>
    <col min="14861" max="14861" width="10.7109375" style="232" customWidth="1"/>
    <col min="14862" max="14862" width="34.7109375" style="232" customWidth="1"/>
    <col min="14863" max="14864" width="11.28515625" style="232" customWidth="1"/>
    <col min="14865" max="14865" width="11.85546875" style="232" customWidth="1"/>
    <col min="14866" max="14868" width="11.28515625" style="232" customWidth="1"/>
    <col min="14869" max="14869" width="11.85546875" style="232" customWidth="1"/>
    <col min="14870" max="15104" width="9.140625" style="232"/>
    <col min="15105" max="15105" width="6.42578125" style="232" customWidth="1"/>
    <col min="15106" max="15106" width="30.7109375" style="232" customWidth="1"/>
    <col min="15107" max="15108" width="11.5703125" style="232" customWidth="1"/>
    <col min="15109" max="15110" width="8.7109375" style="232" customWidth="1"/>
    <col min="15111" max="15114" width="9.85546875" style="232" bestFit="1" customWidth="1"/>
    <col min="15115" max="15116" width="8.7109375" style="232" customWidth="1"/>
    <col min="15117" max="15117" width="10.7109375" style="232" customWidth="1"/>
    <col min="15118" max="15118" width="34.7109375" style="232" customWidth="1"/>
    <col min="15119" max="15120" width="11.28515625" style="232" customWidth="1"/>
    <col min="15121" max="15121" width="11.85546875" style="232" customWidth="1"/>
    <col min="15122" max="15124" width="11.28515625" style="232" customWidth="1"/>
    <col min="15125" max="15125" width="11.85546875" style="232" customWidth="1"/>
    <col min="15126" max="15360" width="9.140625" style="232"/>
    <col min="15361" max="15361" width="6.42578125" style="232" customWidth="1"/>
    <col min="15362" max="15362" width="30.7109375" style="232" customWidth="1"/>
    <col min="15363" max="15364" width="11.5703125" style="232" customWidth="1"/>
    <col min="15365" max="15366" width="8.7109375" style="232" customWidth="1"/>
    <col min="15367" max="15370" width="9.85546875" style="232" bestFit="1" customWidth="1"/>
    <col min="15371" max="15372" width="8.7109375" style="232" customWidth="1"/>
    <col min="15373" max="15373" width="10.7109375" style="232" customWidth="1"/>
    <col min="15374" max="15374" width="34.7109375" style="232" customWidth="1"/>
    <col min="15375" max="15376" width="11.28515625" style="232" customWidth="1"/>
    <col min="15377" max="15377" width="11.85546875" style="232" customWidth="1"/>
    <col min="15378" max="15380" width="11.28515625" style="232" customWidth="1"/>
    <col min="15381" max="15381" width="11.85546875" style="232" customWidth="1"/>
    <col min="15382" max="15616" width="9.140625" style="232"/>
    <col min="15617" max="15617" width="6.42578125" style="232" customWidth="1"/>
    <col min="15618" max="15618" width="30.7109375" style="232" customWidth="1"/>
    <col min="15619" max="15620" width="11.5703125" style="232" customWidth="1"/>
    <col min="15621" max="15622" width="8.7109375" style="232" customWidth="1"/>
    <col min="15623" max="15626" width="9.85546875" style="232" bestFit="1" customWidth="1"/>
    <col min="15627" max="15628" width="8.7109375" style="232" customWidth="1"/>
    <col min="15629" max="15629" width="10.7109375" style="232" customWidth="1"/>
    <col min="15630" max="15630" width="34.7109375" style="232" customWidth="1"/>
    <col min="15631" max="15632" width="11.28515625" style="232" customWidth="1"/>
    <col min="15633" max="15633" width="11.85546875" style="232" customWidth="1"/>
    <col min="15634" max="15636" width="11.28515625" style="232" customWidth="1"/>
    <col min="15637" max="15637" width="11.85546875" style="232" customWidth="1"/>
    <col min="15638" max="15872" width="9.140625" style="232"/>
    <col min="15873" max="15873" width="6.42578125" style="232" customWidth="1"/>
    <col min="15874" max="15874" width="30.7109375" style="232" customWidth="1"/>
    <col min="15875" max="15876" width="11.5703125" style="232" customWidth="1"/>
    <col min="15877" max="15878" width="8.7109375" style="232" customWidth="1"/>
    <col min="15879" max="15882" width="9.85546875" style="232" bestFit="1" customWidth="1"/>
    <col min="15883" max="15884" width="8.7109375" style="232" customWidth="1"/>
    <col min="15885" max="15885" width="10.7109375" style="232" customWidth="1"/>
    <col min="15886" max="15886" width="34.7109375" style="232" customWidth="1"/>
    <col min="15887" max="15888" width="11.28515625" style="232" customWidth="1"/>
    <col min="15889" max="15889" width="11.85546875" style="232" customWidth="1"/>
    <col min="15890" max="15892" width="11.28515625" style="232" customWidth="1"/>
    <col min="15893" max="15893" width="11.85546875" style="232" customWidth="1"/>
    <col min="15894" max="16128" width="9.140625" style="232"/>
    <col min="16129" max="16129" width="6.42578125" style="232" customWidth="1"/>
    <col min="16130" max="16130" width="30.7109375" style="232" customWidth="1"/>
    <col min="16131" max="16132" width="11.5703125" style="232" customWidth="1"/>
    <col min="16133" max="16134" width="8.7109375" style="232" customWidth="1"/>
    <col min="16135" max="16138" width="9.85546875" style="232" bestFit="1" customWidth="1"/>
    <col min="16139" max="16140" width="8.7109375" style="232" customWidth="1"/>
    <col min="16141" max="16141" width="10.7109375" style="232" customWidth="1"/>
    <col min="16142" max="16142" width="34.7109375" style="232" customWidth="1"/>
    <col min="16143" max="16144" width="11.28515625" style="232" customWidth="1"/>
    <col min="16145" max="16145" width="11.85546875" style="232" customWidth="1"/>
    <col min="16146" max="16148" width="11.28515625" style="232" customWidth="1"/>
    <col min="16149" max="16149" width="11.85546875" style="232" customWidth="1"/>
    <col min="16150" max="16384" width="9.140625" style="232"/>
  </cols>
  <sheetData>
    <row r="1" spans="1:21" ht="15" x14ac:dyDescent="0.25">
      <c r="J1" s="234"/>
      <c r="K1" s="234"/>
      <c r="L1" s="234"/>
      <c r="M1" s="110" t="s">
        <v>973</v>
      </c>
    </row>
    <row r="2" spans="1:21" ht="12.75" customHeight="1" x14ac:dyDescent="0.25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116"/>
    </row>
    <row r="3" spans="1:21" ht="12.75" customHeight="1" x14ac:dyDescent="0.2">
      <c r="A3" s="237"/>
      <c r="B3" s="238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</row>
    <row r="4" spans="1:21" ht="12.75" customHeight="1" x14ac:dyDescent="0.2">
      <c r="A4" s="530" t="s">
        <v>435</v>
      </c>
      <c r="B4" s="530"/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</row>
    <row r="5" spans="1:21" ht="12.75" customHeight="1" x14ac:dyDescent="0.2">
      <c r="A5" s="237"/>
      <c r="B5" s="238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U5" s="239"/>
    </row>
    <row r="6" spans="1:21" ht="12.75" customHeight="1" x14ac:dyDescent="0.2">
      <c r="A6" s="240"/>
      <c r="B6" s="241"/>
      <c r="C6" s="242"/>
      <c r="D6" s="242"/>
      <c r="E6" s="242"/>
      <c r="F6" s="242"/>
      <c r="G6" s="242"/>
      <c r="H6" s="242"/>
      <c r="I6" s="242"/>
      <c r="J6" s="242"/>
      <c r="K6" s="243"/>
      <c r="L6" s="242"/>
      <c r="M6" s="242"/>
      <c r="N6" s="235"/>
      <c r="T6" s="232"/>
    </row>
    <row r="7" spans="1:21" ht="12.75" customHeight="1" x14ac:dyDescent="0.2">
      <c r="A7" s="531" t="s">
        <v>436</v>
      </c>
      <c r="B7" s="531"/>
      <c r="C7" s="531"/>
      <c r="D7" s="531"/>
      <c r="E7" s="531"/>
      <c r="F7" s="531"/>
      <c r="G7" s="531"/>
      <c r="H7" s="531"/>
      <c r="I7" s="531"/>
      <c r="J7" s="531"/>
      <c r="K7" s="531"/>
      <c r="L7" s="531"/>
      <c r="M7" s="531"/>
    </row>
    <row r="8" spans="1:21" ht="12.75" customHeight="1" x14ac:dyDescent="0.2">
      <c r="A8" s="242"/>
      <c r="B8" s="241"/>
      <c r="C8" s="242"/>
      <c r="D8" s="242"/>
      <c r="E8" s="242"/>
      <c r="F8" s="242"/>
      <c r="G8" s="242"/>
      <c r="H8" s="242"/>
      <c r="I8" s="242"/>
      <c r="J8" s="242"/>
      <c r="K8" s="242"/>
      <c r="L8" s="243"/>
      <c r="M8" s="244" t="s">
        <v>437</v>
      </c>
    </row>
    <row r="9" spans="1:21" ht="35.25" customHeight="1" x14ac:dyDescent="0.2">
      <c r="A9" s="245" t="s">
        <v>438</v>
      </c>
      <c r="B9" s="246" t="s">
        <v>439</v>
      </c>
      <c r="C9" s="246" t="s">
        <v>456</v>
      </c>
      <c r="D9" s="246" t="s">
        <v>440</v>
      </c>
      <c r="E9" s="247" t="s">
        <v>441</v>
      </c>
      <c r="F9" s="245" t="s">
        <v>442</v>
      </c>
      <c r="G9" s="247" t="s">
        <v>443</v>
      </c>
      <c r="H9" s="245" t="s">
        <v>444</v>
      </c>
      <c r="I9" s="247" t="s">
        <v>445</v>
      </c>
      <c r="J9" s="245" t="s">
        <v>446</v>
      </c>
      <c r="K9" s="247" t="s">
        <v>457</v>
      </c>
      <c r="L9" s="245" t="s">
        <v>458</v>
      </c>
      <c r="M9" s="248" t="s">
        <v>382</v>
      </c>
      <c r="O9" s="232"/>
      <c r="P9" s="232"/>
      <c r="Q9" s="232"/>
      <c r="R9" s="232"/>
      <c r="S9" s="232"/>
      <c r="T9" s="232"/>
    </row>
    <row r="10" spans="1:21" ht="25.5" x14ac:dyDescent="0.2">
      <c r="A10" s="249" t="s">
        <v>447</v>
      </c>
      <c r="B10" s="250" t="s">
        <v>459</v>
      </c>
      <c r="C10" s="251">
        <v>10000000</v>
      </c>
      <c r="D10" s="251">
        <v>0</v>
      </c>
      <c r="E10" s="251">
        <v>10000000</v>
      </c>
      <c r="F10" s="251"/>
      <c r="G10" s="252"/>
      <c r="H10" s="252"/>
      <c r="I10" s="252"/>
      <c r="J10" s="252"/>
      <c r="K10" s="253"/>
      <c r="L10" s="252"/>
      <c r="M10" s="251">
        <f>SUM(E10:L10)</f>
        <v>10000000</v>
      </c>
      <c r="O10" s="232"/>
      <c r="P10" s="232"/>
      <c r="Q10" s="232"/>
      <c r="R10" s="232"/>
      <c r="S10" s="232"/>
      <c r="T10" s="232"/>
    </row>
    <row r="11" spans="1:21" x14ac:dyDescent="0.2">
      <c r="A11" s="249" t="s">
        <v>448</v>
      </c>
      <c r="B11" s="250"/>
      <c r="C11" s="251"/>
      <c r="D11" s="251"/>
      <c r="E11" s="251"/>
      <c r="F11" s="251"/>
      <c r="G11" s="252"/>
      <c r="H11" s="252"/>
      <c r="I11" s="252"/>
      <c r="J11" s="252"/>
      <c r="K11" s="253"/>
      <c r="L11" s="252"/>
      <c r="M11" s="251">
        <f>SUM(E11:L11)</f>
        <v>0</v>
      </c>
      <c r="O11" s="232"/>
      <c r="P11" s="232"/>
      <c r="Q11" s="232"/>
      <c r="R11" s="232"/>
      <c r="S11" s="232"/>
      <c r="T11" s="232"/>
    </row>
    <row r="12" spans="1:21" x14ac:dyDescent="0.2">
      <c r="A12" s="249" t="s">
        <v>449</v>
      </c>
      <c r="B12" s="250"/>
      <c r="C12" s="251"/>
      <c r="D12" s="251"/>
      <c r="E12" s="251"/>
      <c r="F12" s="251"/>
      <c r="G12" s="252"/>
      <c r="H12" s="252"/>
      <c r="I12" s="252"/>
      <c r="J12" s="252"/>
      <c r="K12" s="253"/>
      <c r="L12" s="252"/>
      <c r="M12" s="251">
        <f>SUM(E12:L12)</f>
        <v>0</v>
      </c>
      <c r="O12" s="232"/>
      <c r="P12" s="232"/>
      <c r="Q12" s="232"/>
      <c r="R12" s="232"/>
      <c r="S12" s="232"/>
      <c r="T12" s="232"/>
    </row>
    <row r="13" spans="1:21" x14ac:dyDescent="0.2">
      <c r="A13" s="252"/>
      <c r="B13" s="254" t="s">
        <v>49</v>
      </c>
      <c r="C13" s="253">
        <f>SUM(C10:C12)</f>
        <v>10000000</v>
      </c>
      <c r="D13" s="253"/>
      <c r="E13" s="253">
        <f t="shared" ref="E13:M13" si="0">SUM(E10:E12)</f>
        <v>10000000</v>
      </c>
      <c r="F13" s="253">
        <f t="shared" si="0"/>
        <v>0</v>
      </c>
      <c r="G13" s="253">
        <f t="shared" si="0"/>
        <v>0</v>
      </c>
      <c r="H13" s="253">
        <f t="shared" si="0"/>
        <v>0</v>
      </c>
      <c r="I13" s="253">
        <f t="shared" si="0"/>
        <v>0</v>
      </c>
      <c r="J13" s="253">
        <f t="shared" si="0"/>
        <v>0</v>
      </c>
      <c r="K13" s="253">
        <f t="shared" si="0"/>
        <v>0</v>
      </c>
      <c r="L13" s="253">
        <f t="shared" si="0"/>
        <v>0</v>
      </c>
      <c r="M13" s="253">
        <f t="shared" si="0"/>
        <v>10000000</v>
      </c>
      <c r="O13" s="232"/>
      <c r="P13" s="232"/>
      <c r="Q13" s="232"/>
      <c r="R13" s="232"/>
      <c r="S13" s="232"/>
      <c r="T13" s="232"/>
    </row>
    <row r="14" spans="1:21" x14ac:dyDescent="0.2">
      <c r="A14" s="242"/>
      <c r="B14" s="255"/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256"/>
      <c r="O14" s="232"/>
      <c r="P14" s="232"/>
      <c r="Q14" s="232"/>
      <c r="R14" s="232"/>
      <c r="S14" s="232"/>
      <c r="T14" s="232"/>
    </row>
    <row r="15" spans="1:21" ht="12.75" customHeight="1" x14ac:dyDescent="0.2">
      <c r="A15" s="530" t="s">
        <v>450</v>
      </c>
      <c r="B15" s="530"/>
      <c r="C15" s="530"/>
      <c r="D15" s="530"/>
      <c r="E15" s="530"/>
      <c r="F15" s="530"/>
      <c r="G15" s="530"/>
      <c r="H15" s="530"/>
      <c r="I15" s="530"/>
      <c r="J15" s="530"/>
      <c r="K15" s="530"/>
      <c r="L15" s="530"/>
      <c r="M15" s="530"/>
    </row>
    <row r="16" spans="1:21" ht="12.75" customHeight="1" x14ac:dyDescent="0.2">
      <c r="L16" s="257"/>
      <c r="M16" s="258" t="s">
        <v>437</v>
      </c>
    </row>
    <row r="17" spans="1:20" ht="12.75" customHeight="1" x14ac:dyDescent="0.2">
      <c r="A17" s="532" t="s">
        <v>438</v>
      </c>
      <c r="B17" s="534" t="s">
        <v>439</v>
      </c>
      <c r="C17" s="534" t="s">
        <v>456</v>
      </c>
      <c r="D17" s="534" t="s">
        <v>440</v>
      </c>
      <c r="E17" s="536" t="s">
        <v>451</v>
      </c>
      <c r="F17" s="536"/>
      <c r="G17" s="536"/>
      <c r="H17" s="536"/>
      <c r="I17" s="536"/>
      <c r="J17" s="536"/>
      <c r="K17" s="536"/>
      <c r="L17" s="536"/>
      <c r="M17" s="537" t="s">
        <v>382</v>
      </c>
    </row>
    <row r="18" spans="1:20" ht="35.25" customHeight="1" x14ac:dyDescent="0.2">
      <c r="A18" s="533"/>
      <c r="B18" s="535"/>
      <c r="C18" s="535"/>
      <c r="D18" s="535"/>
      <c r="E18" s="247" t="s">
        <v>441</v>
      </c>
      <c r="F18" s="245" t="s">
        <v>442</v>
      </c>
      <c r="G18" s="247" t="s">
        <v>443</v>
      </c>
      <c r="H18" s="245" t="s">
        <v>444</v>
      </c>
      <c r="I18" s="247" t="s">
        <v>445</v>
      </c>
      <c r="J18" s="245" t="s">
        <v>446</v>
      </c>
      <c r="K18" s="247" t="s">
        <v>457</v>
      </c>
      <c r="L18" s="245" t="s">
        <v>458</v>
      </c>
      <c r="M18" s="538"/>
      <c r="O18" s="232"/>
      <c r="P18" s="232"/>
      <c r="Q18" s="232"/>
      <c r="R18" s="232"/>
      <c r="S18" s="232"/>
      <c r="T18" s="232"/>
    </row>
    <row r="19" spans="1:20" ht="12.75" customHeight="1" x14ac:dyDescent="0.2">
      <c r="A19" s="249" t="s">
        <v>447</v>
      </c>
      <c r="B19" s="250" t="s">
        <v>452</v>
      </c>
      <c r="C19" s="251">
        <v>4459689</v>
      </c>
      <c r="D19" s="251">
        <f>M19-C19</f>
        <v>4755311</v>
      </c>
      <c r="E19" s="251">
        <v>1086000</v>
      </c>
      <c r="F19" s="251">
        <v>2172000</v>
      </c>
      <c r="G19" s="251">
        <v>2172000</v>
      </c>
      <c r="H19" s="251">
        <v>2172000</v>
      </c>
      <c r="I19" s="251">
        <v>1613000</v>
      </c>
      <c r="J19" s="251"/>
      <c r="K19" s="251">
        <v>0</v>
      </c>
      <c r="L19" s="251">
        <v>0</v>
      </c>
      <c r="M19" s="259">
        <f t="shared" ref="M19:M24" si="1">SUM(E19:L19)</f>
        <v>9215000</v>
      </c>
      <c r="O19" s="232"/>
      <c r="P19" s="232"/>
      <c r="Q19" s="232"/>
      <c r="R19" s="232"/>
      <c r="S19" s="232"/>
      <c r="T19" s="232"/>
    </row>
    <row r="20" spans="1:20" ht="12.75" customHeight="1" x14ac:dyDescent="0.2">
      <c r="A20" s="249" t="s">
        <v>448</v>
      </c>
      <c r="B20" s="250" t="s">
        <v>452</v>
      </c>
      <c r="C20" s="251">
        <v>4498984</v>
      </c>
      <c r="D20" s="251">
        <f>M20-C20</f>
        <v>251016</v>
      </c>
      <c r="E20" s="251">
        <v>560000</v>
      </c>
      <c r="F20" s="251">
        <v>1120000</v>
      </c>
      <c r="G20" s="251">
        <v>1120000</v>
      </c>
      <c r="H20" s="251">
        <v>1120000</v>
      </c>
      <c r="I20" s="251">
        <v>830000</v>
      </c>
      <c r="J20" s="251"/>
      <c r="K20" s="251">
        <v>0</v>
      </c>
      <c r="L20" s="251">
        <v>0</v>
      </c>
      <c r="M20" s="259">
        <f t="shared" si="1"/>
        <v>4750000</v>
      </c>
      <c r="O20" s="232"/>
      <c r="P20" s="232"/>
      <c r="Q20" s="232"/>
      <c r="R20" s="232"/>
      <c r="S20" s="232"/>
      <c r="T20" s="232"/>
    </row>
    <row r="21" spans="1:20" ht="12.75" customHeight="1" x14ac:dyDescent="0.2">
      <c r="A21" s="249" t="s">
        <v>449</v>
      </c>
      <c r="B21" s="250" t="s">
        <v>452</v>
      </c>
      <c r="C21" s="251">
        <v>0</v>
      </c>
      <c r="D21" s="251">
        <f t="shared" ref="D21:D24" si="2">M21-C21</f>
        <v>9500000</v>
      </c>
      <c r="E21" s="251">
        <v>1120000</v>
      </c>
      <c r="F21" s="251">
        <v>2240000</v>
      </c>
      <c r="G21" s="251">
        <v>2240000</v>
      </c>
      <c r="H21" s="251">
        <v>2240000</v>
      </c>
      <c r="I21" s="251">
        <v>1660000</v>
      </c>
      <c r="J21" s="251"/>
      <c r="K21" s="251">
        <v>0</v>
      </c>
      <c r="L21" s="251">
        <v>0</v>
      </c>
      <c r="M21" s="259">
        <f t="shared" si="1"/>
        <v>9500000</v>
      </c>
      <c r="O21" s="232"/>
      <c r="P21" s="232"/>
      <c r="Q21" s="232"/>
      <c r="R21" s="232"/>
      <c r="S21" s="232"/>
      <c r="T21" s="232"/>
    </row>
    <row r="22" spans="1:20" ht="12.75" customHeight="1" x14ac:dyDescent="0.2">
      <c r="A22" s="249" t="s">
        <v>453</v>
      </c>
      <c r="B22" s="250" t="s">
        <v>452</v>
      </c>
      <c r="C22" s="251">
        <v>0</v>
      </c>
      <c r="D22" s="251">
        <f t="shared" si="2"/>
        <v>5700000</v>
      </c>
      <c r="E22" s="251">
        <v>670000</v>
      </c>
      <c r="F22" s="251">
        <v>1340000</v>
      </c>
      <c r="G22" s="251">
        <v>1340000</v>
      </c>
      <c r="H22" s="251">
        <v>1340000</v>
      </c>
      <c r="I22" s="251">
        <v>1010000</v>
      </c>
      <c r="J22" s="251"/>
      <c r="K22" s="251">
        <v>0</v>
      </c>
      <c r="L22" s="251">
        <v>0</v>
      </c>
      <c r="M22" s="259">
        <f t="shared" si="1"/>
        <v>5700000</v>
      </c>
      <c r="O22" s="232"/>
      <c r="P22" s="232"/>
      <c r="Q22" s="232"/>
      <c r="R22" s="232"/>
      <c r="S22" s="232"/>
      <c r="T22" s="232"/>
    </row>
    <row r="23" spans="1:20" ht="12.75" customHeight="1" x14ac:dyDescent="0.2">
      <c r="A23" s="249" t="s">
        <v>454</v>
      </c>
      <c r="B23" s="250" t="s">
        <v>452</v>
      </c>
      <c r="C23" s="251">
        <v>2375000</v>
      </c>
      <c r="D23" s="251">
        <f t="shared" si="2"/>
        <v>0</v>
      </c>
      <c r="E23" s="251">
        <v>280000</v>
      </c>
      <c r="F23" s="251">
        <v>560000</v>
      </c>
      <c r="G23" s="251">
        <v>560000</v>
      </c>
      <c r="H23" s="251">
        <v>560000</v>
      </c>
      <c r="I23" s="251">
        <v>415000</v>
      </c>
      <c r="J23" s="251"/>
      <c r="K23" s="251">
        <v>0</v>
      </c>
      <c r="L23" s="251">
        <v>0</v>
      </c>
      <c r="M23" s="259">
        <f t="shared" si="1"/>
        <v>2375000</v>
      </c>
      <c r="O23" s="232"/>
      <c r="P23" s="232"/>
      <c r="Q23" s="232"/>
      <c r="R23" s="232"/>
      <c r="S23" s="232"/>
      <c r="T23" s="232"/>
    </row>
    <row r="24" spans="1:20" ht="12.75" customHeight="1" x14ac:dyDescent="0.2">
      <c r="A24" s="249" t="s">
        <v>455</v>
      </c>
      <c r="B24" s="250" t="s">
        <v>452</v>
      </c>
      <c r="C24" s="251">
        <v>37075673</v>
      </c>
      <c r="D24" s="251">
        <f t="shared" si="2"/>
        <v>20544818</v>
      </c>
      <c r="E24" s="251">
        <v>3393000</v>
      </c>
      <c r="F24" s="251">
        <v>13572000</v>
      </c>
      <c r="G24" s="251">
        <v>13572000</v>
      </c>
      <c r="H24" s="251">
        <v>13572000</v>
      </c>
      <c r="I24" s="251">
        <v>13511491</v>
      </c>
      <c r="J24" s="251"/>
      <c r="K24" s="251">
        <v>0</v>
      </c>
      <c r="L24" s="251">
        <v>0</v>
      </c>
      <c r="M24" s="259">
        <f t="shared" si="1"/>
        <v>57620491</v>
      </c>
      <c r="O24" s="232"/>
      <c r="P24" s="232"/>
      <c r="Q24" s="232"/>
      <c r="R24" s="232"/>
      <c r="S24" s="232"/>
      <c r="T24" s="232"/>
    </row>
    <row r="25" spans="1:20" ht="12.75" customHeight="1" x14ac:dyDescent="0.2">
      <c r="A25" s="249"/>
      <c r="B25" s="254" t="s">
        <v>49</v>
      </c>
      <c r="C25" s="259">
        <f>SUM(C19:C24)</f>
        <v>48409346</v>
      </c>
      <c r="D25" s="259">
        <f>SUM(D19:D24)</f>
        <v>40751145</v>
      </c>
      <c r="E25" s="259">
        <f t="shared" ref="E25:M25" si="3">SUM(E19:E24)</f>
        <v>7109000</v>
      </c>
      <c r="F25" s="259">
        <f t="shared" si="3"/>
        <v>21004000</v>
      </c>
      <c r="G25" s="259">
        <f t="shared" si="3"/>
        <v>21004000</v>
      </c>
      <c r="H25" s="259">
        <f t="shared" si="3"/>
        <v>21004000</v>
      </c>
      <c r="I25" s="259">
        <f t="shared" si="3"/>
        <v>19039491</v>
      </c>
      <c r="J25" s="259">
        <f t="shared" si="3"/>
        <v>0</v>
      </c>
      <c r="K25" s="259">
        <f t="shared" si="3"/>
        <v>0</v>
      </c>
      <c r="L25" s="259">
        <f t="shared" si="3"/>
        <v>0</v>
      </c>
      <c r="M25" s="259">
        <f t="shared" si="3"/>
        <v>89160491</v>
      </c>
      <c r="O25" s="232"/>
      <c r="P25" s="232"/>
      <c r="Q25" s="232"/>
      <c r="R25" s="232"/>
      <c r="S25" s="232"/>
      <c r="T25" s="232"/>
    </row>
  </sheetData>
  <mergeCells count="9">
    <mergeCell ref="A4:M4"/>
    <mergeCell ref="A7:M7"/>
    <mergeCell ref="A15:M15"/>
    <mergeCell ref="A17:A18"/>
    <mergeCell ref="B17:B18"/>
    <mergeCell ref="C17:C18"/>
    <mergeCell ref="D17:D18"/>
    <mergeCell ref="E17:L17"/>
    <mergeCell ref="M17:M18"/>
  </mergeCells>
  <printOptions horizontalCentered="1"/>
  <pageMargins left="0.19685039370078741" right="0.19685039370078741" top="0.5" bottom="0.19685039370078741" header="0.51181102362204722" footer="0.17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view="pageBreakPreview" zoomScaleNormal="100" zoomScaleSheetLayoutView="100" workbookViewId="0"/>
  </sheetViews>
  <sheetFormatPr defaultRowHeight="12.75" x14ac:dyDescent="0.2"/>
  <cols>
    <col min="1" max="1" width="2.42578125" style="362" customWidth="1"/>
    <col min="2" max="2" width="24.42578125" style="363" customWidth="1"/>
    <col min="3" max="3" width="15.42578125" style="362" customWidth="1"/>
    <col min="4" max="4" width="17.85546875" style="362" customWidth="1"/>
    <col min="5" max="5" width="14.140625" style="362" customWidth="1"/>
    <col min="6" max="6" width="14.42578125" style="364" customWidth="1"/>
    <col min="7" max="7" width="10.42578125" style="362" bestFit="1" customWidth="1"/>
    <col min="8" max="8" width="10.42578125" style="362" customWidth="1"/>
    <col min="9" max="9" width="10.140625" style="362" customWidth="1"/>
    <col min="10" max="10" width="10.5703125" style="362" customWidth="1"/>
    <col min="11" max="11" width="10.42578125" style="362" bestFit="1" customWidth="1"/>
    <col min="12" max="256" width="9.140625" style="362"/>
    <col min="257" max="257" width="2.42578125" style="362" customWidth="1"/>
    <col min="258" max="258" width="24.42578125" style="362" customWidth="1"/>
    <col min="259" max="259" width="15.42578125" style="362" customWidth="1"/>
    <col min="260" max="260" width="17.85546875" style="362" customWidth="1"/>
    <col min="261" max="261" width="14.140625" style="362" customWidth="1"/>
    <col min="262" max="262" width="14.42578125" style="362" customWidth="1"/>
    <col min="263" max="263" width="10.42578125" style="362" bestFit="1" customWidth="1"/>
    <col min="264" max="264" width="10.42578125" style="362" customWidth="1"/>
    <col min="265" max="265" width="10.140625" style="362" customWidth="1"/>
    <col min="266" max="266" width="10.5703125" style="362" customWidth="1"/>
    <col min="267" max="267" width="10.42578125" style="362" bestFit="1" customWidth="1"/>
    <col min="268" max="512" width="9.140625" style="362"/>
    <col min="513" max="513" width="2.42578125" style="362" customWidth="1"/>
    <col min="514" max="514" width="24.42578125" style="362" customWidth="1"/>
    <col min="515" max="515" width="15.42578125" style="362" customWidth="1"/>
    <col min="516" max="516" width="17.85546875" style="362" customWidth="1"/>
    <col min="517" max="517" width="14.140625" style="362" customWidth="1"/>
    <col min="518" max="518" width="14.42578125" style="362" customWidth="1"/>
    <col min="519" max="519" width="10.42578125" style="362" bestFit="1" customWidth="1"/>
    <col min="520" max="520" width="10.42578125" style="362" customWidth="1"/>
    <col min="521" max="521" width="10.140625" style="362" customWidth="1"/>
    <col min="522" max="522" width="10.5703125" style="362" customWidth="1"/>
    <col min="523" max="523" width="10.42578125" style="362" bestFit="1" customWidth="1"/>
    <col min="524" max="768" width="9.140625" style="362"/>
    <col min="769" max="769" width="2.42578125" style="362" customWidth="1"/>
    <col min="770" max="770" width="24.42578125" style="362" customWidth="1"/>
    <col min="771" max="771" width="15.42578125" style="362" customWidth="1"/>
    <col min="772" max="772" width="17.85546875" style="362" customWidth="1"/>
    <col min="773" max="773" width="14.140625" style="362" customWidth="1"/>
    <col min="774" max="774" width="14.42578125" style="362" customWidth="1"/>
    <col min="775" max="775" width="10.42578125" style="362" bestFit="1" customWidth="1"/>
    <col min="776" max="776" width="10.42578125" style="362" customWidth="1"/>
    <col min="777" max="777" width="10.140625" style="362" customWidth="1"/>
    <col min="778" max="778" width="10.5703125" style="362" customWidth="1"/>
    <col min="779" max="779" width="10.42578125" style="362" bestFit="1" customWidth="1"/>
    <col min="780" max="1024" width="9.140625" style="362"/>
    <col min="1025" max="1025" width="2.42578125" style="362" customWidth="1"/>
    <col min="1026" max="1026" width="24.42578125" style="362" customWidth="1"/>
    <col min="1027" max="1027" width="15.42578125" style="362" customWidth="1"/>
    <col min="1028" max="1028" width="17.85546875" style="362" customWidth="1"/>
    <col min="1029" max="1029" width="14.140625" style="362" customWidth="1"/>
    <col min="1030" max="1030" width="14.42578125" style="362" customWidth="1"/>
    <col min="1031" max="1031" width="10.42578125" style="362" bestFit="1" customWidth="1"/>
    <col min="1032" max="1032" width="10.42578125" style="362" customWidth="1"/>
    <col min="1033" max="1033" width="10.140625" style="362" customWidth="1"/>
    <col min="1034" max="1034" width="10.5703125" style="362" customWidth="1"/>
    <col min="1035" max="1035" width="10.42578125" style="362" bestFit="1" customWidth="1"/>
    <col min="1036" max="1280" width="9.140625" style="362"/>
    <col min="1281" max="1281" width="2.42578125" style="362" customWidth="1"/>
    <col min="1282" max="1282" width="24.42578125" style="362" customWidth="1"/>
    <col min="1283" max="1283" width="15.42578125" style="362" customWidth="1"/>
    <col min="1284" max="1284" width="17.85546875" style="362" customWidth="1"/>
    <col min="1285" max="1285" width="14.140625" style="362" customWidth="1"/>
    <col min="1286" max="1286" width="14.42578125" style="362" customWidth="1"/>
    <col min="1287" max="1287" width="10.42578125" style="362" bestFit="1" customWidth="1"/>
    <col min="1288" max="1288" width="10.42578125" style="362" customWidth="1"/>
    <col min="1289" max="1289" width="10.140625" style="362" customWidth="1"/>
    <col min="1290" max="1290" width="10.5703125" style="362" customWidth="1"/>
    <col min="1291" max="1291" width="10.42578125" style="362" bestFit="1" customWidth="1"/>
    <col min="1292" max="1536" width="9.140625" style="362"/>
    <col min="1537" max="1537" width="2.42578125" style="362" customWidth="1"/>
    <col min="1538" max="1538" width="24.42578125" style="362" customWidth="1"/>
    <col min="1539" max="1539" width="15.42578125" style="362" customWidth="1"/>
    <col min="1540" max="1540" width="17.85546875" style="362" customWidth="1"/>
    <col min="1541" max="1541" width="14.140625" style="362" customWidth="1"/>
    <col min="1542" max="1542" width="14.42578125" style="362" customWidth="1"/>
    <col min="1543" max="1543" width="10.42578125" style="362" bestFit="1" customWidth="1"/>
    <col min="1544" max="1544" width="10.42578125" style="362" customWidth="1"/>
    <col min="1545" max="1545" width="10.140625" style="362" customWidth="1"/>
    <col min="1546" max="1546" width="10.5703125" style="362" customWidth="1"/>
    <col min="1547" max="1547" width="10.42578125" style="362" bestFit="1" customWidth="1"/>
    <col min="1548" max="1792" width="9.140625" style="362"/>
    <col min="1793" max="1793" width="2.42578125" style="362" customWidth="1"/>
    <col min="1794" max="1794" width="24.42578125" style="362" customWidth="1"/>
    <col min="1795" max="1795" width="15.42578125" style="362" customWidth="1"/>
    <col min="1796" max="1796" width="17.85546875" style="362" customWidth="1"/>
    <col min="1797" max="1797" width="14.140625" style="362" customWidth="1"/>
    <col min="1798" max="1798" width="14.42578125" style="362" customWidth="1"/>
    <col min="1799" max="1799" width="10.42578125" style="362" bestFit="1" customWidth="1"/>
    <col min="1800" max="1800" width="10.42578125" style="362" customWidth="1"/>
    <col min="1801" max="1801" width="10.140625" style="362" customWidth="1"/>
    <col min="1802" max="1802" width="10.5703125" style="362" customWidth="1"/>
    <col min="1803" max="1803" width="10.42578125" style="362" bestFit="1" customWidth="1"/>
    <col min="1804" max="2048" width="9.140625" style="362"/>
    <col min="2049" max="2049" width="2.42578125" style="362" customWidth="1"/>
    <col min="2050" max="2050" width="24.42578125" style="362" customWidth="1"/>
    <col min="2051" max="2051" width="15.42578125" style="362" customWidth="1"/>
    <col min="2052" max="2052" width="17.85546875" style="362" customWidth="1"/>
    <col min="2053" max="2053" width="14.140625" style="362" customWidth="1"/>
    <col min="2054" max="2054" width="14.42578125" style="362" customWidth="1"/>
    <col min="2055" max="2055" width="10.42578125" style="362" bestFit="1" customWidth="1"/>
    <col min="2056" max="2056" width="10.42578125" style="362" customWidth="1"/>
    <col min="2057" max="2057" width="10.140625" style="362" customWidth="1"/>
    <col min="2058" max="2058" width="10.5703125" style="362" customWidth="1"/>
    <col min="2059" max="2059" width="10.42578125" style="362" bestFit="1" customWidth="1"/>
    <col min="2060" max="2304" width="9.140625" style="362"/>
    <col min="2305" max="2305" width="2.42578125" style="362" customWidth="1"/>
    <col min="2306" max="2306" width="24.42578125" style="362" customWidth="1"/>
    <col min="2307" max="2307" width="15.42578125" style="362" customWidth="1"/>
    <col min="2308" max="2308" width="17.85546875" style="362" customWidth="1"/>
    <col min="2309" max="2309" width="14.140625" style="362" customWidth="1"/>
    <col min="2310" max="2310" width="14.42578125" style="362" customWidth="1"/>
    <col min="2311" max="2311" width="10.42578125" style="362" bestFit="1" customWidth="1"/>
    <col min="2312" max="2312" width="10.42578125" style="362" customWidth="1"/>
    <col min="2313" max="2313" width="10.140625" style="362" customWidth="1"/>
    <col min="2314" max="2314" width="10.5703125" style="362" customWidth="1"/>
    <col min="2315" max="2315" width="10.42578125" style="362" bestFit="1" customWidth="1"/>
    <col min="2316" max="2560" width="9.140625" style="362"/>
    <col min="2561" max="2561" width="2.42578125" style="362" customWidth="1"/>
    <col min="2562" max="2562" width="24.42578125" style="362" customWidth="1"/>
    <col min="2563" max="2563" width="15.42578125" style="362" customWidth="1"/>
    <col min="2564" max="2564" width="17.85546875" style="362" customWidth="1"/>
    <col min="2565" max="2565" width="14.140625" style="362" customWidth="1"/>
    <col min="2566" max="2566" width="14.42578125" style="362" customWidth="1"/>
    <col min="2567" max="2567" width="10.42578125" style="362" bestFit="1" customWidth="1"/>
    <col min="2568" max="2568" width="10.42578125" style="362" customWidth="1"/>
    <col min="2569" max="2569" width="10.140625" style="362" customWidth="1"/>
    <col min="2570" max="2570" width="10.5703125" style="362" customWidth="1"/>
    <col min="2571" max="2571" width="10.42578125" style="362" bestFit="1" customWidth="1"/>
    <col min="2572" max="2816" width="9.140625" style="362"/>
    <col min="2817" max="2817" width="2.42578125" style="362" customWidth="1"/>
    <col min="2818" max="2818" width="24.42578125" style="362" customWidth="1"/>
    <col min="2819" max="2819" width="15.42578125" style="362" customWidth="1"/>
    <col min="2820" max="2820" width="17.85546875" style="362" customWidth="1"/>
    <col min="2821" max="2821" width="14.140625" style="362" customWidth="1"/>
    <col min="2822" max="2822" width="14.42578125" style="362" customWidth="1"/>
    <col min="2823" max="2823" width="10.42578125" style="362" bestFit="1" customWidth="1"/>
    <col min="2824" max="2824" width="10.42578125" style="362" customWidth="1"/>
    <col min="2825" max="2825" width="10.140625" style="362" customWidth="1"/>
    <col min="2826" max="2826" width="10.5703125" style="362" customWidth="1"/>
    <col min="2827" max="2827" width="10.42578125" style="362" bestFit="1" customWidth="1"/>
    <col min="2828" max="3072" width="9.140625" style="362"/>
    <col min="3073" max="3073" width="2.42578125" style="362" customWidth="1"/>
    <col min="3074" max="3074" width="24.42578125" style="362" customWidth="1"/>
    <col min="3075" max="3075" width="15.42578125" style="362" customWidth="1"/>
    <col min="3076" max="3076" width="17.85546875" style="362" customWidth="1"/>
    <col min="3077" max="3077" width="14.140625" style="362" customWidth="1"/>
    <col min="3078" max="3078" width="14.42578125" style="362" customWidth="1"/>
    <col min="3079" max="3079" width="10.42578125" style="362" bestFit="1" customWidth="1"/>
    <col min="3080" max="3080" width="10.42578125" style="362" customWidth="1"/>
    <col min="3081" max="3081" width="10.140625" style="362" customWidth="1"/>
    <col min="3082" max="3082" width="10.5703125" style="362" customWidth="1"/>
    <col min="3083" max="3083" width="10.42578125" style="362" bestFit="1" customWidth="1"/>
    <col min="3084" max="3328" width="9.140625" style="362"/>
    <col min="3329" max="3329" width="2.42578125" style="362" customWidth="1"/>
    <col min="3330" max="3330" width="24.42578125" style="362" customWidth="1"/>
    <col min="3331" max="3331" width="15.42578125" style="362" customWidth="1"/>
    <col min="3332" max="3332" width="17.85546875" style="362" customWidth="1"/>
    <col min="3333" max="3333" width="14.140625" style="362" customWidth="1"/>
    <col min="3334" max="3334" width="14.42578125" style="362" customWidth="1"/>
    <col min="3335" max="3335" width="10.42578125" style="362" bestFit="1" customWidth="1"/>
    <col min="3336" max="3336" width="10.42578125" style="362" customWidth="1"/>
    <col min="3337" max="3337" width="10.140625" style="362" customWidth="1"/>
    <col min="3338" max="3338" width="10.5703125" style="362" customWidth="1"/>
    <col min="3339" max="3339" width="10.42578125" style="362" bestFit="1" customWidth="1"/>
    <col min="3340" max="3584" width="9.140625" style="362"/>
    <col min="3585" max="3585" width="2.42578125" style="362" customWidth="1"/>
    <col min="3586" max="3586" width="24.42578125" style="362" customWidth="1"/>
    <col min="3587" max="3587" width="15.42578125" style="362" customWidth="1"/>
    <col min="3588" max="3588" width="17.85546875" style="362" customWidth="1"/>
    <col min="3589" max="3589" width="14.140625" style="362" customWidth="1"/>
    <col min="3590" max="3590" width="14.42578125" style="362" customWidth="1"/>
    <col min="3591" max="3591" width="10.42578125" style="362" bestFit="1" customWidth="1"/>
    <col min="3592" max="3592" width="10.42578125" style="362" customWidth="1"/>
    <col min="3593" max="3593" width="10.140625" style="362" customWidth="1"/>
    <col min="3594" max="3594" width="10.5703125" style="362" customWidth="1"/>
    <col min="3595" max="3595" width="10.42578125" style="362" bestFit="1" customWidth="1"/>
    <col min="3596" max="3840" width="9.140625" style="362"/>
    <col min="3841" max="3841" width="2.42578125" style="362" customWidth="1"/>
    <col min="3842" max="3842" width="24.42578125" style="362" customWidth="1"/>
    <col min="3843" max="3843" width="15.42578125" style="362" customWidth="1"/>
    <col min="3844" max="3844" width="17.85546875" style="362" customWidth="1"/>
    <col min="3845" max="3845" width="14.140625" style="362" customWidth="1"/>
    <col min="3846" max="3846" width="14.42578125" style="362" customWidth="1"/>
    <col min="3847" max="3847" width="10.42578125" style="362" bestFit="1" customWidth="1"/>
    <col min="3848" max="3848" width="10.42578125" style="362" customWidth="1"/>
    <col min="3849" max="3849" width="10.140625" style="362" customWidth="1"/>
    <col min="3850" max="3850" width="10.5703125" style="362" customWidth="1"/>
    <col min="3851" max="3851" width="10.42578125" style="362" bestFit="1" customWidth="1"/>
    <col min="3852" max="4096" width="9.140625" style="362"/>
    <col min="4097" max="4097" width="2.42578125" style="362" customWidth="1"/>
    <col min="4098" max="4098" width="24.42578125" style="362" customWidth="1"/>
    <col min="4099" max="4099" width="15.42578125" style="362" customWidth="1"/>
    <col min="4100" max="4100" width="17.85546875" style="362" customWidth="1"/>
    <col min="4101" max="4101" width="14.140625" style="362" customWidth="1"/>
    <col min="4102" max="4102" width="14.42578125" style="362" customWidth="1"/>
    <col min="4103" max="4103" width="10.42578125" style="362" bestFit="1" customWidth="1"/>
    <col min="4104" max="4104" width="10.42578125" style="362" customWidth="1"/>
    <col min="4105" max="4105" width="10.140625" style="362" customWidth="1"/>
    <col min="4106" max="4106" width="10.5703125" style="362" customWidth="1"/>
    <col min="4107" max="4107" width="10.42578125" style="362" bestFit="1" customWidth="1"/>
    <col min="4108" max="4352" width="9.140625" style="362"/>
    <col min="4353" max="4353" width="2.42578125" style="362" customWidth="1"/>
    <col min="4354" max="4354" width="24.42578125" style="362" customWidth="1"/>
    <col min="4355" max="4355" width="15.42578125" style="362" customWidth="1"/>
    <col min="4356" max="4356" width="17.85546875" style="362" customWidth="1"/>
    <col min="4357" max="4357" width="14.140625" style="362" customWidth="1"/>
    <col min="4358" max="4358" width="14.42578125" style="362" customWidth="1"/>
    <col min="4359" max="4359" width="10.42578125" style="362" bestFit="1" customWidth="1"/>
    <col min="4360" max="4360" width="10.42578125" style="362" customWidth="1"/>
    <col min="4361" max="4361" width="10.140625" style="362" customWidth="1"/>
    <col min="4362" max="4362" width="10.5703125" style="362" customWidth="1"/>
    <col min="4363" max="4363" width="10.42578125" style="362" bestFit="1" customWidth="1"/>
    <col min="4364" max="4608" width="9.140625" style="362"/>
    <col min="4609" max="4609" width="2.42578125" style="362" customWidth="1"/>
    <col min="4610" max="4610" width="24.42578125" style="362" customWidth="1"/>
    <col min="4611" max="4611" width="15.42578125" style="362" customWidth="1"/>
    <col min="4612" max="4612" width="17.85546875" style="362" customWidth="1"/>
    <col min="4613" max="4613" width="14.140625" style="362" customWidth="1"/>
    <col min="4614" max="4614" width="14.42578125" style="362" customWidth="1"/>
    <col min="4615" max="4615" width="10.42578125" style="362" bestFit="1" customWidth="1"/>
    <col min="4616" max="4616" width="10.42578125" style="362" customWidth="1"/>
    <col min="4617" max="4617" width="10.140625" style="362" customWidth="1"/>
    <col min="4618" max="4618" width="10.5703125" style="362" customWidth="1"/>
    <col min="4619" max="4619" width="10.42578125" style="362" bestFit="1" customWidth="1"/>
    <col min="4620" max="4864" width="9.140625" style="362"/>
    <col min="4865" max="4865" width="2.42578125" style="362" customWidth="1"/>
    <col min="4866" max="4866" width="24.42578125" style="362" customWidth="1"/>
    <col min="4867" max="4867" width="15.42578125" style="362" customWidth="1"/>
    <col min="4868" max="4868" width="17.85546875" style="362" customWidth="1"/>
    <col min="4869" max="4869" width="14.140625" style="362" customWidth="1"/>
    <col min="4870" max="4870" width="14.42578125" style="362" customWidth="1"/>
    <col min="4871" max="4871" width="10.42578125" style="362" bestFit="1" customWidth="1"/>
    <col min="4872" max="4872" width="10.42578125" style="362" customWidth="1"/>
    <col min="4873" max="4873" width="10.140625" style="362" customWidth="1"/>
    <col min="4874" max="4874" width="10.5703125" style="362" customWidth="1"/>
    <col min="4875" max="4875" width="10.42578125" style="362" bestFit="1" customWidth="1"/>
    <col min="4876" max="5120" width="9.140625" style="362"/>
    <col min="5121" max="5121" width="2.42578125" style="362" customWidth="1"/>
    <col min="5122" max="5122" width="24.42578125" style="362" customWidth="1"/>
    <col min="5123" max="5123" width="15.42578125" style="362" customWidth="1"/>
    <col min="5124" max="5124" width="17.85546875" style="362" customWidth="1"/>
    <col min="5125" max="5125" width="14.140625" style="362" customWidth="1"/>
    <col min="5126" max="5126" width="14.42578125" style="362" customWidth="1"/>
    <col min="5127" max="5127" width="10.42578125" style="362" bestFit="1" customWidth="1"/>
    <col min="5128" max="5128" width="10.42578125" style="362" customWidth="1"/>
    <col min="5129" max="5129" width="10.140625" style="362" customWidth="1"/>
    <col min="5130" max="5130" width="10.5703125" style="362" customWidth="1"/>
    <col min="5131" max="5131" width="10.42578125" style="362" bestFit="1" customWidth="1"/>
    <col min="5132" max="5376" width="9.140625" style="362"/>
    <col min="5377" max="5377" width="2.42578125" style="362" customWidth="1"/>
    <col min="5378" max="5378" width="24.42578125" style="362" customWidth="1"/>
    <col min="5379" max="5379" width="15.42578125" style="362" customWidth="1"/>
    <col min="5380" max="5380" width="17.85546875" style="362" customWidth="1"/>
    <col min="5381" max="5381" width="14.140625" style="362" customWidth="1"/>
    <col min="5382" max="5382" width="14.42578125" style="362" customWidth="1"/>
    <col min="5383" max="5383" width="10.42578125" style="362" bestFit="1" customWidth="1"/>
    <col min="5384" max="5384" width="10.42578125" style="362" customWidth="1"/>
    <col min="5385" max="5385" width="10.140625" style="362" customWidth="1"/>
    <col min="5386" max="5386" width="10.5703125" style="362" customWidth="1"/>
    <col min="5387" max="5387" width="10.42578125" style="362" bestFit="1" customWidth="1"/>
    <col min="5388" max="5632" width="9.140625" style="362"/>
    <col min="5633" max="5633" width="2.42578125" style="362" customWidth="1"/>
    <col min="5634" max="5634" width="24.42578125" style="362" customWidth="1"/>
    <col min="5635" max="5635" width="15.42578125" style="362" customWidth="1"/>
    <col min="5636" max="5636" width="17.85546875" style="362" customWidth="1"/>
    <col min="5637" max="5637" width="14.140625" style="362" customWidth="1"/>
    <col min="5638" max="5638" width="14.42578125" style="362" customWidth="1"/>
    <col min="5639" max="5639" width="10.42578125" style="362" bestFit="1" customWidth="1"/>
    <col min="5640" max="5640" width="10.42578125" style="362" customWidth="1"/>
    <col min="5641" max="5641" width="10.140625" style="362" customWidth="1"/>
    <col min="5642" max="5642" width="10.5703125" style="362" customWidth="1"/>
    <col min="5643" max="5643" width="10.42578125" style="362" bestFit="1" customWidth="1"/>
    <col min="5644" max="5888" width="9.140625" style="362"/>
    <col min="5889" max="5889" width="2.42578125" style="362" customWidth="1"/>
    <col min="5890" max="5890" width="24.42578125" style="362" customWidth="1"/>
    <col min="5891" max="5891" width="15.42578125" style="362" customWidth="1"/>
    <col min="5892" max="5892" width="17.85546875" style="362" customWidth="1"/>
    <col min="5893" max="5893" width="14.140625" style="362" customWidth="1"/>
    <col min="5894" max="5894" width="14.42578125" style="362" customWidth="1"/>
    <col min="5895" max="5895" width="10.42578125" style="362" bestFit="1" customWidth="1"/>
    <col min="5896" max="5896" width="10.42578125" style="362" customWidth="1"/>
    <col min="5897" max="5897" width="10.140625" style="362" customWidth="1"/>
    <col min="5898" max="5898" width="10.5703125" style="362" customWidth="1"/>
    <col min="5899" max="5899" width="10.42578125" style="362" bestFit="1" customWidth="1"/>
    <col min="5900" max="6144" width="9.140625" style="362"/>
    <col min="6145" max="6145" width="2.42578125" style="362" customWidth="1"/>
    <col min="6146" max="6146" width="24.42578125" style="362" customWidth="1"/>
    <col min="6147" max="6147" width="15.42578125" style="362" customWidth="1"/>
    <col min="6148" max="6148" width="17.85546875" style="362" customWidth="1"/>
    <col min="6149" max="6149" width="14.140625" style="362" customWidth="1"/>
    <col min="6150" max="6150" width="14.42578125" style="362" customWidth="1"/>
    <col min="6151" max="6151" width="10.42578125" style="362" bestFit="1" customWidth="1"/>
    <col min="6152" max="6152" width="10.42578125" style="362" customWidth="1"/>
    <col min="6153" max="6153" width="10.140625" style="362" customWidth="1"/>
    <col min="6154" max="6154" width="10.5703125" style="362" customWidth="1"/>
    <col min="6155" max="6155" width="10.42578125" style="362" bestFit="1" customWidth="1"/>
    <col min="6156" max="6400" width="9.140625" style="362"/>
    <col min="6401" max="6401" width="2.42578125" style="362" customWidth="1"/>
    <col min="6402" max="6402" width="24.42578125" style="362" customWidth="1"/>
    <col min="6403" max="6403" width="15.42578125" style="362" customWidth="1"/>
    <col min="6404" max="6404" width="17.85546875" style="362" customWidth="1"/>
    <col min="6405" max="6405" width="14.140625" style="362" customWidth="1"/>
    <col min="6406" max="6406" width="14.42578125" style="362" customWidth="1"/>
    <col min="6407" max="6407" width="10.42578125" style="362" bestFit="1" customWidth="1"/>
    <col min="6408" max="6408" width="10.42578125" style="362" customWidth="1"/>
    <col min="6409" max="6409" width="10.140625" style="362" customWidth="1"/>
    <col min="6410" max="6410" width="10.5703125" style="362" customWidth="1"/>
    <col min="6411" max="6411" width="10.42578125" style="362" bestFit="1" customWidth="1"/>
    <col min="6412" max="6656" width="9.140625" style="362"/>
    <col min="6657" max="6657" width="2.42578125" style="362" customWidth="1"/>
    <col min="6658" max="6658" width="24.42578125" style="362" customWidth="1"/>
    <col min="6659" max="6659" width="15.42578125" style="362" customWidth="1"/>
    <col min="6660" max="6660" width="17.85546875" style="362" customWidth="1"/>
    <col min="6661" max="6661" width="14.140625" style="362" customWidth="1"/>
    <col min="6662" max="6662" width="14.42578125" style="362" customWidth="1"/>
    <col min="6663" max="6663" width="10.42578125" style="362" bestFit="1" customWidth="1"/>
    <col min="6664" max="6664" width="10.42578125" style="362" customWidth="1"/>
    <col min="6665" max="6665" width="10.140625" style="362" customWidth="1"/>
    <col min="6666" max="6666" width="10.5703125" style="362" customWidth="1"/>
    <col min="6667" max="6667" width="10.42578125" style="362" bestFit="1" customWidth="1"/>
    <col min="6668" max="6912" width="9.140625" style="362"/>
    <col min="6913" max="6913" width="2.42578125" style="362" customWidth="1"/>
    <col min="6914" max="6914" width="24.42578125" style="362" customWidth="1"/>
    <col min="6915" max="6915" width="15.42578125" style="362" customWidth="1"/>
    <col min="6916" max="6916" width="17.85546875" style="362" customWidth="1"/>
    <col min="6917" max="6917" width="14.140625" style="362" customWidth="1"/>
    <col min="6918" max="6918" width="14.42578125" style="362" customWidth="1"/>
    <col min="6919" max="6919" width="10.42578125" style="362" bestFit="1" customWidth="1"/>
    <col min="6920" max="6920" width="10.42578125" style="362" customWidth="1"/>
    <col min="6921" max="6921" width="10.140625" style="362" customWidth="1"/>
    <col min="6922" max="6922" width="10.5703125" style="362" customWidth="1"/>
    <col min="6923" max="6923" width="10.42578125" style="362" bestFit="1" customWidth="1"/>
    <col min="6924" max="7168" width="9.140625" style="362"/>
    <col min="7169" max="7169" width="2.42578125" style="362" customWidth="1"/>
    <col min="7170" max="7170" width="24.42578125" style="362" customWidth="1"/>
    <col min="7171" max="7171" width="15.42578125" style="362" customWidth="1"/>
    <col min="7172" max="7172" width="17.85546875" style="362" customWidth="1"/>
    <col min="7173" max="7173" width="14.140625" style="362" customWidth="1"/>
    <col min="7174" max="7174" width="14.42578125" style="362" customWidth="1"/>
    <col min="7175" max="7175" width="10.42578125" style="362" bestFit="1" customWidth="1"/>
    <col min="7176" max="7176" width="10.42578125" style="362" customWidth="1"/>
    <col min="7177" max="7177" width="10.140625" style="362" customWidth="1"/>
    <col min="7178" max="7178" width="10.5703125" style="362" customWidth="1"/>
    <col min="7179" max="7179" width="10.42578125" style="362" bestFit="1" customWidth="1"/>
    <col min="7180" max="7424" width="9.140625" style="362"/>
    <col min="7425" max="7425" width="2.42578125" style="362" customWidth="1"/>
    <col min="7426" max="7426" width="24.42578125" style="362" customWidth="1"/>
    <col min="7427" max="7427" width="15.42578125" style="362" customWidth="1"/>
    <col min="7428" max="7428" width="17.85546875" style="362" customWidth="1"/>
    <col min="7429" max="7429" width="14.140625" style="362" customWidth="1"/>
    <col min="7430" max="7430" width="14.42578125" style="362" customWidth="1"/>
    <col min="7431" max="7431" width="10.42578125" style="362" bestFit="1" customWidth="1"/>
    <col min="7432" max="7432" width="10.42578125" style="362" customWidth="1"/>
    <col min="7433" max="7433" width="10.140625" style="362" customWidth="1"/>
    <col min="7434" max="7434" width="10.5703125" style="362" customWidth="1"/>
    <col min="7435" max="7435" width="10.42578125" style="362" bestFit="1" customWidth="1"/>
    <col min="7436" max="7680" width="9.140625" style="362"/>
    <col min="7681" max="7681" width="2.42578125" style="362" customWidth="1"/>
    <col min="7682" max="7682" width="24.42578125" style="362" customWidth="1"/>
    <col min="7683" max="7683" width="15.42578125" style="362" customWidth="1"/>
    <col min="7684" max="7684" width="17.85546875" style="362" customWidth="1"/>
    <col min="7685" max="7685" width="14.140625" style="362" customWidth="1"/>
    <col min="7686" max="7686" width="14.42578125" style="362" customWidth="1"/>
    <col min="7687" max="7687" width="10.42578125" style="362" bestFit="1" customWidth="1"/>
    <col min="7688" max="7688" width="10.42578125" style="362" customWidth="1"/>
    <col min="7689" max="7689" width="10.140625" style="362" customWidth="1"/>
    <col min="7690" max="7690" width="10.5703125" style="362" customWidth="1"/>
    <col min="7691" max="7691" width="10.42578125" style="362" bestFit="1" customWidth="1"/>
    <col min="7692" max="7936" width="9.140625" style="362"/>
    <col min="7937" max="7937" width="2.42578125" style="362" customWidth="1"/>
    <col min="7938" max="7938" width="24.42578125" style="362" customWidth="1"/>
    <col min="7939" max="7939" width="15.42578125" style="362" customWidth="1"/>
    <col min="7940" max="7940" width="17.85546875" style="362" customWidth="1"/>
    <col min="7941" max="7941" width="14.140625" style="362" customWidth="1"/>
    <col min="7942" max="7942" width="14.42578125" style="362" customWidth="1"/>
    <col min="7943" max="7943" width="10.42578125" style="362" bestFit="1" customWidth="1"/>
    <col min="7944" max="7944" width="10.42578125" style="362" customWidth="1"/>
    <col min="7945" max="7945" width="10.140625" style="362" customWidth="1"/>
    <col min="7946" max="7946" width="10.5703125" style="362" customWidth="1"/>
    <col min="7947" max="7947" width="10.42578125" style="362" bestFit="1" customWidth="1"/>
    <col min="7948" max="8192" width="9.140625" style="362"/>
    <col min="8193" max="8193" width="2.42578125" style="362" customWidth="1"/>
    <col min="8194" max="8194" width="24.42578125" style="362" customWidth="1"/>
    <col min="8195" max="8195" width="15.42578125" style="362" customWidth="1"/>
    <col min="8196" max="8196" width="17.85546875" style="362" customWidth="1"/>
    <col min="8197" max="8197" width="14.140625" style="362" customWidth="1"/>
    <col min="8198" max="8198" width="14.42578125" style="362" customWidth="1"/>
    <col min="8199" max="8199" width="10.42578125" style="362" bestFit="1" customWidth="1"/>
    <col min="8200" max="8200" width="10.42578125" style="362" customWidth="1"/>
    <col min="8201" max="8201" width="10.140625" style="362" customWidth="1"/>
    <col min="8202" max="8202" width="10.5703125" style="362" customWidth="1"/>
    <col min="8203" max="8203" width="10.42578125" style="362" bestFit="1" customWidth="1"/>
    <col min="8204" max="8448" width="9.140625" style="362"/>
    <col min="8449" max="8449" width="2.42578125" style="362" customWidth="1"/>
    <col min="8450" max="8450" width="24.42578125" style="362" customWidth="1"/>
    <col min="8451" max="8451" width="15.42578125" style="362" customWidth="1"/>
    <col min="8452" max="8452" width="17.85546875" style="362" customWidth="1"/>
    <col min="8453" max="8453" width="14.140625" style="362" customWidth="1"/>
    <col min="8454" max="8454" width="14.42578125" style="362" customWidth="1"/>
    <col min="8455" max="8455" width="10.42578125" style="362" bestFit="1" customWidth="1"/>
    <col min="8456" max="8456" width="10.42578125" style="362" customWidth="1"/>
    <col min="8457" max="8457" width="10.140625" style="362" customWidth="1"/>
    <col min="8458" max="8458" width="10.5703125" style="362" customWidth="1"/>
    <col min="8459" max="8459" width="10.42578125" style="362" bestFit="1" customWidth="1"/>
    <col min="8460" max="8704" width="9.140625" style="362"/>
    <col min="8705" max="8705" width="2.42578125" style="362" customWidth="1"/>
    <col min="8706" max="8706" width="24.42578125" style="362" customWidth="1"/>
    <col min="8707" max="8707" width="15.42578125" style="362" customWidth="1"/>
    <col min="8708" max="8708" width="17.85546875" style="362" customWidth="1"/>
    <col min="8709" max="8709" width="14.140625" style="362" customWidth="1"/>
    <col min="8710" max="8710" width="14.42578125" style="362" customWidth="1"/>
    <col min="8711" max="8711" width="10.42578125" style="362" bestFit="1" customWidth="1"/>
    <col min="8712" max="8712" width="10.42578125" style="362" customWidth="1"/>
    <col min="8713" max="8713" width="10.140625" style="362" customWidth="1"/>
    <col min="8714" max="8714" width="10.5703125" style="362" customWidth="1"/>
    <col min="8715" max="8715" width="10.42578125" style="362" bestFit="1" customWidth="1"/>
    <col min="8716" max="8960" width="9.140625" style="362"/>
    <col min="8961" max="8961" width="2.42578125" style="362" customWidth="1"/>
    <col min="8962" max="8962" width="24.42578125" style="362" customWidth="1"/>
    <col min="8963" max="8963" width="15.42578125" style="362" customWidth="1"/>
    <col min="8964" max="8964" width="17.85546875" style="362" customWidth="1"/>
    <col min="8965" max="8965" width="14.140625" style="362" customWidth="1"/>
    <col min="8966" max="8966" width="14.42578125" style="362" customWidth="1"/>
    <col min="8967" max="8967" width="10.42578125" style="362" bestFit="1" customWidth="1"/>
    <col min="8968" max="8968" width="10.42578125" style="362" customWidth="1"/>
    <col min="8969" max="8969" width="10.140625" style="362" customWidth="1"/>
    <col min="8970" max="8970" width="10.5703125" style="362" customWidth="1"/>
    <col min="8971" max="8971" width="10.42578125" style="362" bestFit="1" customWidth="1"/>
    <col min="8972" max="9216" width="9.140625" style="362"/>
    <col min="9217" max="9217" width="2.42578125" style="362" customWidth="1"/>
    <col min="9218" max="9218" width="24.42578125" style="362" customWidth="1"/>
    <col min="9219" max="9219" width="15.42578125" style="362" customWidth="1"/>
    <col min="9220" max="9220" width="17.85546875" style="362" customWidth="1"/>
    <col min="9221" max="9221" width="14.140625" style="362" customWidth="1"/>
    <col min="9222" max="9222" width="14.42578125" style="362" customWidth="1"/>
    <col min="9223" max="9223" width="10.42578125" style="362" bestFit="1" customWidth="1"/>
    <col min="9224" max="9224" width="10.42578125" style="362" customWidth="1"/>
    <col min="9225" max="9225" width="10.140625" style="362" customWidth="1"/>
    <col min="9226" max="9226" width="10.5703125" style="362" customWidth="1"/>
    <col min="9227" max="9227" width="10.42578125" style="362" bestFit="1" customWidth="1"/>
    <col min="9228" max="9472" width="9.140625" style="362"/>
    <col min="9473" max="9473" width="2.42578125" style="362" customWidth="1"/>
    <col min="9474" max="9474" width="24.42578125" style="362" customWidth="1"/>
    <col min="9475" max="9475" width="15.42578125" style="362" customWidth="1"/>
    <col min="9476" max="9476" width="17.85546875" style="362" customWidth="1"/>
    <col min="9477" max="9477" width="14.140625" style="362" customWidth="1"/>
    <col min="9478" max="9478" width="14.42578125" style="362" customWidth="1"/>
    <col min="9479" max="9479" width="10.42578125" style="362" bestFit="1" customWidth="1"/>
    <col min="9480" max="9480" width="10.42578125" style="362" customWidth="1"/>
    <col min="9481" max="9481" width="10.140625" style="362" customWidth="1"/>
    <col min="9482" max="9482" width="10.5703125" style="362" customWidth="1"/>
    <col min="9483" max="9483" width="10.42578125" style="362" bestFit="1" customWidth="1"/>
    <col min="9484" max="9728" width="9.140625" style="362"/>
    <col min="9729" max="9729" width="2.42578125" style="362" customWidth="1"/>
    <col min="9730" max="9730" width="24.42578125" style="362" customWidth="1"/>
    <col min="9731" max="9731" width="15.42578125" style="362" customWidth="1"/>
    <col min="9732" max="9732" width="17.85546875" style="362" customWidth="1"/>
    <col min="9733" max="9733" width="14.140625" style="362" customWidth="1"/>
    <col min="9734" max="9734" width="14.42578125" style="362" customWidth="1"/>
    <col min="9735" max="9735" width="10.42578125" style="362" bestFit="1" customWidth="1"/>
    <col min="9736" max="9736" width="10.42578125" style="362" customWidth="1"/>
    <col min="9737" max="9737" width="10.140625" style="362" customWidth="1"/>
    <col min="9738" max="9738" width="10.5703125" style="362" customWidth="1"/>
    <col min="9739" max="9739" width="10.42578125" style="362" bestFit="1" customWidth="1"/>
    <col min="9740" max="9984" width="9.140625" style="362"/>
    <col min="9985" max="9985" width="2.42578125" style="362" customWidth="1"/>
    <col min="9986" max="9986" width="24.42578125" style="362" customWidth="1"/>
    <col min="9987" max="9987" width="15.42578125" style="362" customWidth="1"/>
    <col min="9988" max="9988" width="17.85546875" style="362" customWidth="1"/>
    <col min="9989" max="9989" width="14.140625" style="362" customWidth="1"/>
    <col min="9990" max="9990" width="14.42578125" style="362" customWidth="1"/>
    <col min="9991" max="9991" width="10.42578125" style="362" bestFit="1" customWidth="1"/>
    <col min="9992" max="9992" width="10.42578125" style="362" customWidth="1"/>
    <col min="9993" max="9993" width="10.140625" style="362" customWidth="1"/>
    <col min="9994" max="9994" width="10.5703125" style="362" customWidth="1"/>
    <col min="9995" max="9995" width="10.42578125" style="362" bestFit="1" customWidth="1"/>
    <col min="9996" max="10240" width="9.140625" style="362"/>
    <col min="10241" max="10241" width="2.42578125" style="362" customWidth="1"/>
    <col min="10242" max="10242" width="24.42578125" style="362" customWidth="1"/>
    <col min="10243" max="10243" width="15.42578125" style="362" customWidth="1"/>
    <col min="10244" max="10244" width="17.85546875" style="362" customWidth="1"/>
    <col min="10245" max="10245" width="14.140625" style="362" customWidth="1"/>
    <col min="10246" max="10246" width="14.42578125" style="362" customWidth="1"/>
    <col min="10247" max="10247" width="10.42578125" style="362" bestFit="1" customWidth="1"/>
    <col min="10248" max="10248" width="10.42578125" style="362" customWidth="1"/>
    <col min="10249" max="10249" width="10.140625" style="362" customWidth="1"/>
    <col min="10250" max="10250" width="10.5703125" style="362" customWidth="1"/>
    <col min="10251" max="10251" width="10.42578125" style="362" bestFit="1" customWidth="1"/>
    <col min="10252" max="10496" width="9.140625" style="362"/>
    <col min="10497" max="10497" width="2.42578125" style="362" customWidth="1"/>
    <col min="10498" max="10498" width="24.42578125" style="362" customWidth="1"/>
    <col min="10499" max="10499" width="15.42578125" style="362" customWidth="1"/>
    <col min="10500" max="10500" width="17.85546875" style="362" customWidth="1"/>
    <col min="10501" max="10501" width="14.140625" style="362" customWidth="1"/>
    <col min="10502" max="10502" width="14.42578125" style="362" customWidth="1"/>
    <col min="10503" max="10503" width="10.42578125" style="362" bestFit="1" customWidth="1"/>
    <col min="10504" max="10504" width="10.42578125" style="362" customWidth="1"/>
    <col min="10505" max="10505" width="10.140625" style="362" customWidth="1"/>
    <col min="10506" max="10506" width="10.5703125" style="362" customWidth="1"/>
    <col min="10507" max="10507" width="10.42578125" style="362" bestFit="1" customWidth="1"/>
    <col min="10508" max="10752" width="9.140625" style="362"/>
    <col min="10753" max="10753" width="2.42578125" style="362" customWidth="1"/>
    <col min="10754" max="10754" width="24.42578125" style="362" customWidth="1"/>
    <col min="10755" max="10755" width="15.42578125" style="362" customWidth="1"/>
    <col min="10756" max="10756" width="17.85546875" style="362" customWidth="1"/>
    <col min="10757" max="10757" width="14.140625" style="362" customWidth="1"/>
    <col min="10758" max="10758" width="14.42578125" style="362" customWidth="1"/>
    <col min="10759" max="10759" width="10.42578125" style="362" bestFit="1" customWidth="1"/>
    <col min="10760" max="10760" width="10.42578125" style="362" customWidth="1"/>
    <col min="10761" max="10761" width="10.140625" style="362" customWidth="1"/>
    <col min="10762" max="10762" width="10.5703125" style="362" customWidth="1"/>
    <col min="10763" max="10763" width="10.42578125" style="362" bestFit="1" customWidth="1"/>
    <col min="10764" max="11008" width="9.140625" style="362"/>
    <col min="11009" max="11009" width="2.42578125" style="362" customWidth="1"/>
    <col min="11010" max="11010" width="24.42578125" style="362" customWidth="1"/>
    <col min="11011" max="11011" width="15.42578125" style="362" customWidth="1"/>
    <col min="11012" max="11012" width="17.85546875" style="362" customWidth="1"/>
    <col min="11013" max="11013" width="14.140625" style="362" customWidth="1"/>
    <col min="11014" max="11014" width="14.42578125" style="362" customWidth="1"/>
    <col min="11015" max="11015" width="10.42578125" style="362" bestFit="1" customWidth="1"/>
    <col min="11016" max="11016" width="10.42578125" style="362" customWidth="1"/>
    <col min="11017" max="11017" width="10.140625" style="362" customWidth="1"/>
    <col min="11018" max="11018" width="10.5703125" style="362" customWidth="1"/>
    <col min="11019" max="11019" width="10.42578125" style="362" bestFit="1" customWidth="1"/>
    <col min="11020" max="11264" width="9.140625" style="362"/>
    <col min="11265" max="11265" width="2.42578125" style="362" customWidth="1"/>
    <col min="11266" max="11266" width="24.42578125" style="362" customWidth="1"/>
    <col min="11267" max="11267" width="15.42578125" style="362" customWidth="1"/>
    <col min="11268" max="11268" width="17.85546875" style="362" customWidth="1"/>
    <col min="11269" max="11269" width="14.140625" style="362" customWidth="1"/>
    <col min="11270" max="11270" width="14.42578125" style="362" customWidth="1"/>
    <col min="11271" max="11271" width="10.42578125" style="362" bestFit="1" customWidth="1"/>
    <col min="11272" max="11272" width="10.42578125" style="362" customWidth="1"/>
    <col min="11273" max="11273" width="10.140625" style="362" customWidth="1"/>
    <col min="11274" max="11274" width="10.5703125" style="362" customWidth="1"/>
    <col min="11275" max="11275" width="10.42578125" style="362" bestFit="1" customWidth="1"/>
    <col min="11276" max="11520" width="9.140625" style="362"/>
    <col min="11521" max="11521" width="2.42578125" style="362" customWidth="1"/>
    <col min="11522" max="11522" width="24.42578125" style="362" customWidth="1"/>
    <col min="11523" max="11523" width="15.42578125" style="362" customWidth="1"/>
    <col min="11524" max="11524" width="17.85546875" style="362" customWidth="1"/>
    <col min="11525" max="11525" width="14.140625" style="362" customWidth="1"/>
    <col min="11526" max="11526" width="14.42578125" style="362" customWidth="1"/>
    <col min="11527" max="11527" width="10.42578125" style="362" bestFit="1" customWidth="1"/>
    <col min="11528" max="11528" width="10.42578125" style="362" customWidth="1"/>
    <col min="11529" max="11529" width="10.140625" style="362" customWidth="1"/>
    <col min="11530" max="11530" width="10.5703125" style="362" customWidth="1"/>
    <col min="11531" max="11531" width="10.42578125" style="362" bestFit="1" customWidth="1"/>
    <col min="11532" max="11776" width="9.140625" style="362"/>
    <col min="11777" max="11777" width="2.42578125" style="362" customWidth="1"/>
    <col min="11778" max="11778" width="24.42578125" style="362" customWidth="1"/>
    <col min="11779" max="11779" width="15.42578125" style="362" customWidth="1"/>
    <col min="11780" max="11780" width="17.85546875" style="362" customWidth="1"/>
    <col min="11781" max="11781" width="14.140625" style="362" customWidth="1"/>
    <col min="11782" max="11782" width="14.42578125" style="362" customWidth="1"/>
    <col min="11783" max="11783" width="10.42578125" style="362" bestFit="1" customWidth="1"/>
    <col min="11784" max="11784" width="10.42578125" style="362" customWidth="1"/>
    <col min="11785" max="11785" width="10.140625" style="362" customWidth="1"/>
    <col min="11786" max="11786" width="10.5703125" style="362" customWidth="1"/>
    <col min="11787" max="11787" width="10.42578125" style="362" bestFit="1" customWidth="1"/>
    <col min="11788" max="12032" width="9.140625" style="362"/>
    <col min="12033" max="12033" width="2.42578125" style="362" customWidth="1"/>
    <col min="12034" max="12034" width="24.42578125" style="362" customWidth="1"/>
    <col min="12035" max="12035" width="15.42578125" style="362" customWidth="1"/>
    <col min="12036" max="12036" width="17.85546875" style="362" customWidth="1"/>
    <col min="12037" max="12037" width="14.140625" style="362" customWidth="1"/>
    <col min="12038" max="12038" width="14.42578125" style="362" customWidth="1"/>
    <col min="12039" max="12039" width="10.42578125" style="362" bestFit="1" customWidth="1"/>
    <col min="12040" max="12040" width="10.42578125" style="362" customWidth="1"/>
    <col min="12041" max="12041" width="10.140625" style="362" customWidth="1"/>
    <col min="12042" max="12042" width="10.5703125" style="362" customWidth="1"/>
    <col min="12043" max="12043" width="10.42578125" style="362" bestFit="1" customWidth="1"/>
    <col min="12044" max="12288" width="9.140625" style="362"/>
    <col min="12289" max="12289" width="2.42578125" style="362" customWidth="1"/>
    <col min="12290" max="12290" width="24.42578125" style="362" customWidth="1"/>
    <col min="12291" max="12291" width="15.42578125" style="362" customWidth="1"/>
    <col min="12292" max="12292" width="17.85546875" style="362" customWidth="1"/>
    <col min="12293" max="12293" width="14.140625" style="362" customWidth="1"/>
    <col min="12294" max="12294" width="14.42578125" style="362" customWidth="1"/>
    <col min="12295" max="12295" width="10.42578125" style="362" bestFit="1" customWidth="1"/>
    <col min="12296" max="12296" width="10.42578125" style="362" customWidth="1"/>
    <col min="12297" max="12297" width="10.140625" style="362" customWidth="1"/>
    <col min="12298" max="12298" width="10.5703125" style="362" customWidth="1"/>
    <col min="12299" max="12299" width="10.42578125" style="362" bestFit="1" customWidth="1"/>
    <col min="12300" max="12544" width="9.140625" style="362"/>
    <col min="12545" max="12545" width="2.42578125" style="362" customWidth="1"/>
    <col min="12546" max="12546" width="24.42578125" style="362" customWidth="1"/>
    <col min="12547" max="12547" width="15.42578125" style="362" customWidth="1"/>
    <col min="12548" max="12548" width="17.85546875" style="362" customWidth="1"/>
    <col min="12549" max="12549" width="14.140625" style="362" customWidth="1"/>
    <col min="12550" max="12550" width="14.42578125" style="362" customWidth="1"/>
    <col min="12551" max="12551" width="10.42578125" style="362" bestFit="1" customWidth="1"/>
    <col min="12552" max="12552" width="10.42578125" style="362" customWidth="1"/>
    <col min="12553" max="12553" width="10.140625" style="362" customWidth="1"/>
    <col min="12554" max="12554" width="10.5703125" style="362" customWidth="1"/>
    <col min="12555" max="12555" width="10.42578125" style="362" bestFit="1" customWidth="1"/>
    <col min="12556" max="12800" width="9.140625" style="362"/>
    <col min="12801" max="12801" width="2.42578125" style="362" customWidth="1"/>
    <col min="12802" max="12802" width="24.42578125" style="362" customWidth="1"/>
    <col min="12803" max="12803" width="15.42578125" style="362" customWidth="1"/>
    <col min="12804" max="12804" width="17.85546875" style="362" customWidth="1"/>
    <col min="12805" max="12805" width="14.140625" style="362" customWidth="1"/>
    <col min="12806" max="12806" width="14.42578125" style="362" customWidth="1"/>
    <col min="12807" max="12807" width="10.42578125" style="362" bestFit="1" customWidth="1"/>
    <col min="12808" max="12808" width="10.42578125" style="362" customWidth="1"/>
    <col min="12809" max="12809" width="10.140625" style="362" customWidth="1"/>
    <col min="12810" max="12810" width="10.5703125" style="362" customWidth="1"/>
    <col min="12811" max="12811" width="10.42578125" style="362" bestFit="1" customWidth="1"/>
    <col min="12812" max="13056" width="9.140625" style="362"/>
    <col min="13057" max="13057" width="2.42578125" style="362" customWidth="1"/>
    <col min="13058" max="13058" width="24.42578125" style="362" customWidth="1"/>
    <col min="13059" max="13059" width="15.42578125" style="362" customWidth="1"/>
    <col min="13060" max="13060" width="17.85546875" style="362" customWidth="1"/>
    <col min="13061" max="13061" width="14.140625" style="362" customWidth="1"/>
    <col min="13062" max="13062" width="14.42578125" style="362" customWidth="1"/>
    <col min="13063" max="13063" width="10.42578125" style="362" bestFit="1" customWidth="1"/>
    <col min="13064" max="13064" width="10.42578125" style="362" customWidth="1"/>
    <col min="13065" max="13065" width="10.140625" style="362" customWidth="1"/>
    <col min="13066" max="13066" width="10.5703125" style="362" customWidth="1"/>
    <col min="13067" max="13067" width="10.42578125" style="362" bestFit="1" customWidth="1"/>
    <col min="13068" max="13312" width="9.140625" style="362"/>
    <col min="13313" max="13313" width="2.42578125" style="362" customWidth="1"/>
    <col min="13314" max="13314" width="24.42578125" style="362" customWidth="1"/>
    <col min="13315" max="13315" width="15.42578125" style="362" customWidth="1"/>
    <col min="13316" max="13316" width="17.85546875" style="362" customWidth="1"/>
    <col min="13317" max="13317" width="14.140625" style="362" customWidth="1"/>
    <col min="13318" max="13318" width="14.42578125" style="362" customWidth="1"/>
    <col min="13319" max="13319" width="10.42578125" style="362" bestFit="1" customWidth="1"/>
    <col min="13320" max="13320" width="10.42578125" style="362" customWidth="1"/>
    <col min="13321" max="13321" width="10.140625" style="362" customWidth="1"/>
    <col min="13322" max="13322" width="10.5703125" style="362" customWidth="1"/>
    <col min="13323" max="13323" width="10.42578125" style="362" bestFit="1" customWidth="1"/>
    <col min="13324" max="13568" width="9.140625" style="362"/>
    <col min="13569" max="13569" width="2.42578125" style="362" customWidth="1"/>
    <col min="13570" max="13570" width="24.42578125" style="362" customWidth="1"/>
    <col min="13571" max="13571" width="15.42578125" style="362" customWidth="1"/>
    <col min="13572" max="13572" width="17.85546875" style="362" customWidth="1"/>
    <col min="13573" max="13573" width="14.140625" style="362" customWidth="1"/>
    <col min="13574" max="13574" width="14.42578125" style="362" customWidth="1"/>
    <col min="13575" max="13575" width="10.42578125" style="362" bestFit="1" customWidth="1"/>
    <col min="13576" max="13576" width="10.42578125" style="362" customWidth="1"/>
    <col min="13577" max="13577" width="10.140625" style="362" customWidth="1"/>
    <col min="13578" max="13578" width="10.5703125" style="362" customWidth="1"/>
    <col min="13579" max="13579" width="10.42578125" style="362" bestFit="1" customWidth="1"/>
    <col min="13580" max="13824" width="9.140625" style="362"/>
    <col min="13825" max="13825" width="2.42578125" style="362" customWidth="1"/>
    <col min="13826" max="13826" width="24.42578125" style="362" customWidth="1"/>
    <col min="13827" max="13827" width="15.42578125" style="362" customWidth="1"/>
    <col min="13828" max="13828" width="17.85546875" style="362" customWidth="1"/>
    <col min="13829" max="13829" width="14.140625" style="362" customWidth="1"/>
    <col min="13830" max="13830" width="14.42578125" style="362" customWidth="1"/>
    <col min="13831" max="13831" width="10.42578125" style="362" bestFit="1" customWidth="1"/>
    <col min="13832" max="13832" width="10.42578125" style="362" customWidth="1"/>
    <col min="13833" max="13833" width="10.140625" style="362" customWidth="1"/>
    <col min="13834" max="13834" width="10.5703125" style="362" customWidth="1"/>
    <col min="13835" max="13835" width="10.42578125" style="362" bestFit="1" customWidth="1"/>
    <col min="13836" max="14080" width="9.140625" style="362"/>
    <col min="14081" max="14081" width="2.42578125" style="362" customWidth="1"/>
    <col min="14082" max="14082" width="24.42578125" style="362" customWidth="1"/>
    <col min="14083" max="14083" width="15.42578125" style="362" customWidth="1"/>
    <col min="14084" max="14084" width="17.85546875" style="362" customWidth="1"/>
    <col min="14085" max="14085" width="14.140625" style="362" customWidth="1"/>
    <col min="14086" max="14086" width="14.42578125" style="362" customWidth="1"/>
    <col min="14087" max="14087" width="10.42578125" style="362" bestFit="1" customWidth="1"/>
    <col min="14088" max="14088" width="10.42578125" style="362" customWidth="1"/>
    <col min="14089" max="14089" width="10.140625" style="362" customWidth="1"/>
    <col min="14090" max="14090" width="10.5703125" style="362" customWidth="1"/>
    <col min="14091" max="14091" width="10.42578125" style="362" bestFit="1" customWidth="1"/>
    <col min="14092" max="14336" width="9.140625" style="362"/>
    <col min="14337" max="14337" width="2.42578125" style="362" customWidth="1"/>
    <col min="14338" max="14338" width="24.42578125" style="362" customWidth="1"/>
    <col min="14339" max="14339" width="15.42578125" style="362" customWidth="1"/>
    <col min="14340" max="14340" width="17.85546875" style="362" customWidth="1"/>
    <col min="14341" max="14341" width="14.140625" style="362" customWidth="1"/>
    <col min="14342" max="14342" width="14.42578125" style="362" customWidth="1"/>
    <col min="14343" max="14343" width="10.42578125" style="362" bestFit="1" customWidth="1"/>
    <col min="14344" max="14344" width="10.42578125" style="362" customWidth="1"/>
    <col min="14345" max="14345" width="10.140625" style="362" customWidth="1"/>
    <col min="14346" max="14346" width="10.5703125" style="362" customWidth="1"/>
    <col min="14347" max="14347" width="10.42578125" style="362" bestFit="1" customWidth="1"/>
    <col min="14348" max="14592" width="9.140625" style="362"/>
    <col min="14593" max="14593" width="2.42578125" style="362" customWidth="1"/>
    <col min="14594" max="14594" width="24.42578125" style="362" customWidth="1"/>
    <col min="14595" max="14595" width="15.42578125" style="362" customWidth="1"/>
    <col min="14596" max="14596" width="17.85546875" style="362" customWidth="1"/>
    <col min="14597" max="14597" width="14.140625" style="362" customWidth="1"/>
    <col min="14598" max="14598" width="14.42578125" style="362" customWidth="1"/>
    <col min="14599" max="14599" width="10.42578125" style="362" bestFit="1" customWidth="1"/>
    <col min="14600" max="14600" width="10.42578125" style="362" customWidth="1"/>
    <col min="14601" max="14601" width="10.140625" style="362" customWidth="1"/>
    <col min="14602" max="14602" width="10.5703125" style="362" customWidth="1"/>
    <col min="14603" max="14603" width="10.42578125" style="362" bestFit="1" customWidth="1"/>
    <col min="14604" max="14848" width="9.140625" style="362"/>
    <col min="14849" max="14849" width="2.42578125" style="362" customWidth="1"/>
    <col min="14850" max="14850" width="24.42578125" style="362" customWidth="1"/>
    <col min="14851" max="14851" width="15.42578125" style="362" customWidth="1"/>
    <col min="14852" max="14852" width="17.85546875" style="362" customWidth="1"/>
    <col min="14853" max="14853" width="14.140625" style="362" customWidth="1"/>
    <col min="14854" max="14854" width="14.42578125" style="362" customWidth="1"/>
    <col min="14855" max="14855" width="10.42578125" style="362" bestFit="1" customWidth="1"/>
    <col min="14856" max="14856" width="10.42578125" style="362" customWidth="1"/>
    <col min="14857" max="14857" width="10.140625" style="362" customWidth="1"/>
    <col min="14858" max="14858" width="10.5703125" style="362" customWidth="1"/>
    <col min="14859" max="14859" width="10.42578125" style="362" bestFit="1" customWidth="1"/>
    <col min="14860" max="15104" width="9.140625" style="362"/>
    <col min="15105" max="15105" width="2.42578125" style="362" customWidth="1"/>
    <col min="15106" max="15106" width="24.42578125" style="362" customWidth="1"/>
    <col min="15107" max="15107" width="15.42578125" style="362" customWidth="1"/>
    <col min="15108" max="15108" width="17.85546875" style="362" customWidth="1"/>
    <col min="15109" max="15109" width="14.140625" style="362" customWidth="1"/>
    <col min="15110" max="15110" width="14.42578125" style="362" customWidth="1"/>
    <col min="15111" max="15111" width="10.42578125" style="362" bestFit="1" customWidth="1"/>
    <col min="15112" max="15112" width="10.42578125" style="362" customWidth="1"/>
    <col min="15113" max="15113" width="10.140625" style="362" customWidth="1"/>
    <col min="15114" max="15114" width="10.5703125" style="362" customWidth="1"/>
    <col min="15115" max="15115" width="10.42578125" style="362" bestFit="1" customWidth="1"/>
    <col min="15116" max="15360" width="9.140625" style="362"/>
    <col min="15361" max="15361" width="2.42578125" style="362" customWidth="1"/>
    <col min="15362" max="15362" width="24.42578125" style="362" customWidth="1"/>
    <col min="15363" max="15363" width="15.42578125" style="362" customWidth="1"/>
    <col min="15364" max="15364" width="17.85546875" style="362" customWidth="1"/>
    <col min="15365" max="15365" width="14.140625" style="362" customWidth="1"/>
    <col min="15366" max="15366" width="14.42578125" style="362" customWidth="1"/>
    <col min="15367" max="15367" width="10.42578125" style="362" bestFit="1" customWidth="1"/>
    <col min="15368" max="15368" width="10.42578125" style="362" customWidth="1"/>
    <col min="15369" max="15369" width="10.140625" style="362" customWidth="1"/>
    <col min="15370" max="15370" width="10.5703125" style="362" customWidth="1"/>
    <col min="15371" max="15371" width="10.42578125" style="362" bestFit="1" customWidth="1"/>
    <col min="15372" max="15616" width="9.140625" style="362"/>
    <col min="15617" max="15617" width="2.42578125" style="362" customWidth="1"/>
    <col min="15618" max="15618" width="24.42578125" style="362" customWidth="1"/>
    <col min="15619" max="15619" width="15.42578125" style="362" customWidth="1"/>
    <col min="15620" max="15620" width="17.85546875" style="362" customWidth="1"/>
    <col min="15621" max="15621" width="14.140625" style="362" customWidth="1"/>
    <col min="15622" max="15622" width="14.42578125" style="362" customWidth="1"/>
    <col min="15623" max="15623" width="10.42578125" style="362" bestFit="1" customWidth="1"/>
    <col min="15624" max="15624" width="10.42578125" style="362" customWidth="1"/>
    <col min="15625" max="15625" width="10.140625" style="362" customWidth="1"/>
    <col min="15626" max="15626" width="10.5703125" style="362" customWidth="1"/>
    <col min="15627" max="15627" width="10.42578125" style="362" bestFit="1" customWidth="1"/>
    <col min="15628" max="15872" width="9.140625" style="362"/>
    <col min="15873" max="15873" width="2.42578125" style="362" customWidth="1"/>
    <col min="15874" max="15874" width="24.42578125" style="362" customWidth="1"/>
    <col min="15875" max="15875" width="15.42578125" style="362" customWidth="1"/>
    <col min="15876" max="15876" width="17.85546875" style="362" customWidth="1"/>
    <col min="15877" max="15877" width="14.140625" style="362" customWidth="1"/>
    <col min="15878" max="15878" width="14.42578125" style="362" customWidth="1"/>
    <col min="15879" max="15879" width="10.42578125" style="362" bestFit="1" customWidth="1"/>
    <col min="15880" max="15880" width="10.42578125" style="362" customWidth="1"/>
    <col min="15881" max="15881" width="10.140625" style="362" customWidth="1"/>
    <col min="15882" max="15882" width="10.5703125" style="362" customWidth="1"/>
    <col min="15883" max="15883" width="10.42578125" style="362" bestFit="1" customWidth="1"/>
    <col min="15884" max="16128" width="9.140625" style="362"/>
    <col min="16129" max="16129" width="2.42578125" style="362" customWidth="1"/>
    <col min="16130" max="16130" width="24.42578125" style="362" customWidth="1"/>
    <col min="16131" max="16131" width="15.42578125" style="362" customWidth="1"/>
    <col min="16132" max="16132" width="17.85546875" style="362" customWidth="1"/>
    <col min="16133" max="16133" width="14.140625" style="362" customWidth="1"/>
    <col min="16134" max="16134" width="14.42578125" style="362" customWidth="1"/>
    <col min="16135" max="16135" width="10.42578125" style="362" bestFit="1" customWidth="1"/>
    <col min="16136" max="16136" width="10.42578125" style="362" customWidth="1"/>
    <col min="16137" max="16137" width="10.140625" style="362" customWidth="1"/>
    <col min="16138" max="16138" width="10.5703125" style="362" customWidth="1"/>
    <col min="16139" max="16139" width="10.42578125" style="362" bestFit="1" customWidth="1"/>
    <col min="16140" max="16384" width="9.140625" style="362"/>
  </cols>
  <sheetData>
    <row r="1" spans="1:12" ht="15" x14ac:dyDescent="0.25">
      <c r="K1" s="110" t="s">
        <v>974</v>
      </c>
    </row>
    <row r="2" spans="1:12" ht="15" x14ac:dyDescent="0.25">
      <c r="G2" s="365"/>
      <c r="H2" s="365"/>
      <c r="I2" s="365"/>
      <c r="J2" s="365"/>
      <c r="K2" s="116"/>
    </row>
    <row r="3" spans="1:12" x14ac:dyDescent="0.2">
      <c r="B3" s="539" t="s">
        <v>792</v>
      </c>
      <c r="C3" s="539"/>
      <c r="D3" s="539"/>
      <c r="E3" s="539"/>
      <c r="F3" s="539"/>
      <c r="G3" s="539"/>
      <c r="H3" s="539"/>
      <c r="I3" s="539"/>
      <c r="J3" s="366"/>
    </row>
    <row r="4" spans="1:12" x14ac:dyDescent="0.2">
      <c r="B4" s="367"/>
      <c r="C4" s="368"/>
      <c r="D4" s="368"/>
      <c r="E4" s="368"/>
      <c r="F4" s="369"/>
      <c r="K4" s="370" t="s">
        <v>50</v>
      </c>
    </row>
    <row r="5" spans="1:12" s="363" customFormat="1" ht="38.25" x14ac:dyDescent="0.2">
      <c r="A5" s="371"/>
      <c r="B5" s="372" t="s">
        <v>439</v>
      </c>
      <c r="C5" s="372" t="s">
        <v>793</v>
      </c>
      <c r="D5" s="372" t="s">
        <v>794</v>
      </c>
      <c r="E5" s="372" t="s">
        <v>795</v>
      </c>
      <c r="F5" s="373" t="s">
        <v>796</v>
      </c>
      <c r="G5" s="374" t="s">
        <v>803</v>
      </c>
      <c r="H5" s="374" t="s">
        <v>804</v>
      </c>
      <c r="I5" s="372" t="s">
        <v>797</v>
      </c>
      <c r="J5" s="372" t="s">
        <v>798</v>
      </c>
      <c r="K5" s="372" t="s">
        <v>805</v>
      </c>
    </row>
    <row r="6" spans="1:12" ht="38.25" x14ac:dyDescent="0.2">
      <c r="A6" s="375" t="s">
        <v>447</v>
      </c>
      <c r="B6" s="376" t="s">
        <v>799</v>
      </c>
      <c r="C6" s="377" t="s">
        <v>800</v>
      </c>
      <c r="D6" s="378">
        <v>8000</v>
      </c>
      <c r="E6" s="379" t="s">
        <v>801</v>
      </c>
      <c r="F6" s="379" t="s">
        <v>802</v>
      </c>
      <c r="G6" s="380">
        <v>8000</v>
      </c>
      <c r="H6" s="380"/>
      <c r="I6" s="381">
        <v>8000</v>
      </c>
      <c r="J6" s="381"/>
      <c r="K6" s="375"/>
      <c r="L6" s="382"/>
    </row>
    <row r="7" spans="1:12" x14ac:dyDescent="0.2">
      <c r="A7" s="375" t="s">
        <v>448</v>
      </c>
      <c r="B7" s="376"/>
      <c r="C7" s="377"/>
      <c r="D7" s="378"/>
      <c r="E7" s="379"/>
      <c r="F7" s="379"/>
      <c r="G7" s="380"/>
      <c r="H7" s="380"/>
      <c r="I7" s="381"/>
      <c r="J7" s="381"/>
      <c r="K7" s="375"/>
      <c r="L7" s="382"/>
    </row>
    <row r="8" spans="1:12" x14ac:dyDescent="0.2">
      <c r="A8" s="375" t="s">
        <v>449</v>
      </c>
      <c r="B8" s="376"/>
      <c r="C8" s="377"/>
      <c r="D8" s="378"/>
      <c r="E8" s="379"/>
      <c r="F8" s="379"/>
      <c r="G8" s="383"/>
      <c r="H8" s="383"/>
      <c r="I8" s="384"/>
      <c r="J8" s="384"/>
      <c r="K8" s="384"/>
      <c r="L8" s="382"/>
    </row>
    <row r="9" spans="1:12" x14ac:dyDescent="0.2">
      <c r="L9" s="382"/>
    </row>
    <row r="10" spans="1:12" x14ac:dyDescent="0.2">
      <c r="A10" s="385"/>
      <c r="C10" s="385"/>
      <c r="D10" s="386"/>
      <c r="E10" s="386"/>
      <c r="F10" s="386"/>
      <c r="G10" s="387"/>
      <c r="H10" s="387"/>
    </row>
  </sheetData>
  <mergeCells count="1">
    <mergeCell ref="B3:I3"/>
  </mergeCells>
  <printOptions horizont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0"/>
  <sheetViews>
    <sheetView zoomScaleNormal="100" workbookViewId="0"/>
  </sheetViews>
  <sheetFormatPr defaultRowHeight="12.75" x14ac:dyDescent="0.2"/>
  <cols>
    <col min="1" max="1" width="37.85546875" style="260" customWidth="1"/>
    <col min="2" max="2" width="40.7109375" style="261" customWidth="1"/>
    <col min="3" max="3" width="14.5703125" style="262" customWidth="1"/>
    <col min="4" max="4" width="18" style="263" bestFit="1" customWidth="1"/>
    <col min="5" max="5" width="14" style="266" customWidth="1"/>
    <col min="6" max="6" width="17.28515625" customWidth="1"/>
    <col min="7" max="7" width="24.140625" customWidth="1"/>
    <col min="8" max="8" width="21.7109375" customWidth="1"/>
    <col min="257" max="257" width="37.85546875" customWidth="1"/>
    <col min="258" max="258" width="40.7109375" customWidth="1"/>
    <col min="259" max="259" width="14.5703125" customWidth="1"/>
    <col min="260" max="260" width="18" bestFit="1" customWidth="1"/>
    <col min="261" max="261" width="14" customWidth="1"/>
    <col min="262" max="262" width="17.28515625" customWidth="1"/>
    <col min="263" max="263" width="24.140625" customWidth="1"/>
    <col min="264" max="264" width="21.7109375" customWidth="1"/>
    <col min="513" max="513" width="37.85546875" customWidth="1"/>
    <col min="514" max="514" width="40.7109375" customWidth="1"/>
    <col min="515" max="515" width="14.5703125" customWidth="1"/>
    <col min="516" max="516" width="18" bestFit="1" customWidth="1"/>
    <col min="517" max="517" width="14" customWidth="1"/>
    <col min="518" max="518" width="17.28515625" customWidth="1"/>
    <col min="519" max="519" width="24.140625" customWidth="1"/>
    <col min="520" max="520" width="21.7109375" customWidth="1"/>
    <col min="769" max="769" width="37.85546875" customWidth="1"/>
    <col min="770" max="770" width="40.7109375" customWidth="1"/>
    <col min="771" max="771" width="14.5703125" customWidth="1"/>
    <col min="772" max="772" width="18" bestFit="1" customWidth="1"/>
    <col min="773" max="773" width="14" customWidth="1"/>
    <col min="774" max="774" width="17.28515625" customWidth="1"/>
    <col min="775" max="775" width="24.140625" customWidth="1"/>
    <col min="776" max="776" width="21.7109375" customWidth="1"/>
    <col min="1025" max="1025" width="37.85546875" customWidth="1"/>
    <col min="1026" max="1026" width="40.7109375" customWidth="1"/>
    <col min="1027" max="1027" width="14.5703125" customWidth="1"/>
    <col min="1028" max="1028" width="18" bestFit="1" customWidth="1"/>
    <col min="1029" max="1029" width="14" customWidth="1"/>
    <col min="1030" max="1030" width="17.28515625" customWidth="1"/>
    <col min="1031" max="1031" width="24.140625" customWidth="1"/>
    <col min="1032" max="1032" width="21.7109375" customWidth="1"/>
    <col min="1281" max="1281" width="37.85546875" customWidth="1"/>
    <col min="1282" max="1282" width="40.7109375" customWidth="1"/>
    <col min="1283" max="1283" width="14.5703125" customWidth="1"/>
    <col min="1284" max="1284" width="18" bestFit="1" customWidth="1"/>
    <col min="1285" max="1285" width="14" customWidth="1"/>
    <col min="1286" max="1286" width="17.28515625" customWidth="1"/>
    <col min="1287" max="1287" width="24.140625" customWidth="1"/>
    <col min="1288" max="1288" width="21.7109375" customWidth="1"/>
    <col min="1537" max="1537" width="37.85546875" customWidth="1"/>
    <col min="1538" max="1538" width="40.7109375" customWidth="1"/>
    <col min="1539" max="1539" width="14.5703125" customWidth="1"/>
    <col min="1540" max="1540" width="18" bestFit="1" customWidth="1"/>
    <col min="1541" max="1541" width="14" customWidth="1"/>
    <col min="1542" max="1542" width="17.28515625" customWidth="1"/>
    <col min="1543" max="1543" width="24.140625" customWidth="1"/>
    <col min="1544" max="1544" width="21.7109375" customWidth="1"/>
    <col min="1793" max="1793" width="37.85546875" customWidth="1"/>
    <col min="1794" max="1794" width="40.7109375" customWidth="1"/>
    <col min="1795" max="1795" width="14.5703125" customWidth="1"/>
    <col min="1796" max="1796" width="18" bestFit="1" customWidth="1"/>
    <col min="1797" max="1797" width="14" customWidth="1"/>
    <col min="1798" max="1798" width="17.28515625" customWidth="1"/>
    <col min="1799" max="1799" width="24.140625" customWidth="1"/>
    <col min="1800" max="1800" width="21.7109375" customWidth="1"/>
    <col min="2049" max="2049" width="37.85546875" customWidth="1"/>
    <col min="2050" max="2050" width="40.7109375" customWidth="1"/>
    <col min="2051" max="2051" width="14.5703125" customWidth="1"/>
    <col min="2052" max="2052" width="18" bestFit="1" customWidth="1"/>
    <col min="2053" max="2053" width="14" customWidth="1"/>
    <col min="2054" max="2054" width="17.28515625" customWidth="1"/>
    <col min="2055" max="2055" width="24.140625" customWidth="1"/>
    <col min="2056" max="2056" width="21.7109375" customWidth="1"/>
    <col min="2305" max="2305" width="37.85546875" customWidth="1"/>
    <col min="2306" max="2306" width="40.7109375" customWidth="1"/>
    <col min="2307" max="2307" width="14.5703125" customWidth="1"/>
    <col min="2308" max="2308" width="18" bestFit="1" customWidth="1"/>
    <col min="2309" max="2309" width="14" customWidth="1"/>
    <col min="2310" max="2310" width="17.28515625" customWidth="1"/>
    <col min="2311" max="2311" width="24.140625" customWidth="1"/>
    <col min="2312" max="2312" width="21.7109375" customWidth="1"/>
    <col min="2561" max="2561" width="37.85546875" customWidth="1"/>
    <col min="2562" max="2562" width="40.7109375" customWidth="1"/>
    <col min="2563" max="2563" width="14.5703125" customWidth="1"/>
    <col min="2564" max="2564" width="18" bestFit="1" customWidth="1"/>
    <col min="2565" max="2565" width="14" customWidth="1"/>
    <col min="2566" max="2566" width="17.28515625" customWidth="1"/>
    <col min="2567" max="2567" width="24.140625" customWidth="1"/>
    <col min="2568" max="2568" width="21.7109375" customWidth="1"/>
    <col min="2817" max="2817" width="37.85546875" customWidth="1"/>
    <col min="2818" max="2818" width="40.7109375" customWidth="1"/>
    <col min="2819" max="2819" width="14.5703125" customWidth="1"/>
    <col min="2820" max="2820" width="18" bestFit="1" customWidth="1"/>
    <col min="2821" max="2821" width="14" customWidth="1"/>
    <col min="2822" max="2822" width="17.28515625" customWidth="1"/>
    <col min="2823" max="2823" width="24.140625" customWidth="1"/>
    <col min="2824" max="2824" width="21.7109375" customWidth="1"/>
    <col min="3073" max="3073" width="37.85546875" customWidth="1"/>
    <col min="3074" max="3074" width="40.7109375" customWidth="1"/>
    <col min="3075" max="3075" width="14.5703125" customWidth="1"/>
    <col min="3076" max="3076" width="18" bestFit="1" customWidth="1"/>
    <col min="3077" max="3077" width="14" customWidth="1"/>
    <col min="3078" max="3078" width="17.28515625" customWidth="1"/>
    <col min="3079" max="3079" width="24.140625" customWidth="1"/>
    <col min="3080" max="3080" width="21.7109375" customWidth="1"/>
    <col min="3329" max="3329" width="37.85546875" customWidth="1"/>
    <col min="3330" max="3330" width="40.7109375" customWidth="1"/>
    <col min="3331" max="3331" width="14.5703125" customWidth="1"/>
    <col min="3332" max="3332" width="18" bestFit="1" customWidth="1"/>
    <col min="3333" max="3333" width="14" customWidth="1"/>
    <col min="3334" max="3334" width="17.28515625" customWidth="1"/>
    <col min="3335" max="3335" width="24.140625" customWidth="1"/>
    <col min="3336" max="3336" width="21.7109375" customWidth="1"/>
    <col min="3585" max="3585" width="37.85546875" customWidth="1"/>
    <col min="3586" max="3586" width="40.7109375" customWidth="1"/>
    <col min="3587" max="3587" width="14.5703125" customWidth="1"/>
    <col min="3588" max="3588" width="18" bestFit="1" customWidth="1"/>
    <col min="3589" max="3589" width="14" customWidth="1"/>
    <col min="3590" max="3590" width="17.28515625" customWidth="1"/>
    <col min="3591" max="3591" width="24.140625" customWidth="1"/>
    <col min="3592" max="3592" width="21.7109375" customWidth="1"/>
    <col min="3841" max="3841" width="37.85546875" customWidth="1"/>
    <col min="3842" max="3842" width="40.7109375" customWidth="1"/>
    <col min="3843" max="3843" width="14.5703125" customWidth="1"/>
    <col min="3844" max="3844" width="18" bestFit="1" customWidth="1"/>
    <col min="3845" max="3845" width="14" customWidth="1"/>
    <col min="3846" max="3846" width="17.28515625" customWidth="1"/>
    <col min="3847" max="3847" width="24.140625" customWidth="1"/>
    <col min="3848" max="3848" width="21.7109375" customWidth="1"/>
    <col min="4097" max="4097" width="37.85546875" customWidth="1"/>
    <col min="4098" max="4098" width="40.7109375" customWidth="1"/>
    <col min="4099" max="4099" width="14.5703125" customWidth="1"/>
    <col min="4100" max="4100" width="18" bestFit="1" customWidth="1"/>
    <col min="4101" max="4101" width="14" customWidth="1"/>
    <col min="4102" max="4102" width="17.28515625" customWidth="1"/>
    <col min="4103" max="4103" width="24.140625" customWidth="1"/>
    <col min="4104" max="4104" width="21.7109375" customWidth="1"/>
    <col min="4353" max="4353" width="37.85546875" customWidth="1"/>
    <col min="4354" max="4354" width="40.7109375" customWidth="1"/>
    <col min="4355" max="4355" width="14.5703125" customWidth="1"/>
    <col min="4356" max="4356" width="18" bestFit="1" customWidth="1"/>
    <col min="4357" max="4357" width="14" customWidth="1"/>
    <col min="4358" max="4358" width="17.28515625" customWidth="1"/>
    <col min="4359" max="4359" width="24.140625" customWidth="1"/>
    <col min="4360" max="4360" width="21.7109375" customWidth="1"/>
    <col min="4609" max="4609" width="37.85546875" customWidth="1"/>
    <col min="4610" max="4610" width="40.7109375" customWidth="1"/>
    <col min="4611" max="4611" width="14.5703125" customWidth="1"/>
    <col min="4612" max="4612" width="18" bestFit="1" customWidth="1"/>
    <col min="4613" max="4613" width="14" customWidth="1"/>
    <col min="4614" max="4614" width="17.28515625" customWidth="1"/>
    <col min="4615" max="4615" width="24.140625" customWidth="1"/>
    <col min="4616" max="4616" width="21.7109375" customWidth="1"/>
    <col min="4865" max="4865" width="37.85546875" customWidth="1"/>
    <col min="4866" max="4866" width="40.7109375" customWidth="1"/>
    <col min="4867" max="4867" width="14.5703125" customWidth="1"/>
    <col min="4868" max="4868" width="18" bestFit="1" customWidth="1"/>
    <col min="4869" max="4869" width="14" customWidth="1"/>
    <col min="4870" max="4870" width="17.28515625" customWidth="1"/>
    <col min="4871" max="4871" width="24.140625" customWidth="1"/>
    <col min="4872" max="4872" width="21.7109375" customWidth="1"/>
    <col min="5121" max="5121" width="37.85546875" customWidth="1"/>
    <col min="5122" max="5122" width="40.7109375" customWidth="1"/>
    <col min="5123" max="5123" width="14.5703125" customWidth="1"/>
    <col min="5124" max="5124" width="18" bestFit="1" customWidth="1"/>
    <col min="5125" max="5125" width="14" customWidth="1"/>
    <col min="5126" max="5126" width="17.28515625" customWidth="1"/>
    <col min="5127" max="5127" width="24.140625" customWidth="1"/>
    <col min="5128" max="5128" width="21.7109375" customWidth="1"/>
    <col min="5377" max="5377" width="37.85546875" customWidth="1"/>
    <col min="5378" max="5378" width="40.7109375" customWidth="1"/>
    <col min="5379" max="5379" width="14.5703125" customWidth="1"/>
    <col min="5380" max="5380" width="18" bestFit="1" customWidth="1"/>
    <col min="5381" max="5381" width="14" customWidth="1"/>
    <col min="5382" max="5382" width="17.28515625" customWidth="1"/>
    <col min="5383" max="5383" width="24.140625" customWidth="1"/>
    <col min="5384" max="5384" width="21.7109375" customWidth="1"/>
    <col min="5633" max="5633" width="37.85546875" customWidth="1"/>
    <col min="5634" max="5634" width="40.7109375" customWidth="1"/>
    <col min="5635" max="5635" width="14.5703125" customWidth="1"/>
    <col min="5636" max="5636" width="18" bestFit="1" customWidth="1"/>
    <col min="5637" max="5637" width="14" customWidth="1"/>
    <col min="5638" max="5638" width="17.28515625" customWidth="1"/>
    <col min="5639" max="5639" width="24.140625" customWidth="1"/>
    <col min="5640" max="5640" width="21.7109375" customWidth="1"/>
    <col min="5889" max="5889" width="37.85546875" customWidth="1"/>
    <col min="5890" max="5890" width="40.7109375" customWidth="1"/>
    <col min="5891" max="5891" width="14.5703125" customWidth="1"/>
    <col min="5892" max="5892" width="18" bestFit="1" customWidth="1"/>
    <col min="5893" max="5893" width="14" customWidth="1"/>
    <col min="5894" max="5894" width="17.28515625" customWidth="1"/>
    <col min="5895" max="5895" width="24.140625" customWidth="1"/>
    <col min="5896" max="5896" width="21.7109375" customWidth="1"/>
    <col min="6145" max="6145" width="37.85546875" customWidth="1"/>
    <col min="6146" max="6146" width="40.7109375" customWidth="1"/>
    <col min="6147" max="6147" width="14.5703125" customWidth="1"/>
    <col min="6148" max="6148" width="18" bestFit="1" customWidth="1"/>
    <col min="6149" max="6149" width="14" customWidth="1"/>
    <col min="6150" max="6150" width="17.28515625" customWidth="1"/>
    <col min="6151" max="6151" width="24.140625" customWidth="1"/>
    <col min="6152" max="6152" width="21.7109375" customWidth="1"/>
    <col min="6401" max="6401" width="37.85546875" customWidth="1"/>
    <col min="6402" max="6402" width="40.7109375" customWidth="1"/>
    <col min="6403" max="6403" width="14.5703125" customWidth="1"/>
    <col min="6404" max="6404" width="18" bestFit="1" customWidth="1"/>
    <col min="6405" max="6405" width="14" customWidth="1"/>
    <col min="6406" max="6406" width="17.28515625" customWidth="1"/>
    <col min="6407" max="6407" width="24.140625" customWidth="1"/>
    <col min="6408" max="6408" width="21.7109375" customWidth="1"/>
    <col min="6657" max="6657" width="37.85546875" customWidth="1"/>
    <col min="6658" max="6658" width="40.7109375" customWidth="1"/>
    <col min="6659" max="6659" width="14.5703125" customWidth="1"/>
    <col min="6660" max="6660" width="18" bestFit="1" customWidth="1"/>
    <col min="6661" max="6661" width="14" customWidth="1"/>
    <col min="6662" max="6662" width="17.28515625" customWidth="1"/>
    <col min="6663" max="6663" width="24.140625" customWidth="1"/>
    <col min="6664" max="6664" width="21.7109375" customWidth="1"/>
    <col min="6913" max="6913" width="37.85546875" customWidth="1"/>
    <col min="6914" max="6914" width="40.7109375" customWidth="1"/>
    <col min="6915" max="6915" width="14.5703125" customWidth="1"/>
    <col min="6916" max="6916" width="18" bestFit="1" customWidth="1"/>
    <col min="6917" max="6917" width="14" customWidth="1"/>
    <col min="6918" max="6918" width="17.28515625" customWidth="1"/>
    <col min="6919" max="6919" width="24.140625" customWidth="1"/>
    <col min="6920" max="6920" width="21.7109375" customWidth="1"/>
    <col min="7169" max="7169" width="37.85546875" customWidth="1"/>
    <col min="7170" max="7170" width="40.7109375" customWidth="1"/>
    <col min="7171" max="7171" width="14.5703125" customWidth="1"/>
    <col min="7172" max="7172" width="18" bestFit="1" customWidth="1"/>
    <col min="7173" max="7173" width="14" customWidth="1"/>
    <col min="7174" max="7174" width="17.28515625" customWidth="1"/>
    <col min="7175" max="7175" width="24.140625" customWidth="1"/>
    <col min="7176" max="7176" width="21.7109375" customWidth="1"/>
    <col min="7425" max="7425" width="37.85546875" customWidth="1"/>
    <col min="7426" max="7426" width="40.7109375" customWidth="1"/>
    <col min="7427" max="7427" width="14.5703125" customWidth="1"/>
    <col min="7428" max="7428" width="18" bestFit="1" customWidth="1"/>
    <col min="7429" max="7429" width="14" customWidth="1"/>
    <col min="7430" max="7430" width="17.28515625" customWidth="1"/>
    <col min="7431" max="7431" width="24.140625" customWidth="1"/>
    <col min="7432" max="7432" width="21.7109375" customWidth="1"/>
    <col min="7681" max="7681" width="37.85546875" customWidth="1"/>
    <col min="7682" max="7682" width="40.7109375" customWidth="1"/>
    <col min="7683" max="7683" width="14.5703125" customWidth="1"/>
    <col min="7684" max="7684" width="18" bestFit="1" customWidth="1"/>
    <col min="7685" max="7685" width="14" customWidth="1"/>
    <col min="7686" max="7686" width="17.28515625" customWidth="1"/>
    <col min="7687" max="7687" width="24.140625" customWidth="1"/>
    <col min="7688" max="7688" width="21.7109375" customWidth="1"/>
    <col min="7937" max="7937" width="37.85546875" customWidth="1"/>
    <col min="7938" max="7938" width="40.7109375" customWidth="1"/>
    <col min="7939" max="7939" width="14.5703125" customWidth="1"/>
    <col min="7940" max="7940" width="18" bestFit="1" customWidth="1"/>
    <col min="7941" max="7941" width="14" customWidth="1"/>
    <col min="7942" max="7942" width="17.28515625" customWidth="1"/>
    <col min="7943" max="7943" width="24.140625" customWidth="1"/>
    <col min="7944" max="7944" width="21.7109375" customWidth="1"/>
    <col min="8193" max="8193" width="37.85546875" customWidth="1"/>
    <col min="8194" max="8194" width="40.7109375" customWidth="1"/>
    <col min="8195" max="8195" width="14.5703125" customWidth="1"/>
    <col min="8196" max="8196" width="18" bestFit="1" customWidth="1"/>
    <col min="8197" max="8197" width="14" customWidth="1"/>
    <col min="8198" max="8198" width="17.28515625" customWidth="1"/>
    <col min="8199" max="8199" width="24.140625" customWidth="1"/>
    <col min="8200" max="8200" width="21.7109375" customWidth="1"/>
    <col min="8449" max="8449" width="37.85546875" customWidth="1"/>
    <col min="8450" max="8450" width="40.7109375" customWidth="1"/>
    <col min="8451" max="8451" width="14.5703125" customWidth="1"/>
    <col min="8452" max="8452" width="18" bestFit="1" customWidth="1"/>
    <col min="8453" max="8453" width="14" customWidth="1"/>
    <col min="8454" max="8454" width="17.28515625" customWidth="1"/>
    <col min="8455" max="8455" width="24.140625" customWidth="1"/>
    <col min="8456" max="8456" width="21.7109375" customWidth="1"/>
    <col min="8705" max="8705" width="37.85546875" customWidth="1"/>
    <col min="8706" max="8706" width="40.7109375" customWidth="1"/>
    <col min="8707" max="8707" width="14.5703125" customWidth="1"/>
    <col min="8708" max="8708" width="18" bestFit="1" customWidth="1"/>
    <col min="8709" max="8709" width="14" customWidth="1"/>
    <col min="8710" max="8710" width="17.28515625" customWidth="1"/>
    <col min="8711" max="8711" width="24.140625" customWidth="1"/>
    <col min="8712" max="8712" width="21.7109375" customWidth="1"/>
    <col min="8961" max="8961" width="37.85546875" customWidth="1"/>
    <col min="8962" max="8962" width="40.7109375" customWidth="1"/>
    <col min="8963" max="8963" width="14.5703125" customWidth="1"/>
    <col min="8964" max="8964" width="18" bestFit="1" customWidth="1"/>
    <col min="8965" max="8965" width="14" customWidth="1"/>
    <col min="8966" max="8966" width="17.28515625" customWidth="1"/>
    <col min="8967" max="8967" width="24.140625" customWidth="1"/>
    <col min="8968" max="8968" width="21.7109375" customWidth="1"/>
    <col min="9217" max="9217" width="37.85546875" customWidth="1"/>
    <col min="9218" max="9218" width="40.7109375" customWidth="1"/>
    <col min="9219" max="9219" width="14.5703125" customWidth="1"/>
    <col min="9220" max="9220" width="18" bestFit="1" customWidth="1"/>
    <col min="9221" max="9221" width="14" customWidth="1"/>
    <col min="9222" max="9222" width="17.28515625" customWidth="1"/>
    <col min="9223" max="9223" width="24.140625" customWidth="1"/>
    <col min="9224" max="9224" width="21.7109375" customWidth="1"/>
    <col min="9473" max="9473" width="37.85546875" customWidth="1"/>
    <col min="9474" max="9474" width="40.7109375" customWidth="1"/>
    <col min="9475" max="9475" width="14.5703125" customWidth="1"/>
    <col min="9476" max="9476" width="18" bestFit="1" customWidth="1"/>
    <col min="9477" max="9477" width="14" customWidth="1"/>
    <col min="9478" max="9478" width="17.28515625" customWidth="1"/>
    <col min="9479" max="9479" width="24.140625" customWidth="1"/>
    <col min="9480" max="9480" width="21.7109375" customWidth="1"/>
    <col min="9729" max="9729" width="37.85546875" customWidth="1"/>
    <col min="9730" max="9730" width="40.7109375" customWidth="1"/>
    <col min="9731" max="9731" width="14.5703125" customWidth="1"/>
    <col min="9732" max="9732" width="18" bestFit="1" customWidth="1"/>
    <col min="9733" max="9733" width="14" customWidth="1"/>
    <col min="9734" max="9734" width="17.28515625" customWidth="1"/>
    <col min="9735" max="9735" width="24.140625" customWidth="1"/>
    <col min="9736" max="9736" width="21.7109375" customWidth="1"/>
    <col min="9985" max="9985" width="37.85546875" customWidth="1"/>
    <col min="9986" max="9986" width="40.7109375" customWidth="1"/>
    <col min="9987" max="9987" width="14.5703125" customWidth="1"/>
    <col min="9988" max="9988" width="18" bestFit="1" customWidth="1"/>
    <col min="9989" max="9989" width="14" customWidth="1"/>
    <col min="9990" max="9990" width="17.28515625" customWidth="1"/>
    <col min="9991" max="9991" width="24.140625" customWidth="1"/>
    <col min="9992" max="9992" width="21.7109375" customWidth="1"/>
    <col min="10241" max="10241" width="37.85546875" customWidth="1"/>
    <col min="10242" max="10242" width="40.7109375" customWidth="1"/>
    <col min="10243" max="10243" width="14.5703125" customWidth="1"/>
    <col min="10244" max="10244" width="18" bestFit="1" customWidth="1"/>
    <col min="10245" max="10245" width="14" customWidth="1"/>
    <col min="10246" max="10246" width="17.28515625" customWidth="1"/>
    <col min="10247" max="10247" width="24.140625" customWidth="1"/>
    <col min="10248" max="10248" width="21.7109375" customWidth="1"/>
    <col min="10497" max="10497" width="37.85546875" customWidth="1"/>
    <col min="10498" max="10498" width="40.7109375" customWidth="1"/>
    <col min="10499" max="10499" width="14.5703125" customWidth="1"/>
    <col min="10500" max="10500" width="18" bestFit="1" customWidth="1"/>
    <col min="10501" max="10501" width="14" customWidth="1"/>
    <col min="10502" max="10502" width="17.28515625" customWidth="1"/>
    <col min="10503" max="10503" width="24.140625" customWidth="1"/>
    <col min="10504" max="10504" width="21.7109375" customWidth="1"/>
    <col min="10753" max="10753" width="37.85546875" customWidth="1"/>
    <col min="10754" max="10754" width="40.7109375" customWidth="1"/>
    <col min="10755" max="10755" width="14.5703125" customWidth="1"/>
    <col min="10756" max="10756" width="18" bestFit="1" customWidth="1"/>
    <col min="10757" max="10757" width="14" customWidth="1"/>
    <col min="10758" max="10758" width="17.28515625" customWidth="1"/>
    <col min="10759" max="10759" width="24.140625" customWidth="1"/>
    <col min="10760" max="10760" width="21.7109375" customWidth="1"/>
    <col min="11009" max="11009" width="37.85546875" customWidth="1"/>
    <col min="11010" max="11010" width="40.7109375" customWidth="1"/>
    <col min="11011" max="11011" width="14.5703125" customWidth="1"/>
    <col min="11012" max="11012" width="18" bestFit="1" customWidth="1"/>
    <col min="11013" max="11013" width="14" customWidth="1"/>
    <col min="11014" max="11014" width="17.28515625" customWidth="1"/>
    <col min="11015" max="11015" width="24.140625" customWidth="1"/>
    <col min="11016" max="11016" width="21.7109375" customWidth="1"/>
    <col min="11265" max="11265" width="37.85546875" customWidth="1"/>
    <col min="11266" max="11266" width="40.7109375" customWidth="1"/>
    <col min="11267" max="11267" width="14.5703125" customWidth="1"/>
    <col min="11268" max="11268" width="18" bestFit="1" customWidth="1"/>
    <col min="11269" max="11269" width="14" customWidth="1"/>
    <col min="11270" max="11270" width="17.28515625" customWidth="1"/>
    <col min="11271" max="11271" width="24.140625" customWidth="1"/>
    <col min="11272" max="11272" width="21.7109375" customWidth="1"/>
    <col min="11521" max="11521" width="37.85546875" customWidth="1"/>
    <col min="11522" max="11522" width="40.7109375" customWidth="1"/>
    <col min="11523" max="11523" width="14.5703125" customWidth="1"/>
    <col min="11524" max="11524" width="18" bestFit="1" customWidth="1"/>
    <col min="11525" max="11525" width="14" customWidth="1"/>
    <col min="11526" max="11526" width="17.28515625" customWidth="1"/>
    <col min="11527" max="11527" width="24.140625" customWidth="1"/>
    <col min="11528" max="11528" width="21.7109375" customWidth="1"/>
    <col min="11777" max="11777" width="37.85546875" customWidth="1"/>
    <col min="11778" max="11778" width="40.7109375" customWidth="1"/>
    <col min="11779" max="11779" width="14.5703125" customWidth="1"/>
    <col min="11780" max="11780" width="18" bestFit="1" customWidth="1"/>
    <col min="11781" max="11781" width="14" customWidth="1"/>
    <col min="11782" max="11782" width="17.28515625" customWidth="1"/>
    <col min="11783" max="11783" width="24.140625" customWidth="1"/>
    <col min="11784" max="11784" width="21.7109375" customWidth="1"/>
    <col min="12033" max="12033" width="37.85546875" customWidth="1"/>
    <col min="12034" max="12034" width="40.7109375" customWidth="1"/>
    <col min="12035" max="12035" width="14.5703125" customWidth="1"/>
    <col min="12036" max="12036" width="18" bestFit="1" customWidth="1"/>
    <col min="12037" max="12037" width="14" customWidth="1"/>
    <col min="12038" max="12038" width="17.28515625" customWidth="1"/>
    <col min="12039" max="12039" width="24.140625" customWidth="1"/>
    <col min="12040" max="12040" width="21.7109375" customWidth="1"/>
    <col min="12289" max="12289" width="37.85546875" customWidth="1"/>
    <col min="12290" max="12290" width="40.7109375" customWidth="1"/>
    <col min="12291" max="12291" width="14.5703125" customWidth="1"/>
    <col min="12292" max="12292" width="18" bestFit="1" customWidth="1"/>
    <col min="12293" max="12293" width="14" customWidth="1"/>
    <col min="12294" max="12294" width="17.28515625" customWidth="1"/>
    <col min="12295" max="12295" width="24.140625" customWidth="1"/>
    <col min="12296" max="12296" width="21.7109375" customWidth="1"/>
    <col min="12545" max="12545" width="37.85546875" customWidth="1"/>
    <col min="12546" max="12546" width="40.7109375" customWidth="1"/>
    <col min="12547" max="12547" width="14.5703125" customWidth="1"/>
    <col min="12548" max="12548" width="18" bestFit="1" customWidth="1"/>
    <col min="12549" max="12549" width="14" customWidth="1"/>
    <col min="12550" max="12550" width="17.28515625" customWidth="1"/>
    <col min="12551" max="12551" width="24.140625" customWidth="1"/>
    <col min="12552" max="12552" width="21.7109375" customWidth="1"/>
    <col min="12801" max="12801" width="37.85546875" customWidth="1"/>
    <col min="12802" max="12802" width="40.7109375" customWidth="1"/>
    <col min="12803" max="12803" width="14.5703125" customWidth="1"/>
    <col min="12804" max="12804" width="18" bestFit="1" customWidth="1"/>
    <col min="12805" max="12805" width="14" customWidth="1"/>
    <col min="12806" max="12806" width="17.28515625" customWidth="1"/>
    <col min="12807" max="12807" width="24.140625" customWidth="1"/>
    <col min="12808" max="12808" width="21.7109375" customWidth="1"/>
    <col min="13057" max="13057" width="37.85546875" customWidth="1"/>
    <col min="13058" max="13058" width="40.7109375" customWidth="1"/>
    <col min="13059" max="13059" width="14.5703125" customWidth="1"/>
    <col min="13060" max="13060" width="18" bestFit="1" customWidth="1"/>
    <col min="13061" max="13061" width="14" customWidth="1"/>
    <col min="13062" max="13062" width="17.28515625" customWidth="1"/>
    <col min="13063" max="13063" width="24.140625" customWidth="1"/>
    <col min="13064" max="13064" width="21.7109375" customWidth="1"/>
    <col min="13313" max="13313" width="37.85546875" customWidth="1"/>
    <col min="13314" max="13314" width="40.7109375" customWidth="1"/>
    <col min="13315" max="13315" width="14.5703125" customWidth="1"/>
    <col min="13316" max="13316" width="18" bestFit="1" customWidth="1"/>
    <col min="13317" max="13317" width="14" customWidth="1"/>
    <col min="13318" max="13318" width="17.28515625" customWidth="1"/>
    <col min="13319" max="13319" width="24.140625" customWidth="1"/>
    <col min="13320" max="13320" width="21.7109375" customWidth="1"/>
    <col min="13569" max="13569" width="37.85546875" customWidth="1"/>
    <col min="13570" max="13570" width="40.7109375" customWidth="1"/>
    <col min="13571" max="13571" width="14.5703125" customWidth="1"/>
    <col min="13572" max="13572" width="18" bestFit="1" customWidth="1"/>
    <col min="13573" max="13573" width="14" customWidth="1"/>
    <col min="13574" max="13574" width="17.28515625" customWidth="1"/>
    <col min="13575" max="13575" width="24.140625" customWidth="1"/>
    <col min="13576" max="13576" width="21.7109375" customWidth="1"/>
    <col min="13825" max="13825" width="37.85546875" customWidth="1"/>
    <col min="13826" max="13826" width="40.7109375" customWidth="1"/>
    <col min="13827" max="13827" width="14.5703125" customWidth="1"/>
    <col min="13828" max="13828" width="18" bestFit="1" customWidth="1"/>
    <col min="13829" max="13829" width="14" customWidth="1"/>
    <col min="13830" max="13830" width="17.28515625" customWidth="1"/>
    <col min="13831" max="13831" width="24.140625" customWidth="1"/>
    <col min="13832" max="13832" width="21.7109375" customWidth="1"/>
    <col min="14081" max="14081" width="37.85546875" customWidth="1"/>
    <col min="14082" max="14082" width="40.7109375" customWidth="1"/>
    <col min="14083" max="14083" width="14.5703125" customWidth="1"/>
    <col min="14084" max="14084" width="18" bestFit="1" customWidth="1"/>
    <col min="14085" max="14085" width="14" customWidth="1"/>
    <col min="14086" max="14086" width="17.28515625" customWidth="1"/>
    <col min="14087" max="14087" width="24.140625" customWidth="1"/>
    <col min="14088" max="14088" width="21.7109375" customWidth="1"/>
    <col min="14337" max="14337" width="37.85546875" customWidth="1"/>
    <col min="14338" max="14338" width="40.7109375" customWidth="1"/>
    <col min="14339" max="14339" width="14.5703125" customWidth="1"/>
    <col min="14340" max="14340" width="18" bestFit="1" customWidth="1"/>
    <col min="14341" max="14341" width="14" customWidth="1"/>
    <col min="14342" max="14342" width="17.28515625" customWidth="1"/>
    <col min="14343" max="14343" width="24.140625" customWidth="1"/>
    <col min="14344" max="14344" width="21.7109375" customWidth="1"/>
    <col min="14593" max="14593" width="37.85546875" customWidth="1"/>
    <col min="14594" max="14594" width="40.7109375" customWidth="1"/>
    <col min="14595" max="14595" width="14.5703125" customWidth="1"/>
    <col min="14596" max="14596" width="18" bestFit="1" customWidth="1"/>
    <col min="14597" max="14597" width="14" customWidth="1"/>
    <col min="14598" max="14598" width="17.28515625" customWidth="1"/>
    <col min="14599" max="14599" width="24.140625" customWidth="1"/>
    <col min="14600" max="14600" width="21.7109375" customWidth="1"/>
    <col min="14849" max="14849" width="37.85546875" customWidth="1"/>
    <col min="14850" max="14850" width="40.7109375" customWidth="1"/>
    <col min="14851" max="14851" width="14.5703125" customWidth="1"/>
    <col min="14852" max="14852" width="18" bestFit="1" customWidth="1"/>
    <col min="14853" max="14853" width="14" customWidth="1"/>
    <col min="14854" max="14854" width="17.28515625" customWidth="1"/>
    <col min="14855" max="14855" width="24.140625" customWidth="1"/>
    <col min="14856" max="14856" width="21.7109375" customWidth="1"/>
    <col min="15105" max="15105" width="37.85546875" customWidth="1"/>
    <col min="15106" max="15106" width="40.7109375" customWidth="1"/>
    <col min="15107" max="15107" width="14.5703125" customWidth="1"/>
    <col min="15108" max="15108" width="18" bestFit="1" customWidth="1"/>
    <col min="15109" max="15109" width="14" customWidth="1"/>
    <col min="15110" max="15110" width="17.28515625" customWidth="1"/>
    <col min="15111" max="15111" width="24.140625" customWidth="1"/>
    <col min="15112" max="15112" width="21.7109375" customWidth="1"/>
    <col min="15361" max="15361" width="37.85546875" customWidth="1"/>
    <col min="15362" max="15362" width="40.7109375" customWidth="1"/>
    <col min="15363" max="15363" width="14.5703125" customWidth="1"/>
    <col min="15364" max="15364" width="18" bestFit="1" customWidth="1"/>
    <col min="15365" max="15365" width="14" customWidth="1"/>
    <col min="15366" max="15366" width="17.28515625" customWidth="1"/>
    <col min="15367" max="15367" width="24.140625" customWidth="1"/>
    <col min="15368" max="15368" width="21.7109375" customWidth="1"/>
    <col min="15617" max="15617" width="37.85546875" customWidth="1"/>
    <col min="15618" max="15618" width="40.7109375" customWidth="1"/>
    <col min="15619" max="15619" width="14.5703125" customWidth="1"/>
    <col min="15620" max="15620" width="18" bestFit="1" customWidth="1"/>
    <col min="15621" max="15621" width="14" customWidth="1"/>
    <col min="15622" max="15622" width="17.28515625" customWidth="1"/>
    <col min="15623" max="15623" width="24.140625" customWidth="1"/>
    <col min="15624" max="15624" width="21.7109375" customWidth="1"/>
    <col min="15873" max="15873" width="37.85546875" customWidth="1"/>
    <col min="15874" max="15874" width="40.7109375" customWidth="1"/>
    <col min="15875" max="15875" width="14.5703125" customWidth="1"/>
    <col min="15876" max="15876" width="18" bestFit="1" customWidth="1"/>
    <col min="15877" max="15877" width="14" customWidth="1"/>
    <col min="15878" max="15878" width="17.28515625" customWidth="1"/>
    <col min="15879" max="15879" width="24.140625" customWidth="1"/>
    <col min="15880" max="15880" width="21.7109375" customWidth="1"/>
    <col min="16129" max="16129" width="37.85546875" customWidth="1"/>
    <col min="16130" max="16130" width="40.7109375" customWidth="1"/>
    <col min="16131" max="16131" width="14.5703125" customWidth="1"/>
    <col min="16132" max="16132" width="18" bestFit="1" customWidth="1"/>
    <col min="16133" max="16133" width="14" customWidth="1"/>
    <col min="16134" max="16134" width="17.28515625" customWidth="1"/>
    <col min="16135" max="16135" width="24.140625" customWidth="1"/>
    <col min="16136" max="16136" width="21.7109375" customWidth="1"/>
  </cols>
  <sheetData>
    <row r="1" spans="1:8" x14ac:dyDescent="0.2">
      <c r="E1" s="263" t="s">
        <v>975</v>
      </c>
    </row>
    <row r="2" spans="1:8" x14ac:dyDescent="0.2">
      <c r="E2" s="263"/>
    </row>
    <row r="3" spans="1:8" x14ac:dyDescent="0.2">
      <c r="A3" s="541" t="s">
        <v>460</v>
      </c>
      <c r="B3" s="541"/>
      <c r="C3" s="541"/>
      <c r="D3" s="541"/>
      <c r="E3" s="541"/>
    </row>
    <row r="4" spans="1:8" x14ac:dyDescent="0.2">
      <c r="E4" s="263"/>
    </row>
    <row r="5" spans="1:8" s="213" customFormat="1" x14ac:dyDescent="0.2">
      <c r="A5" s="260"/>
      <c r="B5" s="261"/>
      <c r="C5" s="262"/>
      <c r="D5" s="263"/>
      <c r="E5" s="263" t="s">
        <v>461</v>
      </c>
    </row>
    <row r="6" spans="1:8" s="213" customFormat="1" ht="13.5" thickBot="1" x14ac:dyDescent="0.25">
      <c r="A6" s="261"/>
      <c r="B6" s="264"/>
      <c r="C6" s="265"/>
      <c r="D6" s="266"/>
      <c r="E6" s="361">
        <v>1</v>
      </c>
    </row>
    <row r="7" spans="1:8" s="213" customFormat="1" ht="12.75" customHeight="1" x14ac:dyDescent="0.2">
      <c r="A7" s="542" t="s">
        <v>462</v>
      </c>
      <c r="B7" s="544" t="s">
        <v>463</v>
      </c>
      <c r="C7" s="546" t="s">
        <v>464</v>
      </c>
      <c r="D7" s="548" t="s">
        <v>465</v>
      </c>
      <c r="E7" s="550" t="s">
        <v>466</v>
      </c>
      <c r="G7" s="540"/>
    </row>
    <row r="8" spans="1:8" s="213" customFormat="1" ht="13.5" thickBot="1" x14ac:dyDescent="0.25">
      <c r="A8" s="543"/>
      <c r="B8" s="545"/>
      <c r="C8" s="547"/>
      <c r="D8" s="549"/>
      <c r="E8" s="551"/>
      <c r="G8" s="540"/>
    </row>
    <row r="9" spans="1:8" s="213" customFormat="1" x14ac:dyDescent="0.2">
      <c r="A9" s="267" t="s">
        <v>467</v>
      </c>
      <c r="B9" s="268" t="s">
        <v>468</v>
      </c>
      <c r="C9" s="269" t="s">
        <v>469</v>
      </c>
      <c r="D9" s="270">
        <v>201932</v>
      </c>
      <c r="E9" s="271">
        <v>200979</v>
      </c>
    </row>
    <row r="10" spans="1:8" s="213" customFormat="1" ht="25.5" x14ac:dyDescent="0.2">
      <c r="A10" s="272" t="s">
        <v>470</v>
      </c>
      <c r="B10" s="273" t="s">
        <v>471</v>
      </c>
      <c r="C10" s="274" t="s">
        <v>469</v>
      </c>
      <c r="D10" s="270">
        <f>84396+349556</f>
        <v>433952</v>
      </c>
      <c r="E10" s="277">
        <v>891084</v>
      </c>
    </row>
    <row r="11" spans="1:8" s="213" customFormat="1" x14ac:dyDescent="0.2">
      <c r="A11" s="272" t="s">
        <v>470</v>
      </c>
      <c r="B11" s="273" t="s">
        <v>472</v>
      </c>
      <c r="C11" s="274" t="s">
        <v>469</v>
      </c>
      <c r="D11" s="275">
        <v>10140</v>
      </c>
      <c r="E11" s="276">
        <v>10140</v>
      </c>
    </row>
    <row r="12" spans="1:8" s="213" customFormat="1" x14ac:dyDescent="0.2">
      <c r="A12" s="272" t="s">
        <v>470</v>
      </c>
      <c r="B12" s="273" t="s">
        <v>473</v>
      </c>
      <c r="C12" s="274" t="s">
        <v>469</v>
      </c>
      <c r="D12" s="275">
        <v>10140</v>
      </c>
      <c r="E12" s="276">
        <v>10140</v>
      </c>
    </row>
    <row r="13" spans="1:8" s="213" customFormat="1" ht="25.5" x14ac:dyDescent="0.2">
      <c r="A13" s="272" t="s">
        <v>474</v>
      </c>
      <c r="B13" s="273" t="s">
        <v>475</v>
      </c>
      <c r="C13" s="274" t="s">
        <v>469</v>
      </c>
      <c r="D13" s="270">
        <v>150000</v>
      </c>
      <c r="E13" s="277">
        <v>150000</v>
      </c>
    </row>
    <row r="14" spans="1:8" s="213" customFormat="1" x14ac:dyDescent="0.2">
      <c r="A14" s="272" t="s">
        <v>476</v>
      </c>
      <c r="B14" s="273" t="s">
        <v>477</v>
      </c>
      <c r="C14" s="278" t="s">
        <v>469</v>
      </c>
      <c r="D14" s="270">
        <f>13*63500</f>
        <v>825500</v>
      </c>
      <c r="E14" s="277">
        <v>698500</v>
      </c>
      <c r="H14" s="357"/>
    </row>
    <row r="15" spans="1:8" s="213" customFormat="1" x14ac:dyDescent="0.2">
      <c r="A15" s="272" t="s">
        <v>476</v>
      </c>
      <c r="B15" s="273" t="s">
        <v>478</v>
      </c>
      <c r="C15" s="278" t="s">
        <v>469</v>
      </c>
      <c r="D15" s="270">
        <f>444246</f>
        <v>444246</v>
      </c>
      <c r="E15" s="277">
        <v>444246</v>
      </c>
      <c r="F15" s="358"/>
    </row>
    <row r="16" spans="1:8" s="213" customFormat="1" ht="25.5" x14ac:dyDescent="0.2">
      <c r="A16" s="272" t="s">
        <v>479</v>
      </c>
      <c r="B16" s="273" t="s">
        <v>480</v>
      </c>
      <c r="C16" s="274">
        <v>43830</v>
      </c>
      <c r="D16" s="270">
        <v>170427</v>
      </c>
      <c r="E16" s="277">
        <v>170427</v>
      </c>
    </row>
    <row r="17" spans="1:10" s="213" customFormat="1" ht="25.5" x14ac:dyDescent="0.2">
      <c r="A17" s="272" t="s">
        <v>481</v>
      </c>
      <c r="B17" s="273" t="s">
        <v>482</v>
      </c>
      <c r="C17" s="274" t="s">
        <v>469</v>
      </c>
      <c r="D17" s="270">
        <v>36000</v>
      </c>
      <c r="E17" s="277">
        <v>0</v>
      </c>
      <c r="H17" s="357"/>
    </row>
    <row r="18" spans="1:10" s="213" customFormat="1" x14ac:dyDescent="0.2">
      <c r="A18" s="279" t="s">
        <v>483</v>
      </c>
      <c r="B18" s="280" t="s">
        <v>484</v>
      </c>
      <c r="C18" s="278" t="s">
        <v>469</v>
      </c>
      <c r="D18" s="270">
        <f>((570023-2100-42639)/10)*12</f>
        <v>630340.80000000005</v>
      </c>
      <c r="E18" s="277">
        <v>569323</v>
      </c>
    </row>
    <row r="19" spans="1:10" s="213" customFormat="1" ht="25.5" x14ac:dyDescent="0.2">
      <c r="A19" s="272" t="s">
        <v>485</v>
      </c>
      <c r="B19" s="273" t="s">
        <v>486</v>
      </c>
      <c r="C19" s="274" t="s">
        <v>469</v>
      </c>
      <c r="D19" s="275">
        <f>244203*E6</f>
        <v>244203</v>
      </c>
      <c r="E19" s="277">
        <v>244203</v>
      </c>
      <c r="J19" s="357"/>
    </row>
    <row r="20" spans="1:10" s="213" customFormat="1" x14ac:dyDescent="0.2">
      <c r="A20" s="281" t="s">
        <v>487</v>
      </c>
      <c r="B20" s="282" t="s">
        <v>488</v>
      </c>
      <c r="C20" s="283" t="s">
        <v>469</v>
      </c>
      <c r="D20" s="270">
        <v>1037870</v>
      </c>
      <c r="E20" s="277">
        <v>1037870</v>
      </c>
    </row>
    <row r="21" spans="1:10" s="213" customFormat="1" x14ac:dyDescent="0.2">
      <c r="A21" s="281" t="s">
        <v>487</v>
      </c>
      <c r="B21" s="282" t="s">
        <v>489</v>
      </c>
      <c r="C21" s="283" t="s">
        <v>469</v>
      </c>
      <c r="D21" s="270">
        <v>459665</v>
      </c>
      <c r="E21" s="277">
        <v>459665</v>
      </c>
    </row>
    <row r="22" spans="1:10" s="213" customFormat="1" x14ac:dyDescent="0.2">
      <c r="A22" s="281" t="s">
        <v>487</v>
      </c>
      <c r="B22" s="282" t="s">
        <v>490</v>
      </c>
      <c r="C22" s="283" t="s">
        <v>469</v>
      </c>
      <c r="D22" s="270">
        <f>1627180</f>
        <v>1627180</v>
      </c>
      <c r="E22" s="277">
        <f>516418+1110762</f>
        <v>1627180</v>
      </c>
    </row>
    <row r="23" spans="1:10" s="213" customFormat="1" ht="25.5" x14ac:dyDescent="0.2">
      <c r="A23" s="281" t="s">
        <v>491</v>
      </c>
      <c r="B23" s="282" t="s">
        <v>492</v>
      </c>
      <c r="C23" s="278" t="s">
        <v>469</v>
      </c>
      <c r="D23" s="270">
        <f>E6*E23</f>
        <v>136550</v>
      </c>
      <c r="E23" s="277">
        <v>136550</v>
      </c>
    </row>
    <row r="24" spans="1:10" s="213" customFormat="1" ht="38.25" x14ac:dyDescent="0.2">
      <c r="A24" s="281" t="s">
        <v>493</v>
      </c>
      <c r="B24" s="282" t="s">
        <v>494</v>
      </c>
      <c r="C24" s="284" t="s">
        <v>495</v>
      </c>
      <c r="D24" s="270">
        <v>47866</v>
      </c>
      <c r="E24" s="277">
        <v>47866</v>
      </c>
    </row>
    <row r="25" spans="1:10" s="213" customFormat="1" ht="25.5" x14ac:dyDescent="0.2">
      <c r="A25" s="281" t="s">
        <v>493</v>
      </c>
      <c r="B25" s="282" t="s">
        <v>496</v>
      </c>
      <c r="C25" s="284">
        <v>43266</v>
      </c>
      <c r="D25" s="270">
        <v>0</v>
      </c>
      <c r="E25" s="277">
        <v>219756</v>
      </c>
    </row>
    <row r="26" spans="1:10" s="213" customFormat="1" ht="25.5" x14ac:dyDescent="0.2">
      <c r="A26" s="281" t="s">
        <v>493</v>
      </c>
      <c r="B26" s="282" t="s">
        <v>497</v>
      </c>
      <c r="C26" s="284">
        <v>43770</v>
      </c>
      <c r="D26" s="270">
        <f>234240</f>
        <v>234240</v>
      </c>
      <c r="E26" s="277">
        <v>0</v>
      </c>
      <c r="F26" s="357"/>
    </row>
    <row r="27" spans="1:10" s="213" customFormat="1" ht="25.5" x14ac:dyDescent="0.2">
      <c r="A27" s="281" t="s">
        <v>493</v>
      </c>
      <c r="B27" s="282" t="s">
        <v>498</v>
      </c>
      <c r="C27" s="284">
        <v>42901</v>
      </c>
      <c r="D27" s="270">
        <f>571906/2</f>
        <v>285953</v>
      </c>
      <c r="E27" s="277">
        <v>476588</v>
      </c>
    </row>
    <row r="28" spans="1:10" s="213" customFormat="1" ht="25.5" x14ac:dyDescent="0.2">
      <c r="A28" s="281" t="s">
        <v>493</v>
      </c>
      <c r="B28" s="282" t="s">
        <v>499</v>
      </c>
      <c r="C28" s="284">
        <v>42901</v>
      </c>
      <c r="D28" s="270">
        <f>611951/2</f>
        <v>305975.5</v>
      </c>
      <c r="E28" s="277">
        <v>611951</v>
      </c>
    </row>
    <row r="29" spans="1:10" s="213" customFormat="1" ht="25.5" x14ac:dyDescent="0.2">
      <c r="A29" s="272" t="s">
        <v>500</v>
      </c>
      <c r="B29" s="273" t="s">
        <v>501</v>
      </c>
      <c r="C29" s="274" t="s">
        <v>469</v>
      </c>
      <c r="D29" s="275">
        <v>228600</v>
      </c>
      <c r="E29" s="277">
        <v>0</v>
      </c>
    </row>
    <row r="30" spans="1:10" s="213" customFormat="1" ht="25.5" x14ac:dyDescent="0.2">
      <c r="A30" s="281" t="s">
        <v>502</v>
      </c>
      <c r="B30" s="282" t="s">
        <v>503</v>
      </c>
      <c r="C30" s="285" t="s">
        <v>504</v>
      </c>
      <c r="D30" s="270">
        <f>277826+98000</f>
        <v>375826</v>
      </c>
      <c r="E30" s="277">
        <f>265826+98000</f>
        <v>363826</v>
      </c>
      <c r="H30" s="357"/>
    </row>
    <row r="31" spans="1:10" s="213" customFormat="1" ht="25.5" x14ac:dyDescent="0.2">
      <c r="A31" s="272" t="s">
        <v>505</v>
      </c>
      <c r="B31" s="273" t="s">
        <v>506</v>
      </c>
      <c r="C31" s="278" t="s">
        <v>469</v>
      </c>
      <c r="D31" s="270">
        <f>E31*E6</f>
        <v>690871</v>
      </c>
      <c r="E31" s="277">
        <v>690871</v>
      </c>
    </row>
    <row r="32" spans="1:10" s="213" customFormat="1" ht="25.5" x14ac:dyDescent="0.2">
      <c r="A32" s="272" t="s">
        <v>505</v>
      </c>
      <c r="B32" s="273" t="s">
        <v>507</v>
      </c>
      <c r="C32" s="278" t="s">
        <v>469</v>
      </c>
      <c r="D32" s="270">
        <f>E32*E6</f>
        <v>265310</v>
      </c>
      <c r="E32" s="277">
        <v>265310</v>
      </c>
    </row>
    <row r="33" spans="1:10" s="213" customFormat="1" ht="25.5" x14ac:dyDescent="0.2">
      <c r="A33" s="272" t="s">
        <v>505</v>
      </c>
      <c r="B33" s="273" t="s">
        <v>508</v>
      </c>
      <c r="C33" s="278" t="s">
        <v>469</v>
      </c>
      <c r="D33" s="270">
        <v>170122</v>
      </c>
      <c r="E33" s="277">
        <v>170122</v>
      </c>
    </row>
    <row r="34" spans="1:10" s="213" customFormat="1" ht="25.5" x14ac:dyDescent="0.2">
      <c r="A34" s="272" t="s">
        <v>509</v>
      </c>
      <c r="B34" s="273" t="s">
        <v>510</v>
      </c>
      <c r="C34" s="286"/>
      <c r="D34" s="270">
        <f>80000*13</f>
        <v>1040000</v>
      </c>
      <c r="E34" s="277">
        <v>880000</v>
      </c>
      <c r="H34" s="357"/>
    </row>
    <row r="35" spans="1:10" s="213" customFormat="1" ht="25.5" x14ac:dyDescent="0.2">
      <c r="A35" s="272" t="s">
        <v>511</v>
      </c>
      <c r="B35" s="273" t="s">
        <v>512</v>
      </c>
      <c r="C35" s="278" t="s">
        <v>469</v>
      </c>
      <c r="D35" s="270">
        <f>51435*5</f>
        <v>257175</v>
      </c>
      <c r="E35" s="277">
        <v>102870</v>
      </c>
      <c r="H35" s="357"/>
      <c r="J35" s="359"/>
    </row>
    <row r="36" spans="1:10" s="213" customFormat="1" x14ac:dyDescent="0.2">
      <c r="A36" s="272" t="s">
        <v>513</v>
      </c>
      <c r="B36" s="273" t="s">
        <v>514</v>
      </c>
      <c r="C36" s="278" t="s">
        <v>469</v>
      </c>
      <c r="D36" s="270">
        <v>19422</v>
      </c>
      <c r="E36" s="277">
        <v>19422</v>
      </c>
      <c r="H36" s="357"/>
    </row>
    <row r="37" spans="1:10" s="213" customFormat="1" x14ac:dyDescent="0.2">
      <c r="A37" s="272" t="s">
        <v>513</v>
      </c>
      <c r="B37" s="273" t="s">
        <v>515</v>
      </c>
      <c r="C37" s="278" t="s">
        <v>469</v>
      </c>
      <c r="D37" s="270">
        <f>36568+149280</f>
        <v>185848</v>
      </c>
      <c r="E37" s="277">
        <v>36568</v>
      </c>
      <c r="H37" s="357"/>
    </row>
    <row r="38" spans="1:10" s="213" customFormat="1" x14ac:dyDescent="0.2">
      <c r="A38" s="272" t="s">
        <v>513</v>
      </c>
      <c r="B38" s="273" t="s">
        <v>516</v>
      </c>
      <c r="C38" s="278" t="s">
        <v>469</v>
      </c>
      <c r="D38" s="270">
        <v>16817</v>
      </c>
      <c r="E38" s="277">
        <v>16817</v>
      </c>
      <c r="H38" s="357"/>
    </row>
    <row r="39" spans="1:10" s="213" customFormat="1" x14ac:dyDescent="0.2">
      <c r="A39" s="272" t="s">
        <v>513</v>
      </c>
      <c r="B39" s="273" t="s">
        <v>517</v>
      </c>
      <c r="C39" s="278" t="s">
        <v>469</v>
      </c>
      <c r="D39" s="270">
        <v>21934</v>
      </c>
      <c r="E39" s="277">
        <v>21934</v>
      </c>
      <c r="H39" s="357"/>
    </row>
    <row r="40" spans="1:10" s="213" customFormat="1" x14ac:dyDescent="0.2">
      <c r="A40" s="272" t="s">
        <v>513</v>
      </c>
      <c r="B40" s="273" t="s">
        <v>518</v>
      </c>
      <c r="C40" s="278" t="s">
        <v>469</v>
      </c>
      <c r="D40" s="270">
        <v>33368</v>
      </c>
      <c r="E40" s="277">
        <v>33368</v>
      </c>
      <c r="H40" s="357"/>
    </row>
    <row r="41" spans="1:10" s="213" customFormat="1" x14ac:dyDescent="0.2">
      <c r="A41" s="272" t="s">
        <v>519</v>
      </c>
      <c r="B41" s="273" t="s">
        <v>519</v>
      </c>
      <c r="C41" s="278" t="s">
        <v>469</v>
      </c>
      <c r="D41" s="270">
        <f>9000*13*E6</f>
        <v>117000</v>
      </c>
      <c r="E41" s="277">
        <v>99000</v>
      </c>
      <c r="H41" s="357"/>
    </row>
    <row r="42" spans="1:10" s="213" customFormat="1" x14ac:dyDescent="0.2">
      <c r="A42" s="272" t="s">
        <v>520</v>
      </c>
      <c r="B42" s="273" t="s">
        <v>521</v>
      </c>
      <c r="C42" s="274" t="s">
        <v>469</v>
      </c>
      <c r="D42" s="270">
        <f>12954*13*E6</f>
        <v>168402</v>
      </c>
      <c r="E42" s="277">
        <v>173454</v>
      </c>
      <c r="H42" s="357"/>
    </row>
    <row r="43" spans="1:10" s="213" customFormat="1" x14ac:dyDescent="0.2">
      <c r="A43" s="272" t="s">
        <v>522</v>
      </c>
      <c r="B43" s="273" t="s">
        <v>523</v>
      </c>
      <c r="C43" s="274" t="s">
        <v>469</v>
      </c>
      <c r="D43" s="270">
        <f>E43*E6</f>
        <v>45720</v>
      </c>
      <c r="E43" s="277">
        <v>45720</v>
      </c>
    </row>
    <row r="44" spans="1:10" s="213" customFormat="1" x14ac:dyDescent="0.2">
      <c r="A44" s="272" t="s">
        <v>522</v>
      </c>
      <c r="B44" s="273" t="s">
        <v>524</v>
      </c>
      <c r="C44" s="274" t="s">
        <v>469</v>
      </c>
      <c r="D44" s="270">
        <f>E44*E6*2</f>
        <v>91440</v>
      </c>
      <c r="E44" s="277">
        <v>45720</v>
      </c>
      <c r="H44" s="357"/>
    </row>
    <row r="45" spans="1:10" s="213" customFormat="1" x14ac:dyDescent="0.2">
      <c r="A45" s="272" t="s">
        <v>522</v>
      </c>
      <c r="B45" s="273" t="s">
        <v>525</v>
      </c>
      <c r="C45" s="274" t="s">
        <v>469</v>
      </c>
      <c r="D45" s="270">
        <f>(3000*1.27)*12</f>
        <v>45720</v>
      </c>
      <c r="E45" s="277">
        <v>22860</v>
      </c>
      <c r="H45" s="357"/>
    </row>
    <row r="46" spans="1:10" s="213" customFormat="1" ht="25.5" x14ac:dyDescent="0.2">
      <c r="A46" s="272" t="s">
        <v>526</v>
      </c>
      <c r="B46" s="273" t="s">
        <v>527</v>
      </c>
      <c r="C46" s="274" t="s">
        <v>469</v>
      </c>
      <c r="D46" s="270">
        <f>13*95758</f>
        <v>1244854</v>
      </c>
      <c r="E46" s="277">
        <v>1053338</v>
      </c>
      <c r="H46" s="357"/>
    </row>
    <row r="47" spans="1:10" s="213" customFormat="1" x14ac:dyDescent="0.2">
      <c r="A47" s="272" t="s">
        <v>528</v>
      </c>
      <c r="B47" s="273" t="s">
        <v>529</v>
      </c>
      <c r="C47" s="274" t="s">
        <v>469</v>
      </c>
      <c r="D47" s="270">
        <f>E47*E6</f>
        <v>89154</v>
      </c>
      <c r="E47" s="277">
        <v>89154</v>
      </c>
    </row>
    <row r="48" spans="1:10" s="213" customFormat="1" ht="25.5" x14ac:dyDescent="0.2">
      <c r="A48" s="272" t="s">
        <v>530</v>
      </c>
      <c r="B48" s="273" t="s">
        <v>531</v>
      </c>
      <c r="C48" s="274" t="s">
        <v>469</v>
      </c>
      <c r="D48" s="270">
        <v>183294</v>
      </c>
      <c r="E48" s="277">
        <v>154404</v>
      </c>
      <c r="H48" s="357"/>
    </row>
    <row r="49" spans="1:8" s="213" customFormat="1" x14ac:dyDescent="0.2">
      <c r="A49" s="272" t="s">
        <v>530</v>
      </c>
      <c r="B49" s="273" t="s">
        <v>532</v>
      </c>
      <c r="C49" s="274" t="s">
        <v>469</v>
      </c>
      <c r="D49" s="270">
        <f>E49*E6+616787</f>
        <v>11503124</v>
      </c>
      <c r="E49" s="277">
        <v>10886337</v>
      </c>
      <c r="H49" s="357"/>
    </row>
    <row r="50" spans="1:8" s="213" customFormat="1" x14ac:dyDescent="0.2">
      <c r="A50" s="272" t="s">
        <v>533</v>
      </c>
      <c r="B50" s="273" t="s">
        <v>534</v>
      </c>
      <c r="C50" s="274" t="s">
        <v>469</v>
      </c>
      <c r="D50" s="270">
        <f>1850*13</f>
        <v>24050</v>
      </c>
      <c r="E50" s="277">
        <v>21100</v>
      </c>
      <c r="H50" s="357"/>
    </row>
    <row r="51" spans="1:8" s="213" customFormat="1" x14ac:dyDescent="0.2">
      <c r="A51" s="272" t="s">
        <v>533</v>
      </c>
      <c r="B51" s="273" t="s">
        <v>535</v>
      </c>
      <c r="C51" s="274" t="s">
        <v>469</v>
      </c>
      <c r="D51" s="270">
        <v>601426</v>
      </c>
      <c r="E51" s="277">
        <v>506269</v>
      </c>
      <c r="H51" s="357"/>
    </row>
    <row r="52" spans="1:8" s="213" customFormat="1" x14ac:dyDescent="0.2">
      <c r="A52" s="272" t="s">
        <v>533</v>
      </c>
      <c r="B52" s="273" t="s">
        <v>536</v>
      </c>
      <c r="C52" s="274" t="s">
        <v>469</v>
      </c>
      <c r="D52" s="270">
        <f>13*11014</f>
        <v>143182</v>
      </c>
      <c r="E52" s="277">
        <v>121904</v>
      </c>
      <c r="H52" s="357"/>
    </row>
    <row r="53" spans="1:8" s="213" customFormat="1" ht="25.5" x14ac:dyDescent="0.2">
      <c r="A53" s="272" t="s">
        <v>537</v>
      </c>
      <c r="B53" s="273" t="s">
        <v>538</v>
      </c>
      <c r="C53" s="274">
        <v>42855</v>
      </c>
      <c r="D53" s="270">
        <f>7*25400</f>
        <v>177800</v>
      </c>
      <c r="E53" s="277">
        <v>177800</v>
      </c>
      <c r="H53" s="357"/>
    </row>
    <row r="54" spans="1:8" s="213" customFormat="1" ht="25.5" x14ac:dyDescent="0.2">
      <c r="A54" s="272" t="s">
        <v>539</v>
      </c>
      <c r="B54" s="273" t="s">
        <v>540</v>
      </c>
      <c r="C54" s="274" t="s">
        <v>469</v>
      </c>
      <c r="D54" s="270">
        <v>22225</v>
      </c>
      <c r="E54" s="277">
        <v>22225</v>
      </c>
    </row>
    <row r="55" spans="1:8" s="213" customFormat="1" ht="25.5" x14ac:dyDescent="0.2">
      <c r="A55" s="272" t="s">
        <v>539</v>
      </c>
      <c r="B55" s="273" t="s">
        <v>541</v>
      </c>
      <c r="C55" s="274" t="s">
        <v>469</v>
      </c>
      <c r="D55" s="270">
        <v>73787</v>
      </c>
      <c r="E55" s="277">
        <v>73787</v>
      </c>
    </row>
    <row r="56" spans="1:8" s="213" customFormat="1" x14ac:dyDescent="0.2">
      <c r="A56" s="272" t="s">
        <v>542</v>
      </c>
      <c r="B56" s="273" t="s">
        <v>543</v>
      </c>
      <c r="C56" s="274" t="s">
        <v>544</v>
      </c>
      <c r="D56" s="270">
        <f>E56*E6</f>
        <v>202445</v>
      </c>
      <c r="E56" s="277">
        <v>202445</v>
      </c>
    </row>
    <row r="57" spans="1:8" s="213" customFormat="1" ht="38.25" x14ac:dyDescent="0.2">
      <c r="A57" s="272" t="s">
        <v>545</v>
      </c>
      <c r="B57" s="273" t="s">
        <v>546</v>
      </c>
      <c r="C57" s="284" t="s">
        <v>547</v>
      </c>
      <c r="D57" s="270">
        <f>E57*E6</f>
        <v>1159013</v>
      </c>
      <c r="E57" s="277">
        <v>1159013</v>
      </c>
    </row>
    <row r="58" spans="1:8" s="213" customFormat="1" ht="25.5" x14ac:dyDescent="0.2">
      <c r="A58" s="272" t="s">
        <v>548</v>
      </c>
      <c r="B58" s="273" t="s">
        <v>549</v>
      </c>
      <c r="C58" s="284" t="s">
        <v>469</v>
      </c>
      <c r="D58" s="270">
        <f>38729*14</f>
        <v>542206</v>
      </c>
      <c r="E58" s="277">
        <v>193645</v>
      </c>
      <c r="G58" s="357"/>
      <c r="H58" s="357"/>
    </row>
    <row r="59" spans="1:8" s="213" customFormat="1" ht="25.5" x14ac:dyDescent="0.2">
      <c r="A59" s="272" t="s">
        <v>550</v>
      </c>
      <c r="B59" s="287" t="s">
        <v>551</v>
      </c>
      <c r="C59" s="274" t="s">
        <v>469</v>
      </c>
      <c r="D59" s="270">
        <v>2956446</v>
      </c>
      <c r="E59" s="277">
        <v>2956446</v>
      </c>
    </row>
    <row r="60" spans="1:8" s="213" customFormat="1" ht="25.5" x14ac:dyDescent="0.2">
      <c r="A60" s="272" t="s">
        <v>552</v>
      </c>
      <c r="B60" s="287" t="s">
        <v>553</v>
      </c>
      <c r="C60" s="274" t="s">
        <v>469</v>
      </c>
      <c r="D60" s="270">
        <f>(15000+15000)*4*E6</f>
        <v>120000</v>
      </c>
      <c r="E60" s="277">
        <v>120000</v>
      </c>
    </row>
    <row r="61" spans="1:8" s="213" customFormat="1" x14ac:dyDescent="0.2">
      <c r="A61" s="272" t="s">
        <v>554</v>
      </c>
      <c r="B61" s="273" t="s">
        <v>543</v>
      </c>
      <c r="C61" s="274" t="s">
        <v>544</v>
      </c>
      <c r="D61" s="270">
        <f>E61*E6</f>
        <v>48045</v>
      </c>
      <c r="E61" s="277">
        <v>48045</v>
      </c>
    </row>
    <row r="62" spans="1:8" s="213" customFormat="1" x14ac:dyDescent="0.2">
      <c r="A62" s="272" t="s">
        <v>555</v>
      </c>
      <c r="B62" s="287" t="s">
        <v>556</v>
      </c>
      <c r="C62" s="274" t="s">
        <v>544</v>
      </c>
      <c r="D62" s="270">
        <f>E62*E6</f>
        <v>133511</v>
      </c>
      <c r="E62" s="277">
        <f>133511</f>
        <v>133511</v>
      </c>
    </row>
    <row r="63" spans="1:8" s="213" customFormat="1" ht="25.5" x14ac:dyDescent="0.2">
      <c r="A63" s="272" t="s">
        <v>555</v>
      </c>
      <c r="B63" s="287" t="s">
        <v>557</v>
      </c>
      <c r="C63" s="284" t="s">
        <v>558</v>
      </c>
      <c r="D63" s="288">
        <f>E63*E6</f>
        <v>93458</v>
      </c>
      <c r="E63" s="277">
        <v>93458</v>
      </c>
    </row>
    <row r="64" spans="1:8" s="213" customFormat="1" ht="25.5" x14ac:dyDescent="0.2">
      <c r="A64" s="272" t="s">
        <v>559</v>
      </c>
      <c r="B64" s="287" t="s">
        <v>560</v>
      </c>
      <c r="C64" s="289" t="s">
        <v>469</v>
      </c>
      <c r="D64" s="288">
        <f>1270*12</f>
        <v>15240</v>
      </c>
      <c r="E64" s="277">
        <v>170156</v>
      </c>
    </row>
    <row r="65" spans="1:8" s="213" customFormat="1" x14ac:dyDescent="0.2">
      <c r="A65" s="272" t="s">
        <v>561</v>
      </c>
      <c r="B65" s="273" t="s">
        <v>562</v>
      </c>
      <c r="C65" s="278" t="s">
        <v>469</v>
      </c>
      <c r="D65" s="270">
        <f>E65*E6</f>
        <v>60960</v>
      </c>
      <c r="E65" s="277">
        <v>60960</v>
      </c>
    </row>
    <row r="66" spans="1:8" s="213" customFormat="1" ht="25.5" x14ac:dyDescent="0.2">
      <c r="A66" s="272" t="s">
        <v>563</v>
      </c>
      <c r="B66" s="287" t="s">
        <v>564</v>
      </c>
      <c r="C66" s="290"/>
      <c r="D66" s="270">
        <f>E66*E6+14983</f>
        <v>228322</v>
      </c>
      <c r="E66" s="277">
        <v>213339</v>
      </c>
      <c r="H66" s="357"/>
    </row>
    <row r="67" spans="1:8" s="213" customFormat="1" x14ac:dyDescent="0.2">
      <c r="A67" s="272" t="s">
        <v>565</v>
      </c>
      <c r="B67" s="287" t="s">
        <v>566</v>
      </c>
      <c r="C67" s="274" t="s">
        <v>469</v>
      </c>
      <c r="D67" s="270">
        <f>E67*E6+7737</f>
        <v>74008</v>
      </c>
      <c r="E67" s="277">
        <v>66271</v>
      </c>
      <c r="H67" s="357"/>
    </row>
    <row r="68" spans="1:8" s="213" customFormat="1" x14ac:dyDescent="0.2">
      <c r="A68" s="272" t="s">
        <v>567</v>
      </c>
      <c r="B68" s="287" t="s">
        <v>568</v>
      </c>
      <c r="C68" s="274" t="s">
        <v>469</v>
      </c>
      <c r="D68" s="270">
        <f>(E68)*E6</f>
        <v>215900</v>
      </c>
      <c r="E68" s="277">
        <f>215900</f>
        <v>215900</v>
      </c>
    </row>
    <row r="69" spans="1:8" s="213" customFormat="1" x14ac:dyDescent="0.2">
      <c r="A69" s="272" t="s">
        <v>569</v>
      </c>
      <c r="B69" s="287" t="s">
        <v>570</v>
      </c>
      <c r="C69" s="274" t="s">
        <v>469</v>
      </c>
      <c r="D69" s="270">
        <f>E69</f>
        <v>1709479</v>
      </c>
      <c r="E69" s="277">
        <v>1709479</v>
      </c>
    </row>
    <row r="70" spans="1:8" s="213" customFormat="1" x14ac:dyDescent="0.2">
      <c r="A70" s="272" t="s">
        <v>571</v>
      </c>
      <c r="B70" s="287" t="s">
        <v>572</v>
      </c>
      <c r="C70" s="274" t="s">
        <v>469</v>
      </c>
      <c r="D70" s="270">
        <f>E70*E6</f>
        <v>9746505</v>
      </c>
      <c r="E70" s="277">
        <v>9746505</v>
      </c>
    </row>
    <row r="71" spans="1:8" s="213" customFormat="1" x14ac:dyDescent="0.2">
      <c r="A71" s="272" t="s">
        <v>573</v>
      </c>
      <c r="B71" s="287" t="s">
        <v>574</v>
      </c>
      <c r="C71" s="274" t="s">
        <v>469</v>
      </c>
      <c r="D71" s="270">
        <v>1205000</v>
      </c>
      <c r="E71" s="277">
        <v>1205000</v>
      </c>
    </row>
    <row r="72" spans="1:8" s="213" customFormat="1" ht="25.5" x14ac:dyDescent="0.2">
      <c r="A72" s="272" t="s">
        <v>575</v>
      </c>
      <c r="B72" s="287" t="s">
        <v>576</v>
      </c>
      <c r="C72" s="274" t="s">
        <v>469</v>
      </c>
      <c r="D72" s="270">
        <f>E72*E6+((12500*1.18)*12)</f>
        <v>2749170</v>
      </c>
      <c r="E72" s="277">
        <f>2663800-91630</f>
        <v>2572170</v>
      </c>
      <c r="H72" s="357"/>
    </row>
    <row r="73" spans="1:8" s="213" customFormat="1" x14ac:dyDescent="0.2">
      <c r="A73" s="272" t="s">
        <v>575</v>
      </c>
      <c r="B73" s="287" t="s">
        <v>577</v>
      </c>
      <c r="C73" s="274" t="s">
        <v>469</v>
      </c>
      <c r="D73" s="291">
        <f>8330*12</f>
        <v>99960</v>
      </c>
      <c r="E73" s="292">
        <v>91630</v>
      </c>
    </row>
    <row r="74" spans="1:8" s="213" customFormat="1" x14ac:dyDescent="0.2">
      <c r="A74" s="272" t="s">
        <v>578</v>
      </c>
      <c r="B74" s="287" t="s">
        <v>579</v>
      </c>
      <c r="C74" s="293" t="s">
        <v>469</v>
      </c>
      <c r="D74" s="291">
        <f>(6897*4)+(2069*4)</f>
        <v>35864</v>
      </c>
      <c r="E74" s="292">
        <v>36217</v>
      </c>
    </row>
    <row r="75" spans="1:8" s="213" customFormat="1" ht="38.25" x14ac:dyDescent="0.2">
      <c r="A75" s="272" t="s">
        <v>580</v>
      </c>
      <c r="B75" s="287" t="s">
        <v>581</v>
      </c>
      <c r="C75" s="294" t="s">
        <v>582</v>
      </c>
      <c r="D75" s="291">
        <f>E75*E6</f>
        <v>342334</v>
      </c>
      <c r="E75" s="292">
        <v>342334</v>
      </c>
    </row>
    <row r="76" spans="1:8" s="213" customFormat="1" x14ac:dyDescent="0.2">
      <c r="A76" s="272" t="s">
        <v>580</v>
      </c>
      <c r="B76" s="287" t="s">
        <v>583</v>
      </c>
      <c r="C76" s="293">
        <v>43131</v>
      </c>
      <c r="D76" s="291">
        <v>443449</v>
      </c>
      <c r="E76" s="292">
        <v>377507</v>
      </c>
      <c r="H76" s="357"/>
    </row>
    <row r="77" spans="1:8" s="213" customFormat="1" ht="25.5" x14ac:dyDescent="0.2">
      <c r="A77" s="272" t="s">
        <v>580</v>
      </c>
      <c r="B77" s="287" t="s">
        <v>584</v>
      </c>
      <c r="C77" s="293" t="s">
        <v>469</v>
      </c>
      <c r="D77" s="291">
        <f>20243+1488</f>
        <v>21731</v>
      </c>
      <c r="E77" s="292">
        <v>16869</v>
      </c>
      <c r="H77" s="357"/>
    </row>
    <row r="78" spans="1:8" s="213" customFormat="1" x14ac:dyDescent="0.2">
      <c r="A78" s="272" t="s">
        <v>585</v>
      </c>
      <c r="B78" s="273" t="s">
        <v>586</v>
      </c>
      <c r="C78" s="278" t="s">
        <v>469</v>
      </c>
      <c r="D78" s="270">
        <v>3157918</v>
      </c>
      <c r="E78" s="277">
        <v>2588894</v>
      </c>
      <c r="H78" s="357"/>
    </row>
    <row r="79" spans="1:8" s="213" customFormat="1" x14ac:dyDescent="0.2">
      <c r="A79" s="272" t="s">
        <v>587</v>
      </c>
      <c r="B79" s="273" t="s">
        <v>588</v>
      </c>
      <c r="C79" s="284" t="s">
        <v>544</v>
      </c>
      <c r="D79" s="270">
        <f>E79*E6</f>
        <v>88417</v>
      </c>
      <c r="E79" s="277">
        <v>88417</v>
      </c>
    </row>
    <row r="80" spans="1:8" s="213" customFormat="1" ht="25.5" x14ac:dyDescent="0.2">
      <c r="A80" s="272" t="s">
        <v>587</v>
      </c>
      <c r="B80" s="273" t="s">
        <v>589</v>
      </c>
      <c r="C80" s="295" t="s">
        <v>544</v>
      </c>
      <c r="D80" s="270">
        <f>E80*E6</f>
        <v>1032453</v>
      </c>
      <c r="E80" s="277">
        <f>944036+88417</f>
        <v>1032453</v>
      </c>
    </row>
    <row r="81" spans="1:8" s="213" customFormat="1" ht="25.5" x14ac:dyDescent="0.2">
      <c r="A81" s="272" t="s">
        <v>590</v>
      </c>
      <c r="B81" s="273" t="s">
        <v>591</v>
      </c>
      <c r="C81" s="284">
        <v>43160</v>
      </c>
      <c r="D81" s="291">
        <f>11995+(12*12000)</f>
        <v>155995</v>
      </c>
      <c r="E81" s="292">
        <v>90691</v>
      </c>
      <c r="H81" s="357"/>
    </row>
    <row r="82" spans="1:8" s="213" customFormat="1" ht="13.5" thickBot="1" x14ac:dyDescent="0.25">
      <c r="A82" s="296"/>
      <c r="B82" s="297"/>
      <c r="C82" s="298" t="s">
        <v>49</v>
      </c>
      <c r="D82" s="299">
        <f>SUM(D9:D81)</f>
        <v>51766480.299999997</v>
      </c>
      <c r="E82" s="300">
        <f>SUM(E9:E81)</f>
        <v>49632003</v>
      </c>
    </row>
    <row r="83" spans="1:8" s="213" customFormat="1" x14ac:dyDescent="0.2">
      <c r="A83" s="260"/>
      <c r="B83" s="261"/>
      <c r="C83" s="301"/>
      <c r="D83" s="263"/>
      <c r="E83" s="266"/>
    </row>
    <row r="84" spans="1:8" s="213" customFormat="1" x14ac:dyDescent="0.2">
      <c r="A84" s="260"/>
      <c r="B84" s="261"/>
      <c r="C84" s="301"/>
      <c r="D84" s="263"/>
      <c r="E84" s="266"/>
    </row>
    <row r="85" spans="1:8" s="213" customFormat="1" x14ac:dyDescent="0.2">
      <c r="A85" s="260"/>
      <c r="B85" s="261"/>
      <c r="C85" s="301"/>
      <c r="D85" s="263"/>
      <c r="E85" s="266"/>
    </row>
    <row r="86" spans="1:8" s="213" customFormat="1" x14ac:dyDescent="0.2">
      <c r="A86" s="260"/>
      <c r="B86" s="261"/>
      <c r="C86" s="301"/>
      <c r="D86" s="263"/>
      <c r="E86" s="266"/>
    </row>
    <row r="87" spans="1:8" x14ac:dyDescent="0.2">
      <c r="C87" s="265"/>
    </row>
    <row r="88" spans="1:8" x14ac:dyDescent="0.2">
      <c r="C88" s="265"/>
    </row>
    <row r="89" spans="1:8" x14ac:dyDescent="0.2">
      <c r="C89" s="265"/>
    </row>
    <row r="90" spans="1:8" x14ac:dyDescent="0.2">
      <c r="C90" s="265"/>
    </row>
    <row r="91" spans="1:8" x14ac:dyDescent="0.2">
      <c r="C91" s="263"/>
    </row>
    <row r="92" spans="1:8" x14ac:dyDescent="0.2">
      <c r="C92" s="263"/>
    </row>
    <row r="93" spans="1:8" x14ac:dyDescent="0.2">
      <c r="C93" s="263"/>
    </row>
    <row r="94" spans="1:8" x14ac:dyDescent="0.2">
      <c r="C94" s="263"/>
    </row>
    <row r="95" spans="1:8" x14ac:dyDescent="0.2">
      <c r="C95" s="263"/>
    </row>
    <row r="96" spans="1:8" x14ac:dyDescent="0.2">
      <c r="C96" s="263"/>
    </row>
    <row r="97" spans="3:3" x14ac:dyDescent="0.2">
      <c r="C97" s="263"/>
    </row>
    <row r="98" spans="3:3" x14ac:dyDescent="0.2">
      <c r="C98" s="263"/>
    </row>
    <row r="99" spans="3:3" x14ac:dyDescent="0.2">
      <c r="C99" s="263"/>
    </row>
    <row r="100" spans="3:3" x14ac:dyDescent="0.2">
      <c r="C100" s="263"/>
    </row>
    <row r="101" spans="3:3" x14ac:dyDescent="0.2">
      <c r="C101" s="263"/>
    </row>
    <row r="102" spans="3:3" x14ac:dyDescent="0.2">
      <c r="C102" s="263"/>
    </row>
    <row r="103" spans="3:3" x14ac:dyDescent="0.2">
      <c r="C103" s="263"/>
    </row>
    <row r="104" spans="3:3" x14ac:dyDescent="0.2">
      <c r="C104" s="263"/>
    </row>
    <row r="105" spans="3:3" x14ac:dyDescent="0.2">
      <c r="C105" s="263"/>
    </row>
    <row r="106" spans="3:3" x14ac:dyDescent="0.2">
      <c r="C106" s="263"/>
    </row>
    <row r="107" spans="3:3" x14ac:dyDescent="0.2">
      <c r="C107" s="263"/>
    </row>
    <row r="108" spans="3:3" x14ac:dyDescent="0.2">
      <c r="C108" s="263"/>
    </row>
    <row r="109" spans="3:3" x14ac:dyDescent="0.2">
      <c r="C109" s="263"/>
    </row>
    <row r="110" spans="3:3" x14ac:dyDescent="0.2">
      <c r="C110" s="263"/>
    </row>
    <row r="111" spans="3:3" x14ac:dyDescent="0.2">
      <c r="C111" s="302"/>
    </row>
    <row r="112" spans="3:3" x14ac:dyDescent="0.2">
      <c r="C112" s="302"/>
    </row>
    <row r="113" spans="3:3" x14ac:dyDescent="0.2">
      <c r="C113" s="302"/>
    </row>
    <row r="114" spans="3:3" x14ac:dyDescent="0.2">
      <c r="C114" s="302"/>
    </row>
    <row r="115" spans="3:3" x14ac:dyDescent="0.2">
      <c r="C115" s="302"/>
    </row>
    <row r="116" spans="3:3" x14ac:dyDescent="0.2">
      <c r="C116" s="302"/>
    </row>
    <row r="117" spans="3:3" x14ac:dyDescent="0.2">
      <c r="C117" s="302"/>
    </row>
    <row r="118" spans="3:3" x14ac:dyDescent="0.2">
      <c r="C118" s="302"/>
    </row>
    <row r="119" spans="3:3" x14ac:dyDescent="0.2">
      <c r="C119" s="302"/>
    </row>
    <row r="120" spans="3:3" x14ac:dyDescent="0.2">
      <c r="C120" s="302"/>
    </row>
    <row r="121" spans="3:3" x14ac:dyDescent="0.2">
      <c r="C121" s="302"/>
    </row>
    <row r="122" spans="3:3" x14ac:dyDescent="0.2">
      <c r="C122" s="302"/>
    </row>
    <row r="123" spans="3:3" x14ac:dyDescent="0.2">
      <c r="C123" s="302"/>
    </row>
    <row r="124" spans="3:3" x14ac:dyDescent="0.2">
      <c r="C124" s="302"/>
    </row>
    <row r="125" spans="3:3" x14ac:dyDescent="0.2">
      <c r="C125" s="302"/>
    </row>
    <row r="126" spans="3:3" x14ac:dyDescent="0.2">
      <c r="C126" s="302"/>
    </row>
    <row r="127" spans="3:3" x14ac:dyDescent="0.2">
      <c r="C127" s="302"/>
    </row>
    <row r="128" spans="3:3" x14ac:dyDescent="0.2">
      <c r="C128" s="302"/>
    </row>
    <row r="129" spans="3:3" x14ac:dyDescent="0.2">
      <c r="C129" s="302"/>
    </row>
    <row r="130" spans="3:3" x14ac:dyDescent="0.2">
      <c r="C130" s="302"/>
    </row>
    <row r="131" spans="3:3" x14ac:dyDescent="0.2">
      <c r="C131" s="302"/>
    </row>
    <row r="132" spans="3:3" x14ac:dyDescent="0.2">
      <c r="C132" s="302"/>
    </row>
    <row r="133" spans="3:3" x14ac:dyDescent="0.2">
      <c r="C133" s="302"/>
    </row>
    <row r="134" spans="3:3" x14ac:dyDescent="0.2">
      <c r="C134" s="302"/>
    </row>
    <row r="135" spans="3:3" x14ac:dyDescent="0.2">
      <c r="C135" s="302"/>
    </row>
    <row r="136" spans="3:3" x14ac:dyDescent="0.2">
      <c r="C136" s="302"/>
    </row>
    <row r="137" spans="3:3" x14ac:dyDescent="0.2">
      <c r="C137" s="302"/>
    </row>
    <row r="138" spans="3:3" x14ac:dyDescent="0.2">
      <c r="C138" s="302"/>
    </row>
    <row r="139" spans="3:3" x14ac:dyDescent="0.2">
      <c r="C139" s="302"/>
    </row>
    <row r="140" spans="3:3" x14ac:dyDescent="0.2">
      <c r="C140" s="302"/>
    </row>
    <row r="141" spans="3:3" x14ac:dyDescent="0.2">
      <c r="C141" s="302"/>
    </row>
    <row r="142" spans="3:3" x14ac:dyDescent="0.2">
      <c r="C142" s="302"/>
    </row>
    <row r="143" spans="3:3" ht="13.5" x14ac:dyDescent="0.25">
      <c r="C143" s="303"/>
    </row>
    <row r="144" spans="3:3" x14ac:dyDescent="0.2">
      <c r="C144" s="302"/>
    </row>
    <row r="145" spans="3:4" x14ac:dyDescent="0.2">
      <c r="C145" s="302"/>
    </row>
    <row r="146" spans="3:4" x14ac:dyDescent="0.2">
      <c r="C146" s="302"/>
    </row>
    <row r="147" spans="3:4" x14ac:dyDescent="0.2">
      <c r="C147" s="302"/>
    </row>
    <row r="148" spans="3:4" x14ac:dyDescent="0.2">
      <c r="C148" s="302"/>
    </row>
    <row r="149" spans="3:4" x14ac:dyDescent="0.2">
      <c r="C149" s="302"/>
    </row>
    <row r="150" spans="3:4" ht="13.5" x14ac:dyDescent="0.25">
      <c r="D150" s="304"/>
    </row>
  </sheetData>
  <mergeCells count="7">
    <mergeCell ref="G7:G8"/>
    <mergeCell ref="A3:E3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scale="7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9"/>
  <sheetViews>
    <sheetView zoomScaleNormal="100" workbookViewId="0"/>
  </sheetViews>
  <sheetFormatPr defaultRowHeight="12.75" x14ac:dyDescent="0.2"/>
  <cols>
    <col min="1" max="1" width="52.5703125" style="213" customWidth="1"/>
    <col min="2" max="2" width="60" style="213" bestFit="1" customWidth="1"/>
    <col min="3" max="3" width="24.85546875" style="213" bestFit="1" customWidth="1"/>
    <col min="4" max="4" width="20.140625" style="213" customWidth="1"/>
    <col min="5" max="5" width="16.140625" style="213" customWidth="1"/>
    <col min="6" max="6" width="18" style="213" customWidth="1"/>
    <col min="7" max="7" width="16.5703125" customWidth="1"/>
    <col min="8" max="8" width="14.28515625" customWidth="1"/>
    <col min="9" max="9" width="22.42578125" customWidth="1"/>
    <col min="10" max="10" width="22.5703125" customWidth="1"/>
    <col min="11" max="13" width="9.28515625" bestFit="1" customWidth="1"/>
    <col min="14" max="14" width="10.7109375" bestFit="1" customWidth="1"/>
    <col min="257" max="257" width="52.5703125" customWidth="1"/>
    <col min="258" max="258" width="60" bestFit="1" customWidth="1"/>
    <col min="259" max="259" width="24.85546875" bestFit="1" customWidth="1"/>
    <col min="260" max="260" width="20.140625" customWidth="1"/>
    <col min="261" max="261" width="16.140625" customWidth="1"/>
    <col min="262" max="262" width="18" customWidth="1"/>
    <col min="263" max="263" width="16.5703125" customWidth="1"/>
    <col min="264" max="264" width="14.28515625" customWidth="1"/>
    <col min="265" max="265" width="22.42578125" customWidth="1"/>
    <col min="266" max="266" width="22.5703125" customWidth="1"/>
    <col min="267" max="269" width="9.28515625" bestFit="1" customWidth="1"/>
    <col min="270" max="270" width="10.7109375" bestFit="1" customWidth="1"/>
    <col min="513" max="513" width="52.5703125" customWidth="1"/>
    <col min="514" max="514" width="60" bestFit="1" customWidth="1"/>
    <col min="515" max="515" width="24.85546875" bestFit="1" customWidth="1"/>
    <col min="516" max="516" width="20.140625" customWidth="1"/>
    <col min="517" max="517" width="16.140625" customWidth="1"/>
    <col min="518" max="518" width="18" customWidth="1"/>
    <col min="519" max="519" width="16.5703125" customWidth="1"/>
    <col min="520" max="520" width="14.28515625" customWidth="1"/>
    <col min="521" max="521" width="22.42578125" customWidth="1"/>
    <col min="522" max="522" width="22.5703125" customWidth="1"/>
    <col min="523" max="525" width="9.28515625" bestFit="1" customWidth="1"/>
    <col min="526" max="526" width="10.7109375" bestFit="1" customWidth="1"/>
    <col min="769" max="769" width="52.5703125" customWidth="1"/>
    <col min="770" max="770" width="60" bestFit="1" customWidth="1"/>
    <col min="771" max="771" width="24.85546875" bestFit="1" customWidth="1"/>
    <col min="772" max="772" width="20.140625" customWidth="1"/>
    <col min="773" max="773" width="16.140625" customWidth="1"/>
    <col min="774" max="774" width="18" customWidth="1"/>
    <col min="775" max="775" width="16.5703125" customWidth="1"/>
    <col min="776" max="776" width="14.28515625" customWidth="1"/>
    <col min="777" max="777" width="22.42578125" customWidth="1"/>
    <col min="778" max="778" width="22.5703125" customWidth="1"/>
    <col min="779" max="781" width="9.28515625" bestFit="1" customWidth="1"/>
    <col min="782" max="782" width="10.7109375" bestFit="1" customWidth="1"/>
    <col min="1025" max="1025" width="52.5703125" customWidth="1"/>
    <col min="1026" max="1026" width="60" bestFit="1" customWidth="1"/>
    <col min="1027" max="1027" width="24.85546875" bestFit="1" customWidth="1"/>
    <col min="1028" max="1028" width="20.140625" customWidth="1"/>
    <col min="1029" max="1029" width="16.140625" customWidth="1"/>
    <col min="1030" max="1030" width="18" customWidth="1"/>
    <col min="1031" max="1031" width="16.5703125" customWidth="1"/>
    <col min="1032" max="1032" width="14.28515625" customWidth="1"/>
    <col min="1033" max="1033" width="22.42578125" customWidth="1"/>
    <col min="1034" max="1034" width="22.5703125" customWidth="1"/>
    <col min="1035" max="1037" width="9.28515625" bestFit="1" customWidth="1"/>
    <col min="1038" max="1038" width="10.7109375" bestFit="1" customWidth="1"/>
    <col min="1281" max="1281" width="52.5703125" customWidth="1"/>
    <col min="1282" max="1282" width="60" bestFit="1" customWidth="1"/>
    <col min="1283" max="1283" width="24.85546875" bestFit="1" customWidth="1"/>
    <col min="1284" max="1284" width="20.140625" customWidth="1"/>
    <col min="1285" max="1285" width="16.140625" customWidth="1"/>
    <col min="1286" max="1286" width="18" customWidth="1"/>
    <col min="1287" max="1287" width="16.5703125" customWidth="1"/>
    <col min="1288" max="1288" width="14.28515625" customWidth="1"/>
    <col min="1289" max="1289" width="22.42578125" customWidth="1"/>
    <col min="1290" max="1290" width="22.5703125" customWidth="1"/>
    <col min="1291" max="1293" width="9.28515625" bestFit="1" customWidth="1"/>
    <col min="1294" max="1294" width="10.7109375" bestFit="1" customWidth="1"/>
    <col min="1537" max="1537" width="52.5703125" customWidth="1"/>
    <col min="1538" max="1538" width="60" bestFit="1" customWidth="1"/>
    <col min="1539" max="1539" width="24.85546875" bestFit="1" customWidth="1"/>
    <col min="1540" max="1540" width="20.140625" customWidth="1"/>
    <col min="1541" max="1541" width="16.140625" customWidth="1"/>
    <col min="1542" max="1542" width="18" customWidth="1"/>
    <col min="1543" max="1543" width="16.5703125" customWidth="1"/>
    <col min="1544" max="1544" width="14.28515625" customWidth="1"/>
    <col min="1545" max="1545" width="22.42578125" customWidth="1"/>
    <col min="1546" max="1546" width="22.5703125" customWidth="1"/>
    <col min="1547" max="1549" width="9.28515625" bestFit="1" customWidth="1"/>
    <col min="1550" max="1550" width="10.7109375" bestFit="1" customWidth="1"/>
    <col min="1793" max="1793" width="52.5703125" customWidth="1"/>
    <col min="1794" max="1794" width="60" bestFit="1" customWidth="1"/>
    <col min="1795" max="1795" width="24.85546875" bestFit="1" customWidth="1"/>
    <col min="1796" max="1796" width="20.140625" customWidth="1"/>
    <col min="1797" max="1797" width="16.140625" customWidth="1"/>
    <col min="1798" max="1798" width="18" customWidth="1"/>
    <col min="1799" max="1799" width="16.5703125" customWidth="1"/>
    <col min="1800" max="1800" width="14.28515625" customWidth="1"/>
    <col min="1801" max="1801" width="22.42578125" customWidth="1"/>
    <col min="1802" max="1802" width="22.5703125" customWidth="1"/>
    <col min="1803" max="1805" width="9.28515625" bestFit="1" customWidth="1"/>
    <col min="1806" max="1806" width="10.7109375" bestFit="1" customWidth="1"/>
    <col min="2049" max="2049" width="52.5703125" customWidth="1"/>
    <col min="2050" max="2050" width="60" bestFit="1" customWidth="1"/>
    <col min="2051" max="2051" width="24.85546875" bestFit="1" customWidth="1"/>
    <col min="2052" max="2052" width="20.140625" customWidth="1"/>
    <col min="2053" max="2053" width="16.140625" customWidth="1"/>
    <col min="2054" max="2054" width="18" customWidth="1"/>
    <col min="2055" max="2055" width="16.5703125" customWidth="1"/>
    <col min="2056" max="2056" width="14.28515625" customWidth="1"/>
    <col min="2057" max="2057" width="22.42578125" customWidth="1"/>
    <col min="2058" max="2058" width="22.5703125" customWidth="1"/>
    <col min="2059" max="2061" width="9.28515625" bestFit="1" customWidth="1"/>
    <col min="2062" max="2062" width="10.7109375" bestFit="1" customWidth="1"/>
    <col min="2305" max="2305" width="52.5703125" customWidth="1"/>
    <col min="2306" max="2306" width="60" bestFit="1" customWidth="1"/>
    <col min="2307" max="2307" width="24.85546875" bestFit="1" customWidth="1"/>
    <col min="2308" max="2308" width="20.140625" customWidth="1"/>
    <col min="2309" max="2309" width="16.140625" customWidth="1"/>
    <col min="2310" max="2310" width="18" customWidth="1"/>
    <col min="2311" max="2311" width="16.5703125" customWidth="1"/>
    <col min="2312" max="2312" width="14.28515625" customWidth="1"/>
    <col min="2313" max="2313" width="22.42578125" customWidth="1"/>
    <col min="2314" max="2314" width="22.5703125" customWidth="1"/>
    <col min="2315" max="2317" width="9.28515625" bestFit="1" customWidth="1"/>
    <col min="2318" max="2318" width="10.7109375" bestFit="1" customWidth="1"/>
    <col min="2561" max="2561" width="52.5703125" customWidth="1"/>
    <col min="2562" max="2562" width="60" bestFit="1" customWidth="1"/>
    <col min="2563" max="2563" width="24.85546875" bestFit="1" customWidth="1"/>
    <col min="2564" max="2564" width="20.140625" customWidth="1"/>
    <col min="2565" max="2565" width="16.140625" customWidth="1"/>
    <col min="2566" max="2566" width="18" customWidth="1"/>
    <col min="2567" max="2567" width="16.5703125" customWidth="1"/>
    <col min="2568" max="2568" width="14.28515625" customWidth="1"/>
    <col min="2569" max="2569" width="22.42578125" customWidth="1"/>
    <col min="2570" max="2570" width="22.5703125" customWidth="1"/>
    <col min="2571" max="2573" width="9.28515625" bestFit="1" customWidth="1"/>
    <col min="2574" max="2574" width="10.7109375" bestFit="1" customWidth="1"/>
    <col min="2817" max="2817" width="52.5703125" customWidth="1"/>
    <col min="2818" max="2818" width="60" bestFit="1" customWidth="1"/>
    <col min="2819" max="2819" width="24.85546875" bestFit="1" customWidth="1"/>
    <col min="2820" max="2820" width="20.140625" customWidth="1"/>
    <col min="2821" max="2821" width="16.140625" customWidth="1"/>
    <col min="2822" max="2822" width="18" customWidth="1"/>
    <col min="2823" max="2823" width="16.5703125" customWidth="1"/>
    <col min="2824" max="2824" width="14.28515625" customWidth="1"/>
    <col min="2825" max="2825" width="22.42578125" customWidth="1"/>
    <col min="2826" max="2826" width="22.5703125" customWidth="1"/>
    <col min="2827" max="2829" width="9.28515625" bestFit="1" customWidth="1"/>
    <col min="2830" max="2830" width="10.7109375" bestFit="1" customWidth="1"/>
    <col min="3073" max="3073" width="52.5703125" customWidth="1"/>
    <col min="3074" max="3074" width="60" bestFit="1" customWidth="1"/>
    <col min="3075" max="3075" width="24.85546875" bestFit="1" customWidth="1"/>
    <col min="3076" max="3076" width="20.140625" customWidth="1"/>
    <col min="3077" max="3077" width="16.140625" customWidth="1"/>
    <col min="3078" max="3078" width="18" customWidth="1"/>
    <col min="3079" max="3079" width="16.5703125" customWidth="1"/>
    <col min="3080" max="3080" width="14.28515625" customWidth="1"/>
    <col min="3081" max="3081" width="22.42578125" customWidth="1"/>
    <col min="3082" max="3082" width="22.5703125" customWidth="1"/>
    <col min="3083" max="3085" width="9.28515625" bestFit="1" customWidth="1"/>
    <col min="3086" max="3086" width="10.7109375" bestFit="1" customWidth="1"/>
    <col min="3329" max="3329" width="52.5703125" customWidth="1"/>
    <col min="3330" max="3330" width="60" bestFit="1" customWidth="1"/>
    <col min="3331" max="3331" width="24.85546875" bestFit="1" customWidth="1"/>
    <col min="3332" max="3332" width="20.140625" customWidth="1"/>
    <col min="3333" max="3333" width="16.140625" customWidth="1"/>
    <col min="3334" max="3334" width="18" customWidth="1"/>
    <col min="3335" max="3335" width="16.5703125" customWidth="1"/>
    <col min="3336" max="3336" width="14.28515625" customWidth="1"/>
    <col min="3337" max="3337" width="22.42578125" customWidth="1"/>
    <col min="3338" max="3338" width="22.5703125" customWidth="1"/>
    <col min="3339" max="3341" width="9.28515625" bestFit="1" customWidth="1"/>
    <col min="3342" max="3342" width="10.7109375" bestFit="1" customWidth="1"/>
    <col min="3585" max="3585" width="52.5703125" customWidth="1"/>
    <col min="3586" max="3586" width="60" bestFit="1" customWidth="1"/>
    <col min="3587" max="3587" width="24.85546875" bestFit="1" customWidth="1"/>
    <col min="3588" max="3588" width="20.140625" customWidth="1"/>
    <col min="3589" max="3589" width="16.140625" customWidth="1"/>
    <col min="3590" max="3590" width="18" customWidth="1"/>
    <col min="3591" max="3591" width="16.5703125" customWidth="1"/>
    <col min="3592" max="3592" width="14.28515625" customWidth="1"/>
    <col min="3593" max="3593" width="22.42578125" customWidth="1"/>
    <col min="3594" max="3594" width="22.5703125" customWidth="1"/>
    <col min="3595" max="3597" width="9.28515625" bestFit="1" customWidth="1"/>
    <col min="3598" max="3598" width="10.7109375" bestFit="1" customWidth="1"/>
    <col min="3841" max="3841" width="52.5703125" customWidth="1"/>
    <col min="3842" max="3842" width="60" bestFit="1" customWidth="1"/>
    <col min="3843" max="3843" width="24.85546875" bestFit="1" customWidth="1"/>
    <col min="3844" max="3844" width="20.140625" customWidth="1"/>
    <col min="3845" max="3845" width="16.140625" customWidth="1"/>
    <col min="3846" max="3846" width="18" customWidth="1"/>
    <col min="3847" max="3847" width="16.5703125" customWidth="1"/>
    <col min="3848" max="3848" width="14.28515625" customWidth="1"/>
    <col min="3849" max="3849" width="22.42578125" customWidth="1"/>
    <col min="3850" max="3850" width="22.5703125" customWidth="1"/>
    <col min="3851" max="3853" width="9.28515625" bestFit="1" customWidth="1"/>
    <col min="3854" max="3854" width="10.7109375" bestFit="1" customWidth="1"/>
    <col min="4097" max="4097" width="52.5703125" customWidth="1"/>
    <col min="4098" max="4098" width="60" bestFit="1" customWidth="1"/>
    <col min="4099" max="4099" width="24.85546875" bestFit="1" customWidth="1"/>
    <col min="4100" max="4100" width="20.140625" customWidth="1"/>
    <col min="4101" max="4101" width="16.140625" customWidth="1"/>
    <col min="4102" max="4102" width="18" customWidth="1"/>
    <col min="4103" max="4103" width="16.5703125" customWidth="1"/>
    <col min="4104" max="4104" width="14.28515625" customWidth="1"/>
    <col min="4105" max="4105" width="22.42578125" customWidth="1"/>
    <col min="4106" max="4106" width="22.5703125" customWidth="1"/>
    <col min="4107" max="4109" width="9.28515625" bestFit="1" customWidth="1"/>
    <col min="4110" max="4110" width="10.7109375" bestFit="1" customWidth="1"/>
    <col min="4353" max="4353" width="52.5703125" customWidth="1"/>
    <col min="4354" max="4354" width="60" bestFit="1" customWidth="1"/>
    <col min="4355" max="4355" width="24.85546875" bestFit="1" customWidth="1"/>
    <col min="4356" max="4356" width="20.140625" customWidth="1"/>
    <col min="4357" max="4357" width="16.140625" customWidth="1"/>
    <col min="4358" max="4358" width="18" customWidth="1"/>
    <col min="4359" max="4359" width="16.5703125" customWidth="1"/>
    <col min="4360" max="4360" width="14.28515625" customWidth="1"/>
    <col min="4361" max="4361" width="22.42578125" customWidth="1"/>
    <col min="4362" max="4362" width="22.5703125" customWidth="1"/>
    <col min="4363" max="4365" width="9.28515625" bestFit="1" customWidth="1"/>
    <col min="4366" max="4366" width="10.7109375" bestFit="1" customWidth="1"/>
    <col min="4609" max="4609" width="52.5703125" customWidth="1"/>
    <col min="4610" max="4610" width="60" bestFit="1" customWidth="1"/>
    <col min="4611" max="4611" width="24.85546875" bestFit="1" customWidth="1"/>
    <col min="4612" max="4612" width="20.140625" customWidth="1"/>
    <col min="4613" max="4613" width="16.140625" customWidth="1"/>
    <col min="4614" max="4614" width="18" customWidth="1"/>
    <col min="4615" max="4615" width="16.5703125" customWidth="1"/>
    <col min="4616" max="4616" width="14.28515625" customWidth="1"/>
    <col min="4617" max="4617" width="22.42578125" customWidth="1"/>
    <col min="4618" max="4618" width="22.5703125" customWidth="1"/>
    <col min="4619" max="4621" width="9.28515625" bestFit="1" customWidth="1"/>
    <col min="4622" max="4622" width="10.7109375" bestFit="1" customWidth="1"/>
    <col min="4865" max="4865" width="52.5703125" customWidth="1"/>
    <col min="4866" max="4866" width="60" bestFit="1" customWidth="1"/>
    <col min="4867" max="4867" width="24.85546875" bestFit="1" customWidth="1"/>
    <col min="4868" max="4868" width="20.140625" customWidth="1"/>
    <col min="4869" max="4869" width="16.140625" customWidth="1"/>
    <col min="4870" max="4870" width="18" customWidth="1"/>
    <col min="4871" max="4871" width="16.5703125" customWidth="1"/>
    <col min="4872" max="4872" width="14.28515625" customWidth="1"/>
    <col min="4873" max="4873" width="22.42578125" customWidth="1"/>
    <col min="4874" max="4874" width="22.5703125" customWidth="1"/>
    <col min="4875" max="4877" width="9.28515625" bestFit="1" customWidth="1"/>
    <col min="4878" max="4878" width="10.7109375" bestFit="1" customWidth="1"/>
    <col min="5121" max="5121" width="52.5703125" customWidth="1"/>
    <col min="5122" max="5122" width="60" bestFit="1" customWidth="1"/>
    <col min="5123" max="5123" width="24.85546875" bestFit="1" customWidth="1"/>
    <col min="5124" max="5124" width="20.140625" customWidth="1"/>
    <col min="5125" max="5125" width="16.140625" customWidth="1"/>
    <col min="5126" max="5126" width="18" customWidth="1"/>
    <col min="5127" max="5127" width="16.5703125" customWidth="1"/>
    <col min="5128" max="5128" width="14.28515625" customWidth="1"/>
    <col min="5129" max="5129" width="22.42578125" customWidth="1"/>
    <col min="5130" max="5130" width="22.5703125" customWidth="1"/>
    <col min="5131" max="5133" width="9.28515625" bestFit="1" customWidth="1"/>
    <col min="5134" max="5134" width="10.7109375" bestFit="1" customWidth="1"/>
    <col min="5377" max="5377" width="52.5703125" customWidth="1"/>
    <col min="5378" max="5378" width="60" bestFit="1" customWidth="1"/>
    <col min="5379" max="5379" width="24.85546875" bestFit="1" customWidth="1"/>
    <col min="5380" max="5380" width="20.140625" customWidth="1"/>
    <col min="5381" max="5381" width="16.140625" customWidth="1"/>
    <col min="5382" max="5382" width="18" customWidth="1"/>
    <col min="5383" max="5383" width="16.5703125" customWidth="1"/>
    <col min="5384" max="5384" width="14.28515625" customWidth="1"/>
    <col min="5385" max="5385" width="22.42578125" customWidth="1"/>
    <col min="5386" max="5386" width="22.5703125" customWidth="1"/>
    <col min="5387" max="5389" width="9.28515625" bestFit="1" customWidth="1"/>
    <col min="5390" max="5390" width="10.7109375" bestFit="1" customWidth="1"/>
    <col min="5633" max="5633" width="52.5703125" customWidth="1"/>
    <col min="5634" max="5634" width="60" bestFit="1" customWidth="1"/>
    <col min="5635" max="5635" width="24.85546875" bestFit="1" customWidth="1"/>
    <col min="5636" max="5636" width="20.140625" customWidth="1"/>
    <col min="5637" max="5637" width="16.140625" customWidth="1"/>
    <col min="5638" max="5638" width="18" customWidth="1"/>
    <col min="5639" max="5639" width="16.5703125" customWidth="1"/>
    <col min="5640" max="5640" width="14.28515625" customWidth="1"/>
    <col min="5641" max="5641" width="22.42578125" customWidth="1"/>
    <col min="5642" max="5642" width="22.5703125" customWidth="1"/>
    <col min="5643" max="5645" width="9.28515625" bestFit="1" customWidth="1"/>
    <col min="5646" max="5646" width="10.7109375" bestFit="1" customWidth="1"/>
    <col min="5889" max="5889" width="52.5703125" customWidth="1"/>
    <col min="5890" max="5890" width="60" bestFit="1" customWidth="1"/>
    <col min="5891" max="5891" width="24.85546875" bestFit="1" customWidth="1"/>
    <col min="5892" max="5892" width="20.140625" customWidth="1"/>
    <col min="5893" max="5893" width="16.140625" customWidth="1"/>
    <col min="5894" max="5894" width="18" customWidth="1"/>
    <col min="5895" max="5895" width="16.5703125" customWidth="1"/>
    <col min="5896" max="5896" width="14.28515625" customWidth="1"/>
    <col min="5897" max="5897" width="22.42578125" customWidth="1"/>
    <col min="5898" max="5898" width="22.5703125" customWidth="1"/>
    <col min="5899" max="5901" width="9.28515625" bestFit="1" customWidth="1"/>
    <col min="5902" max="5902" width="10.7109375" bestFit="1" customWidth="1"/>
    <col min="6145" max="6145" width="52.5703125" customWidth="1"/>
    <col min="6146" max="6146" width="60" bestFit="1" customWidth="1"/>
    <col min="6147" max="6147" width="24.85546875" bestFit="1" customWidth="1"/>
    <col min="6148" max="6148" width="20.140625" customWidth="1"/>
    <col min="6149" max="6149" width="16.140625" customWidth="1"/>
    <col min="6150" max="6150" width="18" customWidth="1"/>
    <col min="6151" max="6151" width="16.5703125" customWidth="1"/>
    <col min="6152" max="6152" width="14.28515625" customWidth="1"/>
    <col min="6153" max="6153" width="22.42578125" customWidth="1"/>
    <col min="6154" max="6154" width="22.5703125" customWidth="1"/>
    <col min="6155" max="6157" width="9.28515625" bestFit="1" customWidth="1"/>
    <col min="6158" max="6158" width="10.7109375" bestFit="1" customWidth="1"/>
    <col min="6401" max="6401" width="52.5703125" customWidth="1"/>
    <col min="6402" max="6402" width="60" bestFit="1" customWidth="1"/>
    <col min="6403" max="6403" width="24.85546875" bestFit="1" customWidth="1"/>
    <col min="6404" max="6404" width="20.140625" customWidth="1"/>
    <col min="6405" max="6405" width="16.140625" customWidth="1"/>
    <col min="6406" max="6406" width="18" customWidth="1"/>
    <col min="6407" max="6407" width="16.5703125" customWidth="1"/>
    <col min="6408" max="6408" width="14.28515625" customWidth="1"/>
    <col min="6409" max="6409" width="22.42578125" customWidth="1"/>
    <col min="6410" max="6410" width="22.5703125" customWidth="1"/>
    <col min="6411" max="6413" width="9.28515625" bestFit="1" customWidth="1"/>
    <col min="6414" max="6414" width="10.7109375" bestFit="1" customWidth="1"/>
    <col min="6657" max="6657" width="52.5703125" customWidth="1"/>
    <col min="6658" max="6658" width="60" bestFit="1" customWidth="1"/>
    <col min="6659" max="6659" width="24.85546875" bestFit="1" customWidth="1"/>
    <col min="6660" max="6660" width="20.140625" customWidth="1"/>
    <col min="6661" max="6661" width="16.140625" customWidth="1"/>
    <col min="6662" max="6662" width="18" customWidth="1"/>
    <col min="6663" max="6663" width="16.5703125" customWidth="1"/>
    <col min="6664" max="6664" width="14.28515625" customWidth="1"/>
    <col min="6665" max="6665" width="22.42578125" customWidth="1"/>
    <col min="6666" max="6666" width="22.5703125" customWidth="1"/>
    <col min="6667" max="6669" width="9.28515625" bestFit="1" customWidth="1"/>
    <col min="6670" max="6670" width="10.7109375" bestFit="1" customWidth="1"/>
    <col min="6913" max="6913" width="52.5703125" customWidth="1"/>
    <col min="6914" max="6914" width="60" bestFit="1" customWidth="1"/>
    <col min="6915" max="6915" width="24.85546875" bestFit="1" customWidth="1"/>
    <col min="6916" max="6916" width="20.140625" customWidth="1"/>
    <col min="6917" max="6917" width="16.140625" customWidth="1"/>
    <col min="6918" max="6918" width="18" customWidth="1"/>
    <col min="6919" max="6919" width="16.5703125" customWidth="1"/>
    <col min="6920" max="6920" width="14.28515625" customWidth="1"/>
    <col min="6921" max="6921" width="22.42578125" customWidth="1"/>
    <col min="6922" max="6922" width="22.5703125" customWidth="1"/>
    <col min="6923" max="6925" width="9.28515625" bestFit="1" customWidth="1"/>
    <col min="6926" max="6926" width="10.7109375" bestFit="1" customWidth="1"/>
    <col min="7169" max="7169" width="52.5703125" customWidth="1"/>
    <col min="7170" max="7170" width="60" bestFit="1" customWidth="1"/>
    <col min="7171" max="7171" width="24.85546875" bestFit="1" customWidth="1"/>
    <col min="7172" max="7172" width="20.140625" customWidth="1"/>
    <col min="7173" max="7173" width="16.140625" customWidth="1"/>
    <col min="7174" max="7174" width="18" customWidth="1"/>
    <col min="7175" max="7175" width="16.5703125" customWidth="1"/>
    <col min="7176" max="7176" width="14.28515625" customWidth="1"/>
    <col min="7177" max="7177" width="22.42578125" customWidth="1"/>
    <col min="7178" max="7178" width="22.5703125" customWidth="1"/>
    <col min="7179" max="7181" width="9.28515625" bestFit="1" customWidth="1"/>
    <col min="7182" max="7182" width="10.7109375" bestFit="1" customWidth="1"/>
    <col min="7425" max="7425" width="52.5703125" customWidth="1"/>
    <col min="7426" max="7426" width="60" bestFit="1" customWidth="1"/>
    <col min="7427" max="7427" width="24.85546875" bestFit="1" customWidth="1"/>
    <col min="7428" max="7428" width="20.140625" customWidth="1"/>
    <col min="7429" max="7429" width="16.140625" customWidth="1"/>
    <col min="7430" max="7430" width="18" customWidth="1"/>
    <col min="7431" max="7431" width="16.5703125" customWidth="1"/>
    <col min="7432" max="7432" width="14.28515625" customWidth="1"/>
    <col min="7433" max="7433" width="22.42578125" customWidth="1"/>
    <col min="7434" max="7434" width="22.5703125" customWidth="1"/>
    <col min="7435" max="7437" width="9.28515625" bestFit="1" customWidth="1"/>
    <col min="7438" max="7438" width="10.7109375" bestFit="1" customWidth="1"/>
    <col min="7681" max="7681" width="52.5703125" customWidth="1"/>
    <col min="7682" max="7682" width="60" bestFit="1" customWidth="1"/>
    <col min="7683" max="7683" width="24.85546875" bestFit="1" customWidth="1"/>
    <col min="7684" max="7684" width="20.140625" customWidth="1"/>
    <col min="7685" max="7685" width="16.140625" customWidth="1"/>
    <col min="7686" max="7686" width="18" customWidth="1"/>
    <col min="7687" max="7687" width="16.5703125" customWidth="1"/>
    <col min="7688" max="7688" width="14.28515625" customWidth="1"/>
    <col min="7689" max="7689" width="22.42578125" customWidth="1"/>
    <col min="7690" max="7690" width="22.5703125" customWidth="1"/>
    <col min="7691" max="7693" width="9.28515625" bestFit="1" customWidth="1"/>
    <col min="7694" max="7694" width="10.7109375" bestFit="1" customWidth="1"/>
    <col min="7937" max="7937" width="52.5703125" customWidth="1"/>
    <col min="7938" max="7938" width="60" bestFit="1" customWidth="1"/>
    <col min="7939" max="7939" width="24.85546875" bestFit="1" customWidth="1"/>
    <col min="7940" max="7940" width="20.140625" customWidth="1"/>
    <col min="7941" max="7941" width="16.140625" customWidth="1"/>
    <col min="7942" max="7942" width="18" customWidth="1"/>
    <col min="7943" max="7943" width="16.5703125" customWidth="1"/>
    <col min="7944" max="7944" width="14.28515625" customWidth="1"/>
    <col min="7945" max="7945" width="22.42578125" customWidth="1"/>
    <col min="7946" max="7946" width="22.5703125" customWidth="1"/>
    <col min="7947" max="7949" width="9.28515625" bestFit="1" customWidth="1"/>
    <col min="7950" max="7950" width="10.7109375" bestFit="1" customWidth="1"/>
    <col min="8193" max="8193" width="52.5703125" customWidth="1"/>
    <col min="8194" max="8194" width="60" bestFit="1" customWidth="1"/>
    <col min="8195" max="8195" width="24.85546875" bestFit="1" customWidth="1"/>
    <col min="8196" max="8196" width="20.140625" customWidth="1"/>
    <col min="8197" max="8197" width="16.140625" customWidth="1"/>
    <col min="8198" max="8198" width="18" customWidth="1"/>
    <col min="8199" max="8199" width="16.5703125" customWidth="1"/>
    <col min="8200" max="8200" width="14.28515625" customWidth="1"/>
    <col min="8201" max="8201" width="22.42578125" customWidth="1"/>
    <col min="8202" max="8202" width="22.5703125" customWidth="1"/>
    <col min="8203" max="8205" width="9.28515625" bestFit="1" customWidth="1"/>
    <col min="8206" max="8206" width="10.7109375" bestFit="1" customWidth="1"/>
    <col min="8449" max="8449" width="52.5703125" customWidth="1"/>
    <col min="8450" max="8450" width="60" bestFit="1" customWidth="1"/>
    <col min="8451" max="8451" width="24.85546875" bestFit="1" customWidth="1"/>
    <col min="8452" max="8452" width="20.140625" customWidth="1"/>
    <col min="8453" max="8453" width="16.140625" customWidth="1"/>
    <col min="8454" max="8454" width="18" customWidth="1"/>
    <col min="8455" max="8455" width="16.5703125" customWidth="1"/>
    <col min="8456" max="8456" width="14.28515625" customWidth="1"/>
    <col min="8457" max="8457" width="22.42578125" customWidth="1"/>
    <col min="8458" max="8458" width="22.5703125" customWidth="1"/>
    <col min="8459" max="8461" width="9.28515625" bestFit="1" customWidth="1"/>
    <col min="8462" max="8462" width="10.7109375" bestFit="1" customWidth="1"/>
    <col min="8705" max="8705" width="52.5703125" customWidth="1"/>
    <col min="8706" max="8706" width="60" bestFit="1" customWidth="1"/>
    <col min="8707" max="8707" width="24.85546875" bestFit="1" customWidth="1"/>
    <col min="8708" max="8708" width="20.140625" customWidth="1"/>
    <col min="8709" max="8709" width="16.140625" customWidth="1"/>
    <col min="8710" max="8710" width="18" customWidth="1"/>
    <col min="8711" max="8711" width="16.5703125" customWidth="1"/>
    <col min="8712" max="8712" width="14.28515625" customWidth="1"/>
    <col min="8713" max="8713" width="22.42578125" customWidth="1"/>
    <col min="8714" max="8714" width="22.5703125" customWidth="1"/>
    <col min="8715" max="8717" width="9.28515625" bestFit="1" customWidth="1"/>
    <col min="8718" max="8718" width="10.7109375" bestFit="1" customWidth="1"/>
    <col min="8961" max="8961" width="52.5703125" customWidth="1"/>
    <col min="8962" max="8962" width="60" bestFit="1" customWidth="1"/>
    <col min="8963" max="8963" width="24.85546875" bestFit="1" customWidth="1"/>
    <col min="8964" max="8964" width="20.140625" customWidth="1"/>
    <col min="8965" max="8965" width="16.140625" customWidth="1"/>
    <col min="8966" max="8966" width="18" customWidth="1"/>
    <col min="8967" max="8967" width="16.5703125" customWidth="1"/>
    <col min="8968" max="8968" width="14.28515625" customWidth="1"/>
    <col min="8969" max="8969" width="22.42578125" customWidth="1"/>
    <col min="8970" max="8970" width="22.5703125" customWidth="1"/>
    <col min="8971" max="8973" width="9.28515625" bestFit="1" customWidth="1"/>
    <col min="8974" max="8974" width="10.7109375" bestFit="1" customWidth="1"/>
    <col min="9217" max="9217" width="52.5703125" customWidth="1"/>
    <col min="9218" max="9218" width="60" bestFit="1" customWidth="1"/>
    <col min="9219" max="9219" width="24.85546875" bestFit="1" customWidth="1"/>
    <col min="9220" max="9220" width="20.140625" customWidth="1"/>
    <col min="9221" max="9221" width="16.140625" customWidth="1"/>
    <col min="9222" max="9222" width="18" customWidth="1"/>
    <col min="9223" max="9223" width="16.5703125" customWidth="1"/>
    <col min="9224" max="9224" width="14.28515625" customWidth="1"/>
    <col min="9225" max="9225" width="22.42578125" customWidth="1"/>
    <col min="9226" max="9226" width="22.5703125" customWidth="1"/>
    <col min="9227" max="9229" width="9.28515625" bestFit="1" customWidth="1"/>
    <col min="9230" max="9230" width="10.7109375" bestFit="1" customWidth="1"/>
    <col min="9473" max="9473" width="52.5703125" customWidth="1"/>
    <col min="9474" max="9474" width="60" bestFit="1" customWidth="1"/>
    <col min="9475" max="9475" width="24.85546875" bestFit="1" customWidth="1"/>
    <col min="9476" max="9476" width="20.140625" customWidth="1"/>
    <col min="9477" max="9477" width="16.140625" customWidth="1"/>
    <col min="9478" max="9478" width="18" customWidth="1"/>
    <col min="9479" max="9479" width="16.5703125" customWidth="1"/>
    <col min="9480" max="9480" width="14.28515625" customWidth="1"/>
    <col min="9481" max="9481" width="22.42578125" customWidth="1"/>
    <col min="9482" max="9482" width="22.5703125" customWidth="1"/>
    <col min="9483" max="9485" width="9.28515625" bestFit="1" customWidth="1"/>
    <col min="9486" max="9486" width="10.7109375" bestFit="1" customWidth="1"/>
    <col min="9729" max="9729" width="52.5703125" customWidth="1"/>
    <col min="9730" max="9730" width="60" bestFit="1" customWidth="1"/>
    <col min="9731" max="9731" width="24.85546875" bestFit="1" customWidth="1"/>
    <col min="9732" max="9732" width="20.140625" customWidth="1"/>
    <col min="9733" max="9733" width="16.140625" customWidth="1"/>
    <col min="9734" max="9734" width="18" customWidth="1"/>
    <col min="9735" max="9735" width="16.5703125" customWidth="1"/>
    <col min="9736" max="9736" width="14.28515625" customWidth="1"/>
    <col min="9737" max="9737" width="22.42578125" customWidth="1"/>
    <col min="9738" max="9738" width="22.5703125" customWidth="1"/>
    <col min="9739" max="9741" width="9.28515625" bestFit="1" customWidth="1"/>
    <col min="9742" max="9742" width="10.7109375" bestFit="1" customWidth="1"/>
    <col min="9985" max="9985" width="52.5703125" customWidth="1"/>
    <col min="9986" max="9986" width="60" bestFit="1" customWidth="1"/>
    <col min="9987" max="9987" width="24.85546875" bestFit="1" customWidth="1"/>
    <col min="9988" max="9988" width="20.140625" customWidth="1"/>
    <col min="9989" max="9989" width="16.140625" customWidth="1"/>
    <col min="9990" max="9990" width="18" customWidth="1"/>
    <col min="9991" max="9991" width="16.5703125" customWidth="1"/>
    <col min="9992" max="9992" width="14.28515625" customWidth="1"/>
    <col min="9993" max="9993" width="22.42578125" customWidth="1"/>
    <col min="9994" max="9994" width="22.5703125" customWidth="1"/>
    <col min="9995" max="9997" width="9.28515625" bestFit="1" customWidth="1"/>
    <col min="9998" max="9998" width="10.7109375" bestFit="1" customWidth="1"/>
    <col min="10241" max="10241" width="52.5703125" customWidth="1"/>
    <col min="10242" max="10242" width="60" bestFit="1" customWidth="1"/>
    <col min="10243" max="10243" width="24.85546875" bestFit="1" customWidth="1"/>
    <col min="10244" max="10244" width="20.140625" customWidth="1"/>
    <col min="10245" max="10245" width="16.140625" customWidth="1"/>
    <col min="10246" max="10246" width="18" customWidth="1"/>
    <col min="10247" max="10247" width="16.5703125" customWidth="1"/>
    <col min="10248" max="10248" width="14.28515625" customWidth="1"/>
    <col min="10249" max="10249" width="22.42578125" customWidth="1"/>
    <col min="10250" max="10250" width="22.5703125" customWidth="1"/>
    <col min="10251" max="10253" width="9.28515625" bestFit="1" customWidth="1"/>
    <col min="10254" max="10254" width="10.7109375" bestFit="1" customWidth="1"/>
    <col min="10497" max="10497" width="52.5703125" customWidth="1"/>
    <col min="10498" max="10498" width="60" bestFit="1" customWidth="1"/>
    <col min="10499" max="10499" width="24.85546875" bestFit="1" customWidth="1"/>
    <col min="10500" max="10500" width="20.140625" customWidth="1"/>
    <col min="10501" max="10501" width="16.140625" customWidth="1"/>
    <col min="10502" max="10502" width="18" customWidth="1"/>
    <col min="10503" max="10503" width="16.5703125" customWidth="1"/>
    <col min="10504" max="10504" width="14.28515625" customWidth="1"/>
    <col min="10505" max="10505" width="22.42578125" customWidth="1"/>
    <col min="10506" max="10506" width="22.5703125" customWidth="1"/>
    <col min="10507" max="10509" width="9.28515625" bestFit="1" customWidth="1"/>
    <col min="10510" max="10510" width="10.7109375" bestFit="1" customWidth="1"/>
    <col min="10753" max="10753" width="52.5703125" customWidth="1"/>
    <col min="10754" max="10754" width="60" bestFit="1" customWidth="1"/>
    <col min="10755" max="10755" width="24.85546875" bestFit="1" customWidth="1"/>
    <col min="10756" max="10756" width="20.140625" customWidth="1"/>
    <col min="10757" max="10757" width="16.140625" customWidth="1"/>
    <col min="10758" max="10758" width="18" customWidth="1"/>
    <col min="10759" max="10759" width="16.5703125" customWidth="1"/>
    <col min="10760" max="10760" width="14.28515625" customWidth="1"/>
    <col min="10761" max="10761" width="22.42578125" customWidth="1"/>
    <col min="10762" max="10762" width="22.5703125" customWidth="1"/>
    <col min="10763" max="10765" width="9.28515625" bestFit="1" customWidth="1"/>
    <col min="10766" max="10766" width="10.7109375" bestFit="1" customWidth="1"/>
    <col min="11009" max="11009" width="52.5703125" customWidth="1"/>
    <col min="11010" max="11010" width="60" bestFit="1" customWidth="1"/>
    <col min="11011" max="11011" width="24.85546875" bestFit="1" customWidth="1"/>
    <col min="11012" max="11012" width="20.140625" customWidth="1"/>
    <col min="11013" max="11013" width="16.140625" customWidth="1"/>
    <col min="11014" max="11014" width="18" customWidth="1"/>
    <col min="11015" max="11015" width="16.5703125" customWidth="1"/>
    <col min="11016" max="11016" width="14.28515625" customWidth="1"/>
    <col min="11017" max="11017" width="22.42578125" customWidth="1"/>
    <col min="11018" max="11018" width="22.5703125" customWidth="1"/>
    <col min="11019" max="11021" width="9.28515625" bestFit="1" customWidth="1"/>
    <col min="11022" max="11022" width="10.7109375" bestFit="1" customWidth="1"/>
    <col min="11265" max="11265" width="52.5703125" customWidth="1"/>
    <col min="11266" max="11266" width="60" bestFit="1" customWidth="1"/>
    <col min="11267" max="11267" width="24.85546875" bestFit="1" customWidth="1"/>
    <col min="11268" max="11268" width="20.140625" customWidth="1"/>
    <col min="11269" max="11269" width="16.140625" customWidth="1"/>
    <col min="11270" max="11270" width="18" customWidth="1"/>
    <col min="11271" max="11271" width="16.5703125" customWidth="1"/>
    <col min="11272" max="11272" width="14.28515625" customWidth="1"/>
    <col min="11273" max="11273" width="22.42578125" customWidth="1"/>
    <col min="11274" max="11274" width="22.5703125" customWidth="1"/>
    <col min="11275" max="11277" width="9.28515625" bestFit="1" customWidth="1"/>
    <col min="11278" max="11278" width="10.7109375" bestFit="1" customWidth="1"/>
    <col min="11521" max="11521" width="52.5703125" customWidth="1"/>
    <col min="11522" max="11522" width="60" bestFit="1" customWidth="1"/>
    <col min="11523" max="11523" width="24.85546875" bestFit="1" customWidth="1"/>
    <col min="11524" max="11524" width="20.140625" customWidth="1"/>
    <col min="11525" max="11525" width="16.140625" customWidth="1"/>
    <col min="11526" max="11526" width="18" customWidth="1"/>
    <col min="11527" max="11527" width="16.5703125" customWidth="1"/>
    <col min="11528" max="11528" width="14.28515625" customWidth="1"/>
    <col min="11529" max="11529" width="22.42578125" customWidth="1"/>
    <col min="11530" max="11530" width="22.5703125" customWidth="1"/>
    <col min="11531" max="11533" width="9.28515625" bestFit="1" customWidth="1"/>
    <col min="11534" max="11534" width="10.7109375" bestFit="1" customWidth="1"/>
    <col min="11777" max="11777" width="52.5703125" customWidth="1"/>
    <col min="11778" max="11778" width="60" bestFit="1" customWidth="1"/>
    <col min="11779" max="11779" width="24.85546875" bestFit="1" customWidth="1"/>
    <col min="11780" max="11780" width="20.140625" customWidth="1"/>
    <col min="11781" max="11781" width="16.140625" customWidth="1"/>
    <col min="11782" max="11782" width="18" customWidth="1"/>
    <col min="11783" max="11783" width="16.5703125" customWidth="1"/>
    <col min="11784" max="11784" width="14.28515625" customWidth="1"/>
    <col min="11785" max="11785" width="22.42578125" customWidth="1"/>
    <col min="11786" max="11786" width="22.5703125" customWidth="1"/>
    <col min="11787" max="11789" width="9.28515625" bestFit="1" customWidth="1"/>
    <col min="11790" max="11790" width="10.7109375" bestFit="1" customWidth="1"/>
    <col min="12033" max="12033" width="52.5703125" customWidth="1"/>
    <col min="12034" max="12034" width="60" bestFit="1" customWidth="1"/>
    <col min="12035" max="12035" width="24.85546875" bestFit="1" customWidth="1"/>
    <col min="12036" max="12036" width="20.140625" customWidth="1"/>
    <col min="12037" max="12037" width="16.140625" customWidth="1"/>
    <col min="12038" max="12038" width="18" customWidth="1"/>
    <col min="12039" max="12039" width="16.5703125" customWidth="1"/>
    <col min="12040" max="12040" width="14.28515625" customWidth="1"/>
    <col min="12041" max="12041" width="22.42578125" customWidth="1"/>
    <col min="12042" max="12042" width="22.5703125" customWidth="1"/>
    <col min="12043" max="12045" width="9.28515625" bestFit="1" customWidth="1"/>
    <col min="12046" max="12046" width="10.7109375" bestFit="1" customWidth="1"/>
    <col min="12289" max="12289" width="52.5703125" customWidth="1"/>
    <col min="12290" max="12290" width="60" bestFit="1" customWidth="1"/>
    <col min="12291" max="12291" width="24.85546875" bestFit="1" customWidth="1"/>
    <col min="12292" max="12292" width="20.140625" customWidth="1"/>
    <col min="12293" max="12293" width="16.140625" customWidth="1"/>
    <col min="12294" max="12294" width="18" customWidth="1"/>
    <col min="12295" max="12295" width="16.5703125" customWidth="1"/>
    <col min="12296" max="12296" width="14.28515625" customWidth="1"/>
    <col min="12297" max="12297" width="22.42578125" customWidth="1"/>
    <col min="12298" max="12298" width="22.5703125" customWidth="1"/>
    <col min="12299" max="12301" width="9.28515625" bestFit="1" customWidth="1"/>
    <col min="12302" max="12302" width="10.7109375" bestFit="1" customWidth="1"/>
    <col min="12545" max="12545" width="52.5703125" customWidth="1"/>
    <col min="12546" max="12546" width="60" bestFit="1" customWidth="1"/>
    <col min="12547" max="12547" width="24.85546875" bestFit="1" customWidth="1"/>
    <col min="12548" max="12548" width="20.140625" customWidth="1"/>
    <col min="12549" max="12549" width="16.140625" customWidth="1"/>
    <col min="12550" max="12550" width="18" customWidth="1"/>
    <col min="12551" max="12551" width="16.5703125" customWidth="1"/>
    <col min="12552" max="12552" width="14.28515625" customWidth="1"/>
    <col min="12553" max="12553" width="22.42578125" customWidth="1"/>
    <col min="12554" max="12554" width="22.5703125" customWidth="1"/>
    <col min="12555" max="12557" width="9.28515625" bestFit="1" customWidth="1"/>
    <col min="12558" max="12558" width="10.7109375" bestFit="1" customWidth="1"/>
    <col min="12801" max="12801" width="52.5703125" customWidth="1"/>
    <col min="12802" max="12802" width="60" bestFit="1" customWidth="1"/>
    <col min="12803" max="12803" width="24.85546875" bestFit="1" customWidth="1"/>
    <col min="12804" max="12804" width="20.140625" customWidth="1"/>
    <col min="12805" max="12805" width="16.140625" customWidth="1"/>
    <col min="12806" max="12806" width="18" customWidth="1"/>
    <col min="12807" max="12807" width="16.5703125" customWidth="1"/>
    <col min="12808" max="12808" width="14.28515625" customWidth="1"/>
    <col min="12809" max="12809" width="22.42578125" customWidth="1"/>
    <col min="12810" max="12810" width="22.5703125" customWidth="1"/>
    <col min="12811" max="12813" width="9.28515625" bestFit="1" customWidth="1"/>
    <col min="12814" max="12814" width="10.7109375" bestFit="1" customWidth="1"/>
    <col min="13057" max="13057" width="52.5703125" customWidth="1"/>
    <col min="13058" max="13058" width="60" bestFit="1" customWidth="1"/>
    <col min="13059" max="13059" width="24.85546875" bestFit="1" customWidth="1"/>
    <col min="13060" max="13060" width="20.140625" customWidth="1"/>
    <col min="13061" max="13061" width="16.140625" customWidth="1"/>
    <col min="13062" max="13062" width="18" customWidth="1"/>
    <col min="13063" max="13063" width="16.5703125" customWidth="1"/>
    <col min="13064" max="13064" width="14.28515625" customWidth="1"/>
    <col min="13065" max="13065" width="22.42578125" customWidth="1"/>
    <col min="13066" max="13066" width="22.5703125" customWidth="1"/>
    <col min="13067" max="13069" width="9.28515625" bestFit="1" customWidth="1"/>
    <col min="13070" max="13070" width="10.7109375" bestFit="1" customWidth="1"/>
    <col min="13313" max="13313" width="52.5703125" customWidth="1"/>
    <col min="13314" max="13314" width="60" bestFit="1" customWidth="1"/>
    <col min="13315" max="13315" width="24.85546875" bestFit="1" customWidth="1"/>
    <col min="13316" max="13316" width="20.140625" customWidth="1"/>
    <col min="13317" max="13317" width="16.140625" customWidth="1"/>
    <col min="13318" max="13318" width="18" customWidth="1"/>
    <col min="13319" max="13319" width="16.5703125" customWidth="1"/>
    <col min="13320" max="13320" width="14.28515625" customWidth="1"/>
    <col min="13321" max="13321" width="22.42578125" customWidth="1"/>
    <col min="13322" max="13322" width="22.5703125" customWidth="1"/>
    <col min="13323" max="13325" width="9.28515625" bestFit="1" customWidth="1"/>
    <col min="13326" max="13326" width="10.7109375" bestFit="1" customWidth="1"/>
    <col min="13569" max="13569" width="52.5703125" customWidth="1"/>
    <col min="13570" max="13570" width="60" bestFit="1" customWidth="1"/>
    <col min="13571" max="13571" width="24.85546875" bestFit="1" customWidth="1"/>
    <col min="13572" max="13572" width="20.140625" customWidth="1"/>
    <col min="13573" max="13573" width="16.140625" customWidth="1"/>
    <col min="13574" max="13574" width="18" customWidth="1"/>
    <col min="13575" max="13575" width="16.5703125" customWidth="1"/>
    <col min="13576" max="13576" width="14.28515625" customWidth="1"/>
    <col min="13577" max="13577" width="22.42578125" customWidth="1"/>
    <col min="13578" max="13578" width="22.5703125" customWidth="1"/>
    <col min="13579" max="13581" width="9.28515625" bestFit="1" customWidth="1"/>
    <col min="13582" max="13582" width="10.7109375" bestFit="1" customWidth="1"/>
    <col min="13825" max="13825" width="52.5703125" customWidth="1"/>
    <col min="13826" max="13826" width="60" bestFit="1" customWidth="1"/>
    <col min="13827" max="13827" width="24.85546875" bestFit="1" customWidth="1"/>
    <col min="13828" max="13828" width="20.140625" customWidth="1"/>
    <col min="13829" max="13829" width="16.140625" customWidth="1"/>
    <col min="13830" max="13830" width="18" customWidth="1"/>
    <col min="13831" max="13831" width="16.5703125" customWidth="1"/>
    <col min="13832" max="13832" width="14.28515625" customWidth="1"/>
    <col min="13833" max="13833" width="22.42578125" customWidth="1"/>
    <col min="13834" max="13834" width="22.5703125" customWidth="1"/>
    <col min="13835" max="13837" width="9.28515625" bestFit="1" customWidth="1"/>
    <col min="13838" max="13838" width="10.7109375" bestFit="1" customWidth="1"/>
    <col min="14081" max="14081" width="52.5703125" customWidth="1"/>
    <col min="14082" max="14082" width="60" bestFit="1" customWidth="1"/>
    <col min="14083" max="14083" width="24.85546875" bestFit="1" customWidth="1"/>
    <col min="14084" max="14084" width="20.140625" customWidth="1"/>
    <col min="14085" max="14085" width="16.140625" customWidth="1"/>
    <col min="14086" max="14086" width="18" customWidth="1"/>
    <col min="14087" max="14087" width="16.5703125" customWidth="1"/>
    <col min="14088" max="14088" width="14.28515625" customWidth="1"/>
    <col min="14089" max="14089" width="22.42578125" customWidth="1"/>
    <col min="14090" max="14090" width="22.5703125" customWidth="1"/>
    <col min="14091" max="14093" width="9.28515625" bestFit="1" customWidth="1"/>
    <col min="14094" max="14094" width="10.7109375" bestFit="1" customWidth="1"/>
    <col min="14337" max="14337" width="52.5703125" customWidth="1"/>
    <col min="14338" max="14338" width="60" bestFit="1" customWidth="1"/>
    <col min="14339" max="14339" width="24.85546875" bestFit="1" customWidth="1"/>
    <col min="14340" max="14340" width="20.140625" customWidth="1"/>
    <col min="14341" max="14341" width="16.140625" customWidth="1"/>
    <col min="14342" max="14342" width="18" customWidth="1"/>
    <col min="14343" max="14343" width="16.5703125" customWidth="1"/>
    <col min="14344" max="14344" width="14.28515625" customWidth="1"/>
    <col min="14345" max="14345" width="22.42578125" customWidth="1"/>
    <col min="14346" max="14346" width="22.5703125" customWidth="1"/>
    <col min="14347" max="14349" width="9.28515625" bestFit="1" customWidth="1"/>
    <col min="14350" max="14350" width="10.7109375" bestFit="1" customWidth="1"/>
    <col min="14593" max="14593" width="52.5703125" customWidth="1"/>
    <col min="14594" max="14594" width="60" bestFit="1" customWidth="1"/>
    <col min="14595" max="14595" width="24.85546875" bestFit="1" customWidth="1"/>
    <col min="14596" max="14596" width="20.140625" customWidth="1"/>
    <col min="14597" max="14597" width="16.140625" customWidth="1"/>
    <col min="14598" max="14598" width="18" customWidth="1"/>
    <col min="14599" max="14599" width="16.5703125" customWidth="1"/>
    <col min="14600" max="14600" width="14.28515625" customWidth="1"/>
    <col min="14601" max="14601" width="22.42578125" customWidth="1"/>
    <col min="14602" max="14602" width="22.5703125" customWidth="1"/>
    <col min="14603" max="14605" width="9.28515625" bestFit="1" customWidth="1"/>
    <col min="14606" max="14606" width="10.7109375" bestFit="1" customWidth="1"/>
    <col min="14849" max="14849" width="52.5703125" customWidth="1"/>
    <col min="14850" max="14850" width="60" bestFit="1" customWidth="1"/>
    <col min="14851" max="14851" width="24.85546875" bestFit="1" customWidth="1"/>
    <col min="14852" max="14852" width="20.140625" customWidth="1"/>
    <col min="14853" max="14853" width="16.140625" customWidth="1"/>
    <col min="14854" max="14854" width="18" customWidth="1"/>
    <col min="14855" max="14855" width="16.5703125" customWidth="1"/>
    <col min="14856" max="14856" width="14.28515625" customWidth="1"/>
    <col min="14857" max="14857" width="22.42578125" customWidth="1"/>
    <col min="14858" max="14858" width="22.5703125" customWidth="1"/>
    <col min="14859" max="14861" width="9.28515625" bestFit="1" customWidth="1"/>
    <col min="14862" max="14862" width="10.7109375" bestFit="1" customWidth="1"/>
    <col min="15105" max="15105" width="52.5703125" customWidth="1"/>
    <col min="15106" max="15106" width="60" bestFit="1" customWidth="1"/>
    <col min="15107" max="15107" width="24.85546875" bestFit="1" customWidth="1"/>
    <col min="15108" max="15108" width="20.140625" customWidth="1"/>
    <col min="15109" max="15109" width="16.140625" customWidth="1"/>
    <col min="15110" max="15110" width="18" customWidth="1"/>
    <col min="15111" max="15111" width="16.5703125" customWidth="1"/>
    <col min="15112" max="15112" width="14.28515625" customWidth="1"/>
    <col min="15113" max="15113" width="22.42578125" customWidth="1"/>
    <col min="15114" max="15114" width="22.5703125" customWidth="1"/>
    <col min="15115" max="15117" width="9.28515625" bestFit="1" customWidth="1"/>
    <col min="15118" max="15118" width="10.7109375" bestFit="1" customWidth="1"/>
    <col min="15361" max="15361" width="52.5703125" customWidth="1"/>
    <col min="15362" max="15362" width="60" bestFit="1" customWidth="1"/>
    <col min="15363" max="15363" width="24.85546875" bestFit="1" customWidth="1"/>
    <col min="15364" max="15364" width="20.140625" customWidth="1"/>
    <col min="15365" max="15365" width="16.140625" customWidth="1"/>
    <col min="15366" max="15366" width="18" customWidth="1"/>
    <col min="15367" max="15367" width="16.5703125" customWidth="1"/>
    <col min="15368" max="15368" width="14.28515625" customWidth="1"/>
    <col min="15369" max="15369" width="22.42578125" customWidth="1"/>
    <col min="15370" max="15370" width="22.5703125" customWidth="1"/>
    <col min="15371" max="15373" width="9.28515625" bestFit="1" customWidth="1"/>
    <col min="15374" max="15374" width="10.7109375" bestFit="1" customWidth="1"/>
    <col min="15617" max="15617" width="52.5703125" customWidth="1"/>
    <col min="15618" max="15618" width="60" bestFit="1" customWidth="1"/>
    <col min="15619" max="15619" width="24.85546875" bestFit="1" customWidth="1"/>
    <col min="15620" max="15620" width="20.140625" customWidth="1"/>
    <col min="15621" max="15621" width="16.140625" customWidth="1"/>
    <col min="15622" max="15622" width="18" customWidth="1"/>
    <col min="15623" max="15623" width="16.5703125" customWidth="1"/>
    <col min="15624" max="15624" width="14.28515625" customWidth="1"/>
    <col min="15625" max="15625" width="22.42578125" customWidth="1"/>
    <col min="15626" max="15626" width="22.5703125" customWidth="1"/>
    <col min="15627" max="15629" width="9.28515625" bestFit="1" customWidth="1"/>
    <col min="15630" max="15630" width="10.7109375" bestFit="1" customWidth="1"/>
    <col min="15873" max="15873" width="52.5703125" customWidth="1"/>
    <col min="15874" max="15874" width="60" bestFit="1" customWidth="1"/>
    <col min="15875" max="15875" width="24.85546875" bestFit="1" customWidth="1"/>
    <col min="15876" max="15876" width="20.140625" customWidth="1"/>
    <col min="15877" max="15877" width="16.140625" customWidth="1"/>
    <col min="15878" max="15878" width="18" customWidth="1"/>
    <col min="15879" max="15879" width="16.5703125" customWidth="1"/>
    <col min="15880" max="15880" width="14.28515625" customWidth="1"/>
    <col min="15881" max="15881" width="22.42578125" customWidth="1"/>
    <col min="15882" max="15882" width="22.5703125" customWidth="1"/>
    <col min="15883" max="15885" width="9.28515625" bestFit="1" customWidth="1"/>
    <col min="15886" max="15886" width="10.7109375" bestFit="1" customWidth="1"/>
    <col min="16129" max="16129" width="52.5703125" customWidth="1"/>
    <col min="16130" max="16130" width="60" bestFit="1" customWidth="1"/>
    <col min="16131" max="16131" width="24.85546875" bestFit="1" customWidth="1"/>
    <col min="16132" max="16132" width="20.140625" customWidth="1"/>
    <col min="16133" max="16133" width="16.140625" customWidth="1"/>
    <col min="16134" max="16134" width="18" customWidth="1"/>
    <col min="16135" max="16135" width="16.5703125" customWidth="1"/>
    <col min="16136" max="16136" width="14.28515625" customWidth="1"/>
    <col min="16137" max="16137" width="22.42578125" customWidth="1"/>
    <col min="16138" max="16138" width="22.5703125" customWidth="1"/>
    <col min="16139" max="16141" width="9.28515625" bestFit="1" customWidth="1"/>
    <col min="16142" max="16142" width="10.7109375" bestFit="1" customWidth="1"/>
  </cols>
  <sheetData>
    <row r="1" spans="1:15" x14ac:dyDescent="0.2">
      <c r="A1" s="260"/>
      <c r="B1" s="261"/>
      <c r="C1" s="262"/>
      <c r="D1" s="263"/>
      <c r="E1" s="263" t="s">
        <v>975</v>
      </c>
    </row>
    <row r="2" spans="1:15" x14ac:dyDescent="0.2">
      <c r="A2" s="260"/>
      <c r="B2" s="261"/>
      <c r="C2" s="262"/>
      <c r="D2" s="263"/>
      <c r="E2" s="263"/>
    </row>
    <row r="3" spans="1:15" x14ac:dyDescent="0.2">
      <c r="A3" s="541" t="s">
        <v>791</v>
      </c>
      <c r="B3" s="541"/>
      <c r="C3" s="541"/>
      <c r="D3" s="541"/>
      <c r="E3" s="541"/>
    </row>
    <row r="4" spans="1:15" x14ac:dyDescent="0.2">
      <c r="A4" s="260"/>
      <c r="B4" s="261"/>
      <c r="C4" s="262"/>
      <c r="D4" s="263"/>
      <c r="E4" s="263"/>
    </row>
    <row r="5" spans="1:15" s="213" customFormat="1" x14ac:dyDescent="0.2">
      <c r="A5" s="260"/>
      <c r="B5" s="261"/>
      <c r="C5" s="262"/>
      <c r="D5" s="263"/>
      <c r="E5" s="263" t="s">
        <v>461</v>
      </c>
    </row>
    <row r="6" spans="1:15" s="213" customFormat="1" ht="13.5" thickBot="1" x14ac:dyDescent="0.25">
      <c r="A6" s="261"/>
      <c r="B6" s="264"/>
      <c r="C6" s="265"/>
      <c r="D6" s="266"/>
      <c r="E6" s="361">
        <v>1</v>
      </c>
    </row>
    <row r="7" spans="1:15" s="213" customFormat="1" ht="12.75" customHeight="1" x14ac:dyDescent="0.2">
      <c r="A7" s="557" t="s">
        <v>462</v>
      </c>
      <c r="B7" s="559" t="s">
        <v>463</v>
      </c>
      <c r="C7" s="542" t="s">
        <v>464</v>
      </c>
      <c r="D7" s="561" t="s">
        <v>465</v>
      </c>
      <c r="E7" s="563" t="s">
        <v>592</v>
      </c>
    </row>
    <row r="8" spans="1:15" s="213" customFormat="1" ht="13.5" thickBot="1" x14ac:dyDescent="0.25">
      <c r="A8" s="558"/>
      <c r="B8" s="560"/>
      <c r="C8" s="543"/>
      <c r="D8" s="562"/>
      <c r="E8" s="564"/>
    </row>
    <row r="9" spans="1:15" s="213" customFormat="1" x14ac:dyDescent="0.2">
      <c r="A9" s="305" t="s">
        <v>593</v>
      </c>
      <c r="B9" s="306" t="s">
        <v>594</v>
      </c>
      <c r="C9" s="307"/>
      <c r="D9" s="308">
        <f>2405380</f>
        <v>2405380</v>
      </c>
      <c r="E9" s="309">
        <v>528320</v>
      </c>
      <c r="G9" s="341"/>
      <c r="H9" s="341"/>
      <c r="I9" s="341"/>
      <c r="J9" s="341"/>
      <c r="K9" s="341"/>
      <c r="L9" s="341"/>
      <c r="M9" s="341"/>
      <c r="N9" s="341"/>
      <c r="O9" s="341"/>
    </row>
    <row r="10" spans="1:15" s="213" customFormat="1" x14ac:dyDescent="0.2">
      <c r="A10" s="311" t="s">
        <v>593</v>
      </c>
      <c r="B10" s="312" t="s">
        <v>595</v>
      </c>
      <c r="C10" s="313"/>
      <c r="D10" s="314">
        <v>139700</v>
      </c>
      <c r="E10" s="315">
        <v>0</v>
      </c>
      <c r="G10" s="341"/>
      <c r="H10" s="341"/>
      <c r="I10" s="341"/>
      <c r="J10" s="341"/>
      <c r="K10" s="341"/>
      <c r="L10" s="341"/>
      <c r="M10" s="341"/>
      <c r="N10" s="341"/>
      <c r="O10" s="341"/>
    </row>
    <row r="11" spans="1:15" s="213" customFormat="1" x14ac:dyDescent="0.2">
      <c r="A11" s="316" t="s">
        <v>596</v>
      </c>
      <c r="B11" s="317" t="s">
        <v>597</v>
      </c>
      <c r="C11" s="318" t="s">
        <v>469</v>
      </c>
      <c r="D11" s="319">
        <v>2047788</v>
      </c>
      <c r="E11" s="320">
        <v>2459009</v>
      </c>
      <c r="G11" s="341"/>
      <c r="H11" s="341"/>
      <c r="I11" s="341"/>
      <c r="J11" s="341"/>
      <c r="K11" s="341"/>
      <c r="L11" s="341"/>
      <c r="M11" s="341"/>
      <c r="N11" s="341"/>
      <c r="O11" s="341"/>
    </row>
    <row r="12" spans="1:15" s="213" customFormat="1" x14ac:dyDescent="0.2">
      <c r="A12" s="316" t="s">
        <v>598</v>
      </c>
      <c r="B12" s="317" t="s">
        <v>599</v>
      </c>
      <c r="C12" s="318" t="s">
        <v>600</v>
      </c>
      <c r="D12" s="319">
        <v>1181506</v>
      </c>
      <c r="E12" s="320">
        <v>1181506</v>
      </c>
      <c r="G12" s="341"/>
      <c r="H12" s="341"/>
      <c r="I12" s="341"/>
      <c r="J12" s="341"/>
      <c r="K12" s="341"/>
      <c r="L12" s="341"/>
      <c r="M12" s="341"/>
      <c r="N12" s="341"/>
      <c r="O12" s="341"/>
    </row>
    <row r="13" spans="1:15" s="357" customFormat="1" x14ac:dyDescent="0.2">
      <c r="A13" s="311" t="s">
        <v>601</v>
      </c>
      <c r="B13" s="312" t="s">
        <v>602</v>
      </c>
      <c r="C13" s="321">
        <v>42600</v>
      </c>
      <c r="D13" s="314">
        <v>0</v>
      </c>
      <c r="E13" s="315">
        <v>100965</v>
      </c>
      <c r="G13" s="343"/>
      <c r="H13" s="343"/>
      <c r="I13" s="343"/>
      <c r="J13" s="343"/>
      <c r="K13" s="343"/>
      <c r="L13" s="343"/>
      <c r="M13" s="343"/>
      <c r="N13" s="343"/>
      <c r="O13" s="343"/>
    </row>
    <row r="14" spans="1:15" s="213" customFormat="1" x14ac:dyDescent="0.2">
      <c r="A14" s="323" t="s">
        <v>470</v>
      </c>
      <c r="B14" s="273" t="s">
        <v>603</v>
      </c>
      <c r="C14" s="274">
        <v>43739</v>
      </c>
      <c r="D14" s="270">
        <f>271888*4</f>
        <v>1087552</v>
      </c>
      <c r="E14" s="276">
        <v>1063795</v>
      </c>
      <c r="G14" s="341"/>
      <c r="H14" s="341"/>
      <c r="I14" s="341"/>
      <c r="J14" s="341"/>
      <c r="K14" s="341"/>
      <c r="L14" s="341"/>
      <c r="M14" s="341"/>
      <c r="N14" s="341"/>
      <c r="O14" s="341"/>
    </row>
    <row r="15" spans="1:15" s="213" customFormat="1" x14ac:dyDescent="0.2">
      <c r="A15" s="323" t="s">
        <v>604</v>
      </c>
      <c r="B15" s="273" t="s">
        <v>605</v>
      </c>
      <c r="C15" s="274">
        <v>42916</v>
      </c>
      <c r="D15" s="270">
        <v>3810000</v>
      </c>
      <c r="E15" s="276">
        <v>0</v>
      </c>
      <c r="G15" s="341"/>
      <c r="H15" s="341"/>
      <c r="I15" s="341"/>
      <c r="J15" s="341"/>
      <c r="K15" s="341"/>
      <c r="L15" s="341"/>
      <c r="M15" s="341"/>
      <c r="N15" s="341"/>
      <c r="O15" s="341"/>
    </row>
    <row r="16" spans="1:15" s="213" customFormat="1" x14ac:dyDescent="0.2">
      <c r="A16" s="323" t="s">
        <v>606</v>
      </c>
      <c r="B16" s="273" t="s">
        <v>607</v>
      </c>
      <c r="C16" s="274">
        <v>44196</v>
      </c>
      <c r="D16" s="270">
        <v>635000</v>
      </c>
      <c r="E16" s="276">
        <v>7747000</v>
      </c>
      <c r="G16" s="341"/>
      <c r="H16" s="341"/>
      <c r="I16" s="341"/>
      <c r="J16" s="341"/>
      <c r="K16" s="341"/>
      <c r="L16" s="341"/>
      <c r="M16" s="341"/>
      <c r="N16" s="341"/>
      <c r="O16" s="341"/>
    </row>
    <row r="17" spans="1:15" s="213" customFormat="1" x14ac:dyDescent="0.2">
      <c r="A17" s="324" t="s">
        <v>608</v>
      </c>
      <c r="B17" s="325" t="s">
        <v>609</v>
      </c>
      <c r="C17" s="274" t="s">
        <v>469</v>
      </c>
      <c r="D17" s="326">
        <f>(12*290000)+392999</f>
        <v>3872999</v>
      </c>
      <c r="E17" s="327">
        <v>3178617</v>
      </c>
      <c r="G17" s="341"/>
      <c r="H17" s="341"/>
      <c r="I17" s="341"/>
      <c r="J17" s="341"/>
      <c r="K17" s="341"/>
      <c r="L17" s="341"/>
      <c r="M17" s="341"/>
      <c r="N17" s="341"/>
      <c r="O17" s="341"/>
    </row>
    <row r="18" spans="1:15" s="213" customFormat="1" x14ac:dyDescent="0.2">
      <c r="A18" s="324" t="s">
        <v>610</v>
      </c>
      <c r="B18" s="325" t="s">
        <v>611</v>
      </c>
      <c r="C18" s="274">
        <v>42735</v>
      </c>
      <c r="D18" s="326">
        <v>30000</v>
      </c>
      <c r="E18" s="327">
        <v>330000</v>
      </c>
      <c r="G18" s="341"/>
      <c r="H18" s="341"/>
      <c r="I18" s="341"/>
      <c r="J18" s="341"/>
      <c r="K18" s="341"/>
      <c r="L18" s="341"/>
      <c r="M18" s="341"/>
      <c r="N18" s="341"/>
      <c r="O18" s="341"/>
    </row>
    <row r="19" spans="1:15" s="213" customFormat="1" x14ac:dyDescent="0.2">
      <c r="A19" s="324" t="s">
        <v>612</v>
      </c>
      <c r="B19" s="325" t="s">
        <v>613</v>
      </c>
      <c r="C19" s="274"/>
      <c r="D19" s="326">
        <v>1714500</v>
      </c>
      <c r="E19" s="327">
        <v>0</v>
      </c>
      <c r="G19" s="341"/>
      <c r="H19" s="341"/>
      <c r="I19" s="341"/>
      <c r="J19" s="341"/>
      <c r="K19" s="341"/>
      <c r="L19" s="341"/>
      <c r="M19" s="341"/>
      <c r="N19" s="341"/>
      <c r="O19" s="341"/>
    </row>
    <row r="20" spans="1:15" s="213" customFormat="1" x14ac:dyDescent="0.2">
      <c r="A20" s="324" t="s">
        <v>614</v>
      </c>
      <c r="B20" s="325" t="s">
        <v>615</v>
      </c>
      <c r="C20" s="274">
        <v>42978</v>
      </c>
      <c r="D20" s="326">
        <v>2500000</v>
      </c>
      <c r="E20" s="327">
        <v>0</v>
      </c>
      <c r="G20" s="341"/>
      <c r="H20" s="341"/>
      <c r="I20" s="341"/>
      <c r="J20" s="341"/>
      <c r="K20" s="341"/>
      <c r="L20" s="341"/>
      <c r="M20" s="341"/>
      <c r="N20" s="341"/>
      <c r="O20" s="341"/>
    </row>
    <row r="21" spans="1:15" s="213" customFormat="1" x14ac:dyDescent="0.2">
      <c r="A21" s="324" t="s">
        <v>616</v>
      </c>
      <c r="B21" s="328" t="s">
        <v>617</v>
      </c>
      <c r="C21" s="278" t="s">
        <v>469</v>
      </c>
      <c r="D21" s="329">
        <f>E21*E6</f>
        <v>166311</v>
      </c>
      <c r="E21" s="327">
        <v>166311</v>
      </c>
      <c r="G21" s="341"/>
      <c r="H21" s="341"/>
      <c r="I21" s="341"/>
      <c r="J21" s="341"/>
      <c r="K21" s="341"/>
      <c r="L21" s="341"/>
      <c r="M21" s="341"/>
      <c r="N21" s="341"/>
      <c r="O21" s="341"/>
    </row>
    <row r="22" spans="1:15" s="213" customFormat="1" x14ac:dyDescent="0.2">
      <c r="A22" s="324" t="s">
        <v>618</v>
      </c>
      <c r="B22" s="328" t="s">
        <v>619</v>
      </c>
      <c r="C22" s="278"/>
      <c r="D22" s="329">
        <v>752475</v>
      </c>
      <c r="E22" s="327">
        <v>752475</v>
      </c>
      <c r="G22" s="341"/>
      <c r="H22" s="341"/>
      <c r="I22" s="341"/>
      <c r="J22" s="341"/>
      <c r="K22" s="341"/>
      <c r="L22" s="341"/>
      <c r="M22" s="341"/>
      <c r="N22" s="341"/>
      <c r="O22" s="341"/>
    </row>
    <row r="23" spans="1:15" s="213" customFormat="1" x14ac:dyDescent="0.2">
      <c r="A23" s="330" t="s">
        <v>620</v>
      </c>
      <c r="B23" s="279" t="s">
        <v>621</v>
      </c>
      <c r="C23" s="278" t="s">
        <v>469</v>
      </c>
      <c r="D23" s="326">
        <f>E23*E6</f>
        <v>40575</v>
      </c>
      <c r="E23" s="327">
        <v>40575</v>
      </c>
      <c r="G23" s="341"/>
      <c r="H23" s="341"/>
      <c r="I23" s="341"/>
      <c r="J23" s="341"/>
      <c r="K23" s="341"/>
      <c r="L23" s="341"/>
      <c r="M23" s="341"/>
      <c r="N23" s="341"/>
      <c r="O23" s="341"/>
    </row>
    <row r="24" spans="1:15" s="213" customFormat="1" x14ac:dyDescent="0.2">
      <c r="A24" s="330" t="s">
        <v>620</v>
      </c>
      <c r="B24" s="331" t="s">
        <v>622</v>
      </c>
      <c r="C24" s="332" t="s">
        <v>469</v>
      </c>
      <c r="D24" s="333">
        <v>129840</v>
      </c>
      <c r="E24" s="334">
        <v>129840</v>
      </c>
      <c r="G24" s="341"/>
      <c r="H24" s="341"/>
      <c r="I24" s="341"/>
      <c r="J24" s="341"/>
      <c r="K24" s="341"/>
      <c r="L24" s="341"/>
      <c r="M24" s="341"/>
      <c r="N24" s="341"/>
      <c r="O24" s="341"/>
    </row>
    <row r="25" spans="1:15" s="213" customFormat="1" ht="38.25" x14ac:dyDescent="0.2">
      <c r="A25" s="335" t="s">
        <v>623</v>
      </c>
      <c r="B25" s="331" t="s">
        <v>624</v>
      </c>
      <c r="C25" s="336" t="s">
        <v>625</v>
      </c>
      <c r="D25" s="333">
        <f>10160*6</f>
        <v>60960</v>
      </c>
      <c r="E25" s="334">
        <v>121920</v>
      </c>
      <c r="G25" s="341"/>
      <c r="H25" s="341"/>
      <c r="I25" s="341"/>
      <c r="J25" s="341"/>
      <c r="K25" s="341"/>
      <c r="L25" s="341"/>
      <c r="M25" s="341"/>
      <c r="N25" s="341"/>
      <c r="O25" s="341"/>
    </row>
    <row r="26" spans="1:15" s="213" customFormat="1" x14ac:dyDescent="0.2">
      <c r="A26" s="335" t="s">
        <v>623</v>
      </c>
      <c r="B26" s="331" t="s">
        <v>626</v>
      </c>
      <c r="C26" s="336">
        <v>42735</v>
      </c>
      <c r="D26" s="333">
        <v>355600</v>
      </c>
      <c r="E26" s="334">
        <v>0</v>
      </c>
      <c r="G26" s="341"/>
      <c r="H26" s="341"/>
      <c r="I26" s="341"/>
      <c r="J26" s="341"/>
      <c r="K26" s="341"/>
      <c r="L26" s="341"/>
      <c r="M26" s="341"/>
      <c r="N26" s="341"/>
      <c r="O26" s="341"/>
    </row>
    <row r="27" spans="1:15" s="213" customFormat="1" x14ac:dyDescent="0.2">
      <c r="A27" s="335" t="s">
        <v>623</v>
      </c>
      <c r="B27" s="331" t="s">
        <v>627</v>
      </c>
      <c r="C27" s="336">
        <v>42685</v>
      </c>
      <c r="D27" s="333">
        <v>222250</v>
      </c>
      <c r="E27" s="334">
        <v>0</v>
      </c>
      <c r="G27" s="341"/>
      <c r="H27" s="341"/>
      <c r="I27" s="341"/>
      <c r="J27" s="341"/>
      <c r="K27" s="341"/>
      <c r="L27" s="341"/>
      <c r="M27" s="341"/>
      <c r="N27" s="341"/>
      <c r="O27" s="341"/>
    </row>
    <row r="28" spans="1:15" s="213" customFormat="1" x14ac:dyDescent="0.2">
      <c r="A28" s="335" t="s">
        <v>628</v>
      </c>
      <c r="B28" s="331" t="s">
        <v>629</v>
      </c>
      <c r="C28" s="336"/>
      <c r="D28" s="333">
        <v>1750000</v>
      </c>
      <c r="E28" s="334">
        <f>8250000+15000000</f>
        <v>23250000</v>
      </c>
      <c r="G28" s="341"/>
      <c r="H28" s="341"/>
      <c r="I28" s="341"/>
      <c r="J28" s="341"/>
      <c r="K28" s="341"/>
      <c r="L28" s="341"/>
      <c r="M28" s="341"/>
      <c r="N28" s="341"/>
      <c r="O28" s="341"/>
    </row>
    <row r="29" spans="1:15" s="213" customFormat="1" x14ac:dyDescent="0.2">
      <c r="A29" s="335" t="s">
        <v>630</v>
      </c>
      <c r="B29" s="331" t="s">
        <v>631</v>
      </c>
      <c r="C29" s="337">
        <v>43830</v>
      </c>
      <c r="D29" s="333">
        <f>2000000*12</f>
        <v>24000000</v>
      </c>
      <c r="E29" s="334">
        <v>26950000</v>
      </c>
      <c r="G29" s="341"/>
      <c r="H29" s="341"/>
      <c r="I29" s="341"/>
      <c r="J29" s="341"/>
      <c r="K29" s="341"/>
      <c r="L29" s="341"/>
      <c r="M29" s="341"/>
      <c r="N29" s="341"/>
      <c r="O29" s="341"/>
    </row>
    <row r="30" spans="1:15" s="213" customFormat="1" x14ac:dyDescent="0.2">
      <c r="A30" s="330" t="s">
        <v>459</v>
      </c>
      <c r="B30" s="279" t="s">
        <v>632</v>
      </c>
      <c r="C30" s="274">
        <v>43100</v>
      </c>
      <c r="D30" s="338">
        <f>5588000+(12*508000)</f>
        <v>11684000</v>
      </c>
      <c r="E30" s="339">
        <v>1524000</v>
      </c>
      <c r="G30" s="341"/>
      <c r="H30" s="343"/>
      <c r="I30" s="343"/>
      <c r="J30" s="341"/>
      <c r="K30" s="341"/>
      <c r="L30" s="341"/>
      <c r="M30" s="341"/>
      <c r="N30" s="341"/>
      <c r="O30" s="341"/>
    </row>
    <row r="31" spans="1:15" s="213" customFormat="1" x14ac:dyDescent="0.2">
      <c r="A31" s="330" t="s">
        <v>459</v>
      </c>
      <c r="B31" s="279" t="s">
        <v>633</v>
      </c>
      <c r="C31" s="274"/>
      <c r="D31" s="338">
        <v>28385101</v>
      </c>
      <c r="E31" s="339">
        <v>0</v>
      </c>
      <c r="G31" s="341"/>
      <c r="H31" s="343"/>
      <c r="I31" s="343"/>
      <c r="J31" s="341"/>
      <c r="K31" s="341"/>
      <c r="L31" s="341"/>
      <c r="M31" s="341"/>
      <c r="N31" s="341"/>
      <c r="O31" s="341"/>
    </row>
    <row r="32" spans="1:15" s="213" customFormat="1" x14ac:dyDescent="0.2">
      <c r="A32" s="330" t="s">
        <v>634</v>
      </c>
      <c r="B32" s="279" t="s">
        <v>635</v>
      </c>
      <c r="C32" s="274">
        <v>43159</v>
      </c>
      <c r="D32" s="338">
        <f>635000*2</f>
        <v>1270000</v>
      </c>
      <c r="E32" s="339">
        <v>0</v>
      </c>
      <c r="G32" s="341"/>
      <c r="H32" s="341"/>
      <c r="I32" s="341"/>
      <c r="J32" s="341"/>
      <c r="K32" s="341"/>
      <c r="L32" s="341"/>
      <c r="M32" s="341"/>
      <c r="N32" s="341"/>
      <c r="O32" s="341"/>
    </row>
    <row r="33" spans="1:15" s="213" customFormat="1" x14ac:dyDescent="0.2">
      <c r="A33" s="330" t="s">
        <v>636</v>
      </c>
      <c r="B33" s="279" t="s">
        <v>637</v>
      </c>
      <c r="C33" s="274">
        <v>42735</v>
      </c>
      <c r="D33" s="338">
        <v>1400000</v>
      </c>
      <c r="E33" s="339">
        <v>0</v>
      </c>
      <c r="G33" s="341"/>
      <c r="H33" s="341"/>
      <c r="I33" s="341"/>
      <c r="J33" s="341"/>
      <c r="K33" s="341"/>
      <c r="L33" s="341"/>
      <c r="M33" s="341"/>
      <c r="N33" s="341"/>
      <c r="O33" s="341"/>
    </row>
    <row r="34" spans="1:15" s="213" customFormat="1" x14ac:dyDescent="0.2">
      <c r="A34" s="330" t="s">
        <v>638</v>
      </c>
      <c r="B34" s="279" t="s">
        <v>639</v>
      </c>
      <c r="C34" s="274">
        <v>42735</v>
      </c>
      <c r="D34" s="338">
        <f>90047+108935</f>
        <v>198982</v>
      </c>
      <c r="E34" s="339">
        <f>1162564</f>
        <v>1162564</v>
      </c>
      <c r="G34" s="341"/>
      <c r="H34" s="341"/>
      <c r="I34" s="342"/>
      <c r="J34" s="341"/>
      <c r="K34" s="341"/>
      <c r="L34" s="341"/>
      <c r="M34" s="341"/>
      <c r="N34" s="341"/>
      <c r="O34" s="341"/>
    </row>
    <row r="35" spans="1:15" s="213" customFormat="1" x14ac:dyDescent="0.2">
      <c r="A35" s="330" t="s">
        <v>640</v>
      </c>
      <c r="B35" s="279" t="s">
        <v>641</v>
      </c>
      <c r="C35" s="274" t="s">
        <v>469</v>
      </c>
      <c r="D35" s="338"/>
      <c r="E35" s="339">
        <v>0</v>
      </c>
      <c r="G35" s="341"/>
      <c r="H35" s="341"/>
      <c r="I35" s="342"/>
      <c r="J35" s="341"/>
      <c r="K35" s="341"/>
      <c r="L35" s="341"/>
      <c r="M35" s="341"/>
      <c r="N35" s="341"/>
      <c r="O35" s="341"/>
    </row>
    <row r="36" spans="1:15" s="213" customFormat="1" x14ac:dyDescent="0.2">
      <c r="A36" s="330" t="s">
        <v>642</v>
      </c>
      <c r="B36" s="279" t="s">
        <v>643</v>
      </c>
      <c r="C36" s="274" t="s">
        <v>469</v>
      </c>
      <c r="D36" s="338"/>
      <c r="E36" s="339">
        <v>0</v>
      </c>
      <c r="G36" s="343"/>
      <c r="H36" s="341"/>
      <c r="I36" s="342"/>
      <c r="J36" s="341"/>
      <c r="K36" s="341"/>
      <c r="L36" s="341"/>
      <c r="M36" s="341"/>
      <c r="N36" s="341"/>
      <c r="O36" s="341"/>
    </row>
    <row r="37" spans="1:15" s="213" customFormat="1" x14ac:dyDescent="0.2">
      <c r="A37" s="330" t="s">
        <v>644</v>
      </c>
      <c r="B37" s="325" t="s">
        <v>645</v>
      </c>
      <c r="C37" s="274" t="s">
        <v>469</v>
      </c>
      <c r="D37" s="326" t="s">
        <v>646</v>
      </c>
      <c r="E37" s="327">
        <v>153198</v>
      </c>
      <c r="G37" s="341"/>
      <c r="H37" s="341"/>
      <c r="I37" s="341"/>
      <c r="J37" s="342"/>
      <c r="K37" s="341"/>
      <c r="L37" s="341"/>
      <c r="M37" s="341"/>
      <c r="N37" s="341"/>
      <c r="O37" s="341"/>
    </row>
    <row r="38" spans="1:15" s="213" customFormat="1" x14ac:dyDescent="0.2">
      <c r="A38" s="330" t="s">
        <v>644</v>
      </c>
      <c r="B38" s="325" t="s">
        <v>647</v>
      </c>
      <c r="C38" s="274" t="s">
        <v>469</v>
      </c>
      <c r="D38" s="326">
        <v>0</v>
      </c>
      <c r="E38" s="327">
        <v>24178252</v>
      </c>
      <c r="G38" s="341"/>
      <c r="H38" s="341"/>
      <c r="I38" s="341"/>
      <c r="J38" s="341"/>
      <c r="K38" s="341"/>
      <c r="L38" s="341"/>
      <c r="M38" s="341"/>
      <c r="N38" s="341"/>
      <c r="O38" s="341"/>
    </row>
    <row r="39" spans="1:15" s="213" customFormat="1" x14ac:dyDescent="0.2">
      <c r="A39" s="330" t="s">
        <v>644</v>
      </c>
      <c r="B39" s="325" t="s">
        <v>648</v>
      </c>
      <c r="C39" s="274">
        <v>42445</v>
      </c>
      <c r="D39" s="326">
        <v>9822307</v>
      </c>
      <c r="E39" s="327">
        <v>9822307</v>
      </c>
      <c r="G39" s="341"/>
      <c r="H39" s="341"/>
      <c r="I39" s="341"/>
      <c r="J39" s="341"/>
      <c r="K39" s="341"/>
      <c r="L39" s="341"/>
      <c r="M39" s="341"/>
      <c r="N39" s="341"/>
      <c r="O39" s="341"/>
    </row>
    <row r="40" spans="1:15" s="213" customFormat="1" x14ac:dyDescent="0.2">
      <c r="A40" s="330" t="s">
        <v>644</v>
      </c>
      <c r="B40" s="325" t="s">
        <v>649</v>
      </c>
      <c r="C40" s="274" t="s">
        <v>469</v>
      </c>
      <c r="D40" s="326">
        <v>0</v>
      </c>
      <c r="E40" s="327">
        <v>1022350</v>
      </c>
      <c r="G40" s="341"/>
      <c r="H40" s="341"/>
      <c r="I40" s="341"/>
      <c r="J40" s="341"/>
      <c r="K40" s="341"/>
      <c r="L40" s="341"/>
      <c r="M40" s="341"/>
      <c r="N40" s="341"/>
      <c r="O40" s="341"/>
    </row>
    <row r="41" spans="1:15" s="213" customFormat="1" x14ac:dyDescent="0.2">
      <c r="A41" s="330" t="s">
        <v>644</v>
      </c>
      <c r="B41" s="325" t="s">
        <v>650</v>
      </c>
      <c r="C41" s="274" t="s">
        <v>469</v>
      </c>
      <c r="D41" s="329">
        <v>0</v>
      </c>
      <c r="E41" s="327">
        <v>10821331</v>
      </c>
      <c r="G41" s="341"/>
      <c r="H41" s="341"/>
      <c r="I41" s="341"/>
      <c r="J41" s="341"/>
      <c r="K41" s="341"/>
      <c r="L41" s="341"/>
      <c r="M41" s="341"/>
      <c r="N41" s="341"/>
      <c r="O41" s="341"/>
    </row>
    <row r="42" spans="1:15" s="213" customFormat="1" x14ac:dyDescent="0.2">
      <c r="A42" s="330" t="s">
        <v>644</v>
      </c>
      <c r="B42" s="325" t="s">
        <v>651</v>
      </c>
      <c r="C42" s="274">
        <v>43065</v>
      </c>
      <c r="D42" s="329">
        <v>0</v>
      </c>
      <c r="E42" s="327">
        <v>952500</v>
      </c>
      <c r="G42" s="341"/>
      <c r="H42" s="341"/>
      <c r="I42" s="341"/>
      <c r="J42" s="341"/>
      <c r="K42" s="341"/>
      <c r="L42" s="341"/>
      <c r="M42" s="341"/>
      <c r="N42" s="341"/>
      <c r="O42" s="341"/>
    </row>
    <row r="43" spans="1:15" s="213" customFormat="1" x14ac:dyDescent="0.2">
      <c r="A43" s="330" t="s">
        <v>644</v>
      </c>
      <c r="B43" s="325" t="s">
        <v>652</v>
      </c>
      <c r="C43" s="274" t="s">
        <v>469</v>
      </c>
      <c r="D43" s="326">
        <v>0</v>
      </c>
      <c r="E43" s="327">
        <v>833333</v>
      </c>
      <c r="G43" s="341"/>
      <c r="H43" s="341"/>
      <c r="I43" s="341"/>
      <c r="J43" s="341"/>
      <c r="K43" s="341"/>
      <c r="L43" s="341"/>
      <c r="M43" s="341"/>
      <c r="N43" s="341"/>
      <c r="O43" s="341"/>
    </row>
    <row r="44" spans="1:15" s="213" customFormat="1" x14ac:dyDescent="0.2">
      <c r="A44" s="330" t="s">
        <v>644</v>
      </c>
      <c r="B44" s="325" t="s">
        <v>653</v>
      </c>
      <c r="C44" s="274">
        <v>43100</v>
      </c>
      <c r="D44" s="326">
        <f>278000*12+242314</f>
        <v>3578314</v>
      </c>
      <c r="E44" s="327">
        <v>5483058</v>
      </c>
      <c r="G44" s="341"/>
      <c r="H44" s="341"/>
      <c r="I44" s="341"/>
      <c r="J44" s="341"/>
      <c r="K44" s="341"/>
      <c r="L44" s="341"/>
      <c r="M44" s="341"/>
      <c r="N44" s="341"/>
      <c r="O44" s="341"/>
    </row>
    <row r="45" spans="1:15" s="213" customFormat="1" x14ac:dyDescent="0.2">
      <c r="A45" s="330" t="s">
        <v>644</v>
      </c>
      <c r="B45" s="325" t="s">
        <v>654</v>
      </c>
      <c r="C45" s="274" t="s">
        <v>469</v>
      </c>
      <c r="D45" s="326">
        <v>80000000</v>
      </c>
      <c r="E45" s="327">
        <v>58359800</v>
      </c>
      <c r="G45" s="341"/>
      <c r="H45" s="341"/>
      <c r="I45" s="341"/>
      <c r="J45" s="342"/>
      <c r="K45" s="341"/>
      <c r="L45" s="341"/>
      <c r="M45" s="341"/>
      <c r="N45" s="341"/>
      <c r="O45" s="341"/>
    </row>
    <row r="46" spans="1:15" s="213" customFormat="1" ht="25.5" x14ac:dyDescent="0.2">
      <c r="A46" s="330" t="s">
        <v>655</v>
      </c>
      <c r="B46" s="325" t="s">
        <v>656</v>
      </c>
      <c r="C46" s="284" t="s">
        <v>657</v>
      </c>
      <c r="D46" s="326">
        <v>300000</v>
      </c>
      <c r="E46" s="327">
        <v>0</v>
      </c>
      <c r="G46" s="341"/>
      <c r="H46" s="341"/>
      <c r="I46" s="341"/>
      <c r="J46" s="342"/>
      <c r="K46" s="341"/>
      <c r="L46" s="341"/>
      <c r="M46" s="341"/>
      <c r="N46" s="341"/>
      <c r="O46" s="341"/>
    </row>
    <row r="47" spans="1:15" s="213" customFormat="1" x14ac:dyDescent="0.2">
      <c r="A47" s="324" t="s">
        <v>658</v>
      </c>
      <c r="B47" s="325" t="s">
        <v>659</v>
      </c>
      <c r="C47" s="274" t="s">
        <v>469</v>
      </c>
      <c r="D47" s="326">
        <f>13*104300</f>
        <v>1355900</v>
      </c>
      <c r="E47" s="327">
        <v>1139425</v>
      </c>
      <c r="G47" s="341"/>
      <c r="H47" s="341"/>
      <c r="I47" s="341"/>
      <c r="J47" s="341"/>
      <c r="K47" s="341"/>
      <c r="L47" s="341"/>
      <c r="M47" s="341"/>
      <c r="N47" s="341"/>
      <c r="O47" s="341"/>
    </row>
    <row r="48" spans="1:15" s="213" customFormat="1" x14ac:dyDescent="0.2">
      <c r="A48" s="324" t="s">
        <v>658</v>
      </c>
      <c r="B48" s="325" t="s">
        <v>660</v>
      </c>
      <c r="C48" s="274" t="s">
        <v>469</v>
      </c>
      <c r="D48" s="326">
        <f>14*24100</f>
        <v>337400</v>
      </c>
      <c r="E48" s="327">
        <v>497000</v>
      </c>
      <c r="G48" s="341"/>
      <c r="H48" s="341"/>
      <c r="I48" s="341"/>
      <c r="J48" s="341"/>
      <c r="K48" s="341"/>
      <c r="L48" s="341"/>
      <c r="M48" s="341"/>
      <c r="N48" s="341"/>
      <c r="O48" s="341"/>
    </row>
    <row r="49" spans="1:15" s="213" customFormat="1" x14ac:dyDescent="0.2">
      <c r="A49" s="324" t="s">
        <v>661</v>
      </c>
      <c r="B49" s="325" t="s">
        <v>662</v>
      </c>
      <c r="C49" s="274" t="s">
        <v>469</v>
      </c>
      <c r="D49" s="326">
        <f>419100*12*E6+(628650*2)</f>
        <v>6286500</v>
      </c>
      <c r="E49" s="327">
        <v>3771900</v>
      </c>
      <c r="G49" s="341"/>
      <c r="H49" s="341"/>
      <c r="I49" s="341"/>
      <c r="J49" s="341"/>
      <c r="K49" s="341"/>
      <c r="L49" s="341"/>
      <c r="M49" s="341"/>
      <c r="N49" s="341"/>
      <c r="O49" s="341"/>
    </row>
    <row r="50" spans="1:15" s="213" customFormat="1" x14ac:dyDescent="0.2">
      <c r="A50" s="324" t="s">
        <v>663</v>
      </c>
      <c r="B50" s="325" t="s">
        <v>664</v>
      </c>
      <c r="C50" s="274" t="s">
        <v>469</v>
      </c>
      <c r="D50" s="326">
        <f>(20*16500+75000)*12</f>
        <v>4860000</v>
      </c>
      <c r="E50" s="327">
        <v>4060000</v>
      </c>
      <c r="G50" s="341"/>
      <c r="H50" s="341"/>
      <c r="I50" s="341"/>
      <c r="J50" s="341"/>
      <c r="K50" s="341"/>
      <c r="L50" s="341"/>
      <c r="M50" s="341"/>
      <c r="N50" s="341"/>
      <c r="O50" s="341"/>
    </row>
    <row r="51" spans="1:15" s="213" customFormat="1" x14ac:dyDescent="0.2">
      <c r="A51" s="324" t="s">
        <v>665</v>
      </c>
      <c r="B51" s="325" t="s">
        <v>660</v>
      </c>
      <c r="C51" s="274" t="s">
        <v>469</v>
      </c>
      <c r="D51" s="326">
        <f>14*19600</f>
        <v>274400</v>
      </c>
      <c r="E51" s="327">
        <v>332200</v>
      </c>
      <c r="G51" s="341"/>
      <c r="H51" s="341"/>
      <c r="I51" s="341"/>
      <c r="J51" s="341"/>
      <c r="K51" s="341"/>
      <c r="L51" s="341"/>
      <c r="M51" s="341"/>
      <c r="N51" s="341"/>
      <c r="O51" s="341"/>
    </row>
    <row r="52" spans="1:15" s="213" customFormat="1" x14ac:dyDescent="0.2">
      <c r="A52" s="330" t="s">
        <v>666</v>
      </c>
      <c r="B52" s="279" t="s">
        <v>667</v>
      </c>
      <c r="C52" s="274" t="s">
        <v>469</v>
      </c>
      <c r="D52" s="326">
        <f>E52*E6</f>
        <v>2702709</v>
      </c>
      <c r="E52" s="344">
        <v>2702709</v>
      </c>
      <c r="G52" s="341"/>
      <c r="H52" s="341"/>
      <c r="I52" s="341"/>
      <c r="J52" s="341"/>
      <c r="K52" s="341"/>
      <c r="L52" s="341"/>
      <c r="M52" s="341"/>
      <c r="N52" s="341"/>
      <c r="O52" s="341"/>
    </row>
    <row r="53" spans="1:15" s="213" customFormat="1" x14ac:dyDescent="0.2">
      <c r="A53" s="345" t="s">
        <v>487</v>
      </c>
      <c r="B53" s="346" t="s">
        <v>668</v>
      </c>
      <c r="C53" s="283" t="s">
        <v>469</v>
      </c>
      <c r="D53" s="326">
        <f>E53*E6+50000</f>
        <v>4017053</v>
      </c>
      <c r="E53" s="344">
        <f>2096013+202936+561522+17292+783597+305693</f>
        <v>3967053</v>
      </c>
      <c r="G53" s="341"/>
      <c r="H53" s="341"/>
      <c r="I53" s="341"/>
      <c r="J53" s="341"/>
      <c r="K53" s="341"/>
      <c r="L53" s="341"/>
      <c r="M53" s="341"/>
      <c r="N53" s="341"/>
      <c r="O53" s="341"/>
    </row>
    <row r="54" spans="1:15" s="213" customFormat="1" x14ac:dyDescent="0.2">
      <c r="A54" s="345" t="s">
        <v>487</v>
      </c>
      <c r="B54" s="346" t="s">
        <v>669</v>
      </c>
      <c r="C54" s="283" t="s">
        <v>469</v>
      </c>
      <c r="D54" s="326">
        <f>E54*E6</f>
        <v>20307615</v>
      </c>
      <c r="E54" s="327">
        <f>20155314+89951+57204+5146</f>
        <v>20307615</v>
      </c>
      <c r="G54" s="341"/>
      <c r="H54" s="341"/>
      <c r="I54" s="341"/>
      <c r="J54" s="341"/>
      <c r="K54" s="341"/>
      <c r="L54" s="341"/>
      <c r="M54" s="341"/>
      <c r="N54" s="341"/>
      <c r="O54" s="341"/>
    </row>
    <row r="55" spans="1:15" s="213" customFormat="1" x14ac:dyDescent="0.2">
      <c r="A55" s="345" t="s">
        <v>487</v>
      </c>
      <c r="B55" s="346" t="s">
        <v>670</v>
      </c>
      <c r="C55" s="283" t="s">
        <v>469</v>
      </c>
      <c r="D55" s="326">
        <f>E55</f>
        <v>5150939</v>
      </c>
      <c r="E55" s="327">
        <f>2154786+2463301+10181+12112+210428+300131</f>
        <v>5150939</v>
      </c>
      <c r="G55" s="341"/>
      <c r="H55" s="341"/>
      <c r="I55" s="341"/>
      <c r="J55" s="341"/>
      <c r="K55" s="341"/>
      <c r="L55" s="341"/>
      <c r="M55" s="341"/>
      <c r="N55" s="341"/>
      <c r="O55" s="341"/>
    </row>
    <row r="56" spans="1:15" s="213" customFormat="1" x14ac:dyDescent="0.2">
      <c r="A56" s="324" t="s">
        <v>487</v>
      </c>
      <c r="B56" s="325" t="s">
        <v>671</v>
      </c>
      <c r="C56" s="274" t="s">
        <v>469</v>
      </c>
      <c r="D56" s="326">
        <f>E56*E6</f>
        <v>7102032</v>
      </c>
      <c r="E56" s="327">
        <v>7102032</v>
      </c>
      <c r="G56" s="341"/>
      <c r="H56" s="341"/>
      <c r="I56" s="341"/>
      <c r="J56" s="341"/>
      <c r="K56" s="341"/>
      <c r="L56" s="341"/>
      <c r="M56" s="341"/>
      <c r="N56" s="341"/>
      <c r="O56" s="341"/>
    </row>
    <row r="57" spans="1:15" s="213" customFormat="1" x14ac:dyDescent="0.2">
      <c r="A57" s="324" t="s">
        <v>672</v>
      </c>
      <c r="B57" s="325" t="s">
        <v>673</v>
      </c>
      <c r="C57" s="274" t="s">
        <v>469</v>
      </c>
      <c r="D57" s="326">
        <v>4000000</v>
      </c>
      <c r="E57" s="327">
        <v>3180000</v>
      </c>
      <c r="G57" s="341"/>
      <c r="H57" s="341"/>
      <c r="I57" s="341"/>
      <c r="J57" s="341"/>
      <c r="K57" s="341"/>
      <c r="L57" s="341"/>
      <c r="M57" s="341"/>
      <c r="N57" s="341"/>
      <c r="O57" s="341"/>
    </row>
    <row r="58" spans="1:15" s="213" customFormat="1" x14ac:dyDescent="0.2">
      <c r="A58" s="324" t="s">
        <v>674</v>
      </c>
      <c r="B58" s="325" t="s">
        <v>675</v>
      </c>
      <c r="C58" s="274">
        <v>43220</v>
      </c>
      <c r="D58" s="326">
        <f>226229*13</f>
        <v>2940977</v>
      </c>
      <c r="E58" s="327">
        <v>1583603</v>
      </c>
      <c r="G58" s="341"/>
      <c r="H58" s="341"/>
      <c r="I58" s="341"/>
      <c r="J58" s="341"/>
      <c r="K58" s="341"/>
      <c r="L58" s="341"/>
      <c r="M58" s="341"/>
      <c r="N58" s="341"/>
      <c r="O58" s="341"/>
    </row>
    <row r="59" spans="1:15" s="213" customFormat="1" x14ac:dyDescent="0.2">
      <c r="A59" s="324" t="s">
        <v>676</v>
      </c>
      <c r="B59" s="325" t="s">
        <v>677</v>
      </c>
      <c r="C59" s="274" t="s">
        <v>469</v>
      </c>
      <c r="D59" s="326">
        <f>E59*E6</f>
        <v>7655401</v>
      </c>
      <c r="E59" s="327">
        <v>7655401</v>
      </c>
      <c r="G59" s="341"/>
      <c r="H59" s="341"/>
      <c r="I59" s="341"/>
      <c r="J59" s="341"/>
      <c r="K59" s="341"/>
      <c r="L59" s="341"/>
      <c r="M59" s="341"/>
      <c r="N59" s="341"/>
      <c r="O59" s="341"/>
    </row>
    <row r="60" spans="1:15" s="213" customFormat="1" x14ac:dyDescent="0.2">
      <c r="A60" s="324" t="s">
        <v>678</v>
      </c>
      <c r="B60" s="325" t="s">
        <v>679</v>
      </c>
      <c r="C60" s="274">
        <v>42775</v>
      </c>
      <c r="D60" s="326">
        <v>24162432</v>
      </c>
      <c r="E60" s="327">
        <v>7624999</v>
      </c>
      <c r="G60" s="360"/>
      <c r="H60" s="341"/>
      <c r="I60" s="341"/>
      <c r="J60" s="341"/>
      <c r="K60" s="341"/>
      <c r="L60" s="341"/>
      <c r="M60" s="341"/>
      <c r="N60" s="341"/>
      <c r="O60" s="341"/>
    </row>
    <row r="61" spans="1:15" s="213" customFormat="1" x14ac:dyDescent="0.2">
      <c r="A61" s="324" t="s">
        <v>680</v>
      </c>
      <c r="B61" s="325" t="s">
        <v>681</v>
      </c>
      <c r="C61" s="274" t="s">
        <v>682</v>
      </c>
      <c r="D61" s="326">
        <f>5*180000</f>
        <v>900000</v>
      </c>
      <c r="E61" s="327">
        <v>540000</v>
      </c>
      <c r="G61" s="341"/>
      <c r="H61" s="341"/>
      <c r="I61" s="341"/>
      <c r="J61" s="341"/>
      <c r="K61" s="341"/>
      <c r="L61" s="341"/>
      <c r="M61" s="341"/>
      <c r="N61" s="341"/>
      <c r="O61" s="341"/>
    </row>
    <row r="62" spans="1:15" s="213" customFormat="1" x14ac:dyDescent="0.2">
      <c r="A62" s="345" t="s">
        <v>683</v>
      </c>
      <c r="B62" s="346" t="s">
        <v>684</v>
      </c>
      <c r="C62" s="283">
        <v>42916</v>
      </c>
      <c r="D62" s="326">
        <f>3248029/2</f>
        <v>1624014.5</v>
      </c>
      <c r="E62" s="327">
        <v>2150422</v>
      </c>
      <c r="G62" s="341"/>
      <c r="H62" s="341"/>
      <c r="I62" s="342"/>
      <c r="J62" s="341"/>
      <c r="K62" s="341"/>
      <c r="L62" s="341"/>
      <c r="M62" s="341"/>
      <c r="N62" s="341"/>
      <c r="O62" s="341"/>
    </row>
    <row r="63" spans="1:15" s="213" customFormat="1" x14ac:dyDescent="0.2">
      <c r="A63" s="345" t="s">
        <v>685</v>
      </c>
      <c r="B63" s="282" t="s">
        <v>686</v>
      </c>
      <c r="C63" s="283" t="s">
        <v>469</v>
      </c>
      <c r="D63" s="326">
        <f>E63*E6</f>
        <v>462690</v>
      </c>
      <c r="E63" s="327">
        <f>253160+209530</f>
        <v>462690</v>
      </c>
      <c r="G63" s="341"/>
      <c r="H63" s="341"/>
      <c r="I63" s="341"/>
      <c r="J63" s="341"/>
      <c r="K63" s="341"/>
      <c r="L63" s="341"/>
      <c r="M63" s="341"/>
      <c r="N63" s="341"/>
      <c r="O63" s="341"/>
    </row>
    <row r="64" spans="1:15" s="213" customFormat="1" x14ac:dyDescent="0.2">
      <c r="A64" s="345" t="s">
        <v>687</v>
      </c>
      <c r="B64" s="346" t="s">
        <v>597</v>
      </c>
      <c r="C64" s="283">
        <v>42369</v>
      </c>
      <c r="D64" s="326">
        <v>869700</v>
      </c>
      <c r="E64" s="327">
        <v>0</v>
      </c>
      <c r="G64" s="341"/>
      <c r="H64" s="341"/>
      <c r="I64" s="341"/>
      <c r="J64" s="341"/>
      <c r="K64" s="341"/>
      <c r="L64" s="341"/>
      <c r="M64" s="341"/>
      <c r="N64" s="341"/>
      <c r="O64" s="341"/>
    </row>
    <row r="65" spans="1:15" s="213" customFormat="1" x14ac:dyDescent="0.2">
      <c r="A65" s="345" t="s">
        <v>687</v>
      </c>
      <c r="B65" s="346" t="s">
        <v>688</v>
      </c>
      <c r="C65" s="283" t="s">
        <v>469</v>
      </c>
      <c r="D65" s="326">
        <v>65700</v>
      </c>
      <c r="E65" s="327">
        <v>65700</v>
      </c>
      <c r="G65" s="341"/>
      <c r="H65" s="341"/>
      <c r="I65" s="341"/>
      <c r="J65" s="341"/>
      <c r="K65" s="341"/>
      <c r="L65" s="341"/>
      <c r="M65" s="341"/>
      <c r="N65" s="341"/>
      <c r="O65" s="341"/>
    </row>
    <row r="66" spans="1:15" s="213" customFormat="1" x14ac:dyDescent="0.2">
      <c r="A66" s="345" t="s">
        <v>687</v>
      </c>
      <c r="B66" s="346" t="s">
        <v>689</v>
      </c>
      <c r="C66" s="283" t="s">
        <v>469</v>
      </c>
      <c r="D66" s="326">
        <f>7875*4</f>
        <v>31500</v>
      </c>
      <c r="E66" s="327">
        <v>39375</v>
      </c>
      <c r="G66" s="341"/>
      <c r="H66" s="341"/>
      <c r="I66" s="341"/>
      <c r="J66" s="341"/>
      <c r="K66" s="341"/>
      <c r="L66" s="341"/>
      <c r="M66" s="341"/>
      <c r="N66" s="341"/>
      <c r="O66" s="341"/>
    </row>
    <row r="67" spans="1:15" s="213" customFormat="1" x14ac:dyDescent="0.2">
      <c r="A67" s="345" t="s">
        <v>690</v>
      </c>
      <c r="B67" s="346" t="s">
        <v>691</v>
      </c>
      <c r="C67" s="283">
        <v>43465</v>
      </c>
      <c r="D67" s="326">
        <v>3040000</v>
      </c>
      <c r="E67" s="327">
        <v>4560000</v>
      </c>
      <c r="G67" s="341"/>
      <c r="H67" s="341"/>
      <c r="I67" s="341"/>
      <c r="J67" s="341"/>
      <c r="K67" s="341"/>
      <c r="L67" s="341"/>
      <c r="M67" s="341"/>
      <c r="N67" s="341"/>
      <c r="O67" s="341"/>
    </row>
    <row r="68" spans="1:15" s="213" customFormat="1" x14ac:dyDescent="0.2">
      <c r="A68" s="345" t="s">
        <v>692</v>
      </c>
      <c r="B68" s="346" t="s">
        <v>693</v>
      </c>
      <c r="C68" s="283" t="s">
        <v>469</v>
      </c>
      <c r="D68" s="326">
        <v>151596</v>
      </c>
      <c r="E68" s="327">
        <v>151596</v>
      </c>
      <c r="G68" s="341"/>
      <c r="H68" s="341"/>
      <c r="I68" s="341"/>
      <c r="J68" s="341"/>
      <c r="K68" s="341"/>
      <c r="L68" s="341"/>
      <c r="M68" s="341"/>
      <c r="N68" s="341"/>
      <c r="O68" s="341"/>
    </row>
    <row r="69" spans="1:15" s="213" customFormat="1" x14ac:dyDescent="0.2">
      <c r="A69" s="345" t="s">
        <v>694</v>
      </c>
      <c r="B69" s="346" t="s">
        <v>695</v>
      </c>
      <c r="C69" s="283">
        <v>42825</v>
      </c>
      <c r="D69" s="326">
        <v>3100000</v>
      </c>
      <c r="E69" s="327">
        <v>0</v>
      </c>
      <c r="G69" s="341"/>
      <c r="H69" s="341"/>
      <c r="I69" s="341"/>
      <c r="J69" s="341"/>
      <c r="K69" s="341"/>
      <c r="L69" s="341"/>
      <c r="M69" s="341"/>
      <c r="N69" s="341"/>
      <c r="O69" s="341"/>
    </row>
    <row r="70" spans="1:15" s="213" customFormat="1" x14ac:dyDescent="0.2">
      <c r="A70" s="345" t="s">
        <v>696</v>
      </c>
      <c r="B70" s="346" t="s">
        <v>697</v>
      </c>
      <c r="C70" s="283" t="s">
        <v>469</v>
      </c>
      <c r="D70" s="326">
        <v>127000</v>
      </c>
      <c r="E70" s="327">
        <v>127000</v>
      </c>
      <c r="G70" s="341"/>
      <c r="H70" s="341"/>
      <c r="I70" s="341"/>
      <c r="J70" s="341"/>
      <c r="K70" s="341"/>
      <c r="L70" s="341"/>
      <c r="M70" s="341"/>
      <c r="N70" s="341"/>
      <c r="O70" s="341"/>
    </row>
    <row r="71" spans="1:15" s="213" customFormat="1" ht="25.5" x14ac:dyDescent="0.2">
      <c r="A71" s="345" t="s">
        <v>696</v>
      </c>
      <c r="B71" s="282" t="s">
        <v>698</v>
      </c>
      <c r="C71" s="283" t="s">
        <v>469</v>
      </c>
      <c r="D71" s="326"/>
      <c r="E71" s="327">
        <v>0</v>
      </c>
      <c r="G71" s="343"/>
      <c r="H71" s="341"/>
      <c r="I71" s="341"/>
      <c r="J71" s="341"/>
      <c r="K71" s="341"/>
      <c r="L71" s="341"/>
      <c r="M71" s="341"/>
      <c r="N71" s="341"/>
      <c r="O71" s="341"/>
    </row>
    <row r="72" spans="1:15" s="213" customFormat="1" x14ac:dyDescent="0.2">
      <c r="A72" s="345" t="s">
        <v>699</v>
      </c>
      <c r="B72" s="282" t="s">
        <v>700</v>
      </c>
      <c r="C72" s="283">
        <v>43049</v>
      </c>
      <c r="D72" s="326">
        <v>1647292</v>
      </c>
      <c r="E72" s="327">
        <v>0</v>
      </c>
      <c r="G72" s="343"/>
      <c r="H72" s="341"/>
      <c r="I72" s="341"/>
      <c r="J72" s="341"/>
      <c r="K72" s="341"/>
      <c r="L72" s="341"/>
      <c r="M72" s="341"/>
      <c r="N72" s="341"/>
      <c r="O72" s="341"/>
    </row>
    <row r="73" spans="1:15" s="213" customFormat="1" ht="11.25" customHeight="1" x14ac:dyDescent="0.2">
      <c r="A73" s="345" t="s">
        <v>701</v>
      </c>
      <c r="B73" s="346" t="s">
        <v>702</v>
      </c>
      <c r="C73" s="283" t="s">
        <v>469</v>
      </c>
      <c r="D73" s="326">
        <v>275191</v>
      </c>
      <c r="E73" s="327">
        <v>275191</v>
      </c>
      <c r="G73" s="341"/>
      <c r="H73" s="341"/>
      <c r="I73" s="341"/>
      <c r="J73" s="341"/>
      <c r="K73" s="341"/>
      <c r="L73" s="341"/>
      <c r="M73" s="341"/>
      <c r="N73" s="341"/>
      <c r="O73" s="341"/>
    </row>
    <row r="74" spans="1:15" s="213" customFormat="1" ht="11.25" customHeight="1" x14ac:dyDescent="0.2">
      <c r="A74" s="345" t="s">
        <v>703</v>
      </c>
      <c r="B74" s="346" t="s">
        <v>704</v>
      </c>
      <c r="C74" s="283">
        <v>161202</v>
      </c>
      <c r="D74" s="326">
        <v>2413000</v>
      </c>
      <c r="E74" s="327">
        <v>0</v>
      </c>
      <c r="G74" s="341"/>
      <c r="H74" s="341"/>
      <c r="I74" s="341"/>
      <c r="J74" s="341"/>
      <c r="K74" s="341"/>
      <c r="L74" s="341"/>
      <c r="M74" s="341"/>
      <c r="N74" s="341"/>
      <c r="O74" s="341"/>
    </row>
    <row r="75" spans="1:15" s="213" customFormat="1" x14ac:dyDescent="0.2">
      <c r="A75" s="345" t="s">
        <v>703</v>
      </c>
      <c r="B75" s="346" t="s">
        <v>705</v>
      </c>
      <c r="C75" s="283">
        <v>42741</v>
      </c>
      <c r="D75" s="326">
        <v>1758950</v>
      </c>
      <c r="E75" s="327">
        <v>158750</v>
      </c>
      <c r="G75" s="341"/>
      <c r="H75" s="341"/>
      <c r="I75" s="341"/>
      <c r="J75" s="341"/>
      <c r="K75" s="341"/>
      <c r="L75" s="341"/>
      <c r="M75" s="341"/>
      <c r="N75" s="341"/>
      <c r="O75" s="341"/>
    </row>
    <row r="76" spans="1:15" s="213" customFormat="1" x14ac:dyDescent="0.2">
      <c r="A76" s="345" t="s">
        <v>703</v>
      </c>
      <c r="B76" s="346" t="s">
        <v>706</v>
      </c>
      <c r="C76" s="283">
        <v>42888</v>
      </c>
      <c r="D76" s="326">
        <v>48815559</v>
      </c>
      <c r="E76" s="327">
        <v>48815559</v>
      </c>
      <c r="G76" s="343"/>
      <c r="H76" s="341"/>
      <c r="I76" s="341"/>
      <c r="J76" s="341"/>
      <c r="K76" s="341"/>
      <c r="L76" s="341"/>
      <c r="M76" s="341"/>
      <c r="N76" s="341"/>
      <c r="O76" s="341"/>
    </row>
    <row r="77" spans="1:15" s="213" customFormat="1" x14ac:dyDescent="0.2">
      <c r="A77" s="345" t="s">
        <v>703</v>
      </c>
      <c r="B77" s="346" t="s">
        <v>707</v>
      </c>
      <c r="C77" s="283">
        <v>42702</v>
      </c>
      <c r="D77" s="326">
        <v>1714500</v>
      </c>
      <c r="E77" s="327">
        <v>0</v>
      </c>
      <c r="G77" s="343"/>
      <c r="H77" s="341"/>
      <c r="I77" s="341"/>
      <c r="J77" s="341"/>
      <c r="K77" s="341"/>
      <c r="L77" s="341"/>
      <c r="M77" s="341"/>
      <c r="N77" s="341"/>
      <c r="O77" s="341"/>
    </row>
    <row r="78" spans="1:15" s="213" customFormat="1" x14ac:dyDescent="0.2">
      <c r="A78" s="345" t="s">
        <v>708</v>
      </c>
      <c r="B78" s="346" t="s">
        <v>709</v>
      </c>
      <c r="C78" s="283"/>
      <c r="D78" s="326">
        <v>254000</v>
      </c>
      <c r="E78" s="327">
        <v>0</v>
      </c>
      <c r="G78" s="343"/>
      <c r="H78" s="341"/>
      <c r="I78" s="341"/>
      <c r="J78" s="341"/>
      <c r="K78" s="341"/>
      <c r="L78" s="341"/>
      <c r="M78" s="341"/>
      <c r="N78" s="341"/>
      <c r="O78" s="341"/>
    </row>
    <row r="79" spans="1:15" s="213" customFormat="1" x14ac:dyDescent="0.2">
      <c r="A79" s="345" t="s">
        <v>708</v>
      </c>
      <c r="B79" s="346" t="s">
        <v>710</v>
      </c>
      <c r="C79" s="283">
        <v>42766</v>
      </c>
      <c r="D79" s="326">
        <v>1270000</v>
      </c>
      <c r="E79" s="327">
        <v>0</v>
      </c>
      <c r="G79" s="343"/>
      <c r="H79" s="341"/>
      <c r="I79" s="341"/>
      <c r="J79" s="341"/>
      <c r="K79" s="341"/>
      <c r="L79" s="341"/>
      <c r="M79" s="341"/>
      <c r="N79" s="341"/>
      <c r="O79" s="341"/>
    </row>
    <row r="80" spans="1:15" s="213" customFormat="1" x14ac:dyDescent="0.2">
      <c r="A80" s="345" t="s">
        <v>711</v>
      </c>
      <c r="B80" s="346" t="s">
        <v>712</v>
      </c>
      <c r="C80" s="283">
        <v>42766</v>
      </c>
      <c r="D80" s="326">
        <v>200000</v>
      </c>
      <c r="E80" s="327">
        <v>0</v>
      </c>
      <c r="G80" s="343"/>
      <c r="H80" s="341"/>
      <c r="I80" s="341"/>
      <c r="J80" s="341"/>
      <c r="K80" s="341"/>
      <c r="L80" s="341"/>
      <c r="M80" s="341"/>
      <c r="N80" s="341"/>
      <c r="O80" s="341"/>
    </row>
    <row r="81" spans="1:15" s="213" customFormat="1" x14ac:dyDescent="0.2">
      <c r="A81" s="345" t="s">
        <v>713</v>
      </c>
      <c r="B81" s="346" t="s">
        <v>714</v>
      </c>
      <c r="C81" s="283">
        <v>43978</v>
      </c>
      <c r="D81" s="326">
        <v>1717274</v>
      </c>
      <c r="E81" s="327">
        <v>0</v>
      </c>
      <c r="G81" s="341"/>
      <c r="H81" s="341"/>
      <c r="I81" s="341"/>
      <c r="J81" s="341"/>
      <c r="K81" s="341"/>
      <c r="L81" s="341"/>
      <c r="M81" s="341"/>
      <c r="N81" s="341"/>
      <c r="O81" s="341"/>
    </row>
    <row r="82" spans="1:15" s="213" customFormat="1" x14ac:dyDescent="0.2">
      <c r="A82" s="345" t="s">
        <v>715</v>
      </c>
      <c r="B82" s="346" t="s">
        <v>716</v>
      </c>
      <c r="C82" s="283" t="s">
        <v>469</v>
      </c>
      <c r="D82" s="326">
        <f>13*25400</f>
        <v>330200</v>
      </c>
      <c r="E82" s="327">
        <v>254000</v>
      </c>
      <c r="G82" s="341"/>
      <c r="H82" s="341"/>
      <c r="I82" s="341"/>
      <c r="J82" s="341"/>
      <c r="K82" s="341"/>
      <c r="L82" s="341"/>
      <c r="M82" s="341"/>
      <c r="N82" s="341"/>
      <c r="O82" s="341"/>
    </row>
    <row r="83" spans="1:15" s="213" customFormat="1" x14ac:dyDescent="0.2">
      <c r="A83" s="345" t="s">
        <v>717</v>
      </c>
      <c r="B83" s="347" t="s">
        <v>717</v>
      </c>
      <c r="C83" s="283">
        <v>44074</v>
      </c>
      <c r="D83" s="326">
        <f>174552000</f>
        <v>174552000</v>
      </c>
      <c r="E83" s="327">
        <v>174552000</v>
      </c>
      <c r="G83" s="341"/>
      <c r="H83" s="341"/>
      <c r="I83" s="341"/>
      <c r="J83" s="341"/>
      <c r="K83" s="341"/>
      <c r="L83" s="341"/>
      <c r="M83" s="341"/>
      <c r="N83" s="341"/>
      <c r="O83" s="341"/>
    </row>
    <row r="84" spans="1:15" s="213" customFormat="1" x14ac:dyDescent="0.2">
      <c r="A84" s="345" t="s">
        <v>718</v>
      </c>
      <c r="B84" s="347" t="s">
        <v>719</v>
      </c>
      <c r="C84" s="283" t="s">
        <v>469</v>
      </c>
      <c r="D84" s="326">
        <v>149504</v>
      </c>
      <c r="E84" s="327">
        <v>149504</v>
      </c>
      <c r="G84" s="341"/>
      <c r="H84" s="341"/>
      <c r="I84" s="341"/>
      <c r="J84" s="341"/>
      <c r="K84" s="341"/>
      <c r="L84" s="341"/>
      <c r="M84" s="341"/>
      <c r="N84" s="341"/>
      <c r="O84" s="341"/>
    </row>
    <row r="85" spans="1:15" s="213" customFormat="1" x14ac:dyDescent="0.2">
      <c r="A85" s="345" t="s">
        <v>720</v>
      </c>
      <c r="B85" s="347" t="s">
        <v>721</v>
      </c>
      <c r="C85" s="283">
        <v>43100</v>
      </c>
      <c r="D85" s="326">
        <f>12*30000</f>
        <v>360000</v>
      </c>
      <c r="E85" s="327">
        <v>60000</v>
      </c>
      <c r="G85" s="341"/>
      <c r="H85" s="341"/>
      <c r="I85" s="341"/>
      <c r="J85" s="341"/>
      <c r="K85" s="341"/>
      <c r="L85" s="341"/>
      <c r="M85" s="341"/>
      <c r="N85" s="341"/>
      <c r="O85" s="341"/>
    </row>
    <row r="86" spans="1:15" s="213" customFormat="1" x14ac:dyDescent="0.2">
      <c r="A86" s="348" t="s">
        <v>722</v>
      </c>
      <c r="B86" s="349" t="s">
        <v>723</v>
      </c>
      <c r="C86" s="283" t="s">
        <v>469</v>
      </c>
      <c r="D86" s="350">
        <f>E86*E6</f>
        <v>1305755</v>
      </c>
      <c r="E86" s="351">
        <f>207817+603198+22054+472686</f>
        <v>1305755</v>
      </c>
      <c r="G86" s="341"/>
      <c r="H86" s="341"/>
      <c r="I86" s="341"/>
      <c r="J86" s="341"/>
      <c r="K86" s="341"/>
      <c r="L86" s="341"/>
      <c r="M86" s="341"/>
      <c r="N86" s="341"/>
      <c r="O86" s="341"/>
    </row>
    <row r="87" spans="1:15" x14ac:dyDescent="0.2">
      <c r="A87" s="348" t="s">
        <v>724</v>
      </c>
      <c r="B87" s="349" t="s">
        <v>725</v>
      </c>
      <c r="C87" s="283" t="s">
        <v>469</v>
      </c>
      <c r="D87" s="350">
        <v>100000</v>
      </c>
      <c r="E87" s="351">
        <v>100000</v>
      </c>
      <c r="G87" s="310"/>
      <c r="H87" s="310"/>
      <c r="I87" s="310"/>
      <c r="J87" s="310"/>
      <c r="K87" s="310"/>
      <c r="L87" s="310"/>
      <c r="M87" s="310"/>
      <c r="N87" s="310"/>
      <c r="O87" s="310"/>
    </row>
    <row r="88" spans="1:15" x14ac:dyDescent="0.2">
      <c r="A88" s="348" t="s">
        <v>726</v>
      </c>
      <c r="B88" s="349" t="s">
        <v>727</v>
      </c>
      <c r="C88" s="283">
        <v>42809</v>
      </c>
      <c r="D88" s="350">
        <v>2656269</v>
      </c>
      <c r="E88" s="351">
        <v>0</v>
      </c>
      <c r="G88" s="310"/>
      <c r="H88" s="310"/>
      <c r="I88" s="310"/>
      <c r="J88" s="310"/>
      <c r="K88" s="310"/>
      <c r="L88" s="310"/>
      <c r="M88" s="310"/>
      <c r="N88" s="310"/>
      <c r="O88" s="310"/>
    </row>
    <row r="89" spans="1:15" x14ac:dyDescent="0.2">
      <c r="A89" s="345" t="s">
        <v>728</v>
      </c>
      <c r="B89" s="346" t="s">
        <v>568</v>
      </c>
      <c r="C89" s="283" t="s">
        <v>469</v>
      </c>
      <c r="D89" s="326">
        <v>12000</v>
      </c>
      <c r="E89" s="327">
        <v>12000</v>
      </c>
      <c r="G89" s="310"/>
      <c r="H89" s="310"/>
      <c r="I89" s="310"/>
      <c r="J89" s="310"/>
      <c r="K89" s="310"/>
      <c r="L89" s="310"/>
      <c r="M89" s="310"/>
      <c r="N89" s="310"/>
      <c r="O89" s="310"/>
    </row>
    <row r="90" spans="1:15" x14ac:dyDescent="0.2">
      <c r="A90" s="345" t="s">
        <v>729</v>
      </c>
      <c r="B90" s="346" t="s">
        <v>730</v>
      </c>
      <c r="C90" s="283" t="s">
        <v>469</v>
      </c>
      <c r="D90" s="326">
        <f>12*1905</f>
        <v>22860</v>
      </c>
      <c r="E90" s="327">
        <v>7559</v>
      </c>
      <c r="G90" s="310"/>
      <c r="H90" s="310"/>
      <c r="I90" s="310"/>
      <c r="J90" s="310"/>
      <c r="K90" s="310"/>
      <c r="L90" s="310"/>
      <c r="M90" s="310"/>
      <c r="N90" s="310"/>
      <c r="O90" s="310"/>
    </row>
    <row r="91" spans="1:15" x14ac:dyDescent="0.2">
      <c r="A91" s="345" t="s">
        <v>731</v>
      </c>
      <c r="B91" s="346" t="s">
        <v>732</v>
      </c>
      <c r="C91" s="283">
        <v>42888</v>
      </c>
      <c r="D91" s="326">
        <v>936625</v>
      </c>
      <c r="E91" s="327">
        <v>2809875</v>
      </c>
      <c r="G91" s="310"/>
      <c r="H91" s="310"/>
      <c r="I91" s="310"/>
      <c r="J91" s="310"/>
      <c r="K91" s="310"/>
      <c r="L91" s="310"/>
      <c r="M91" s="310"/>
      <c r="N91" s="310"/>
      <c r="O91" s="310"/>
    </row>
    <row r="92" spans="1:15" x14ac:dyDescent="0.2">
      <c r="A92" s="324" t="s">
        <v>733</v>
      </c>
      <c r="B92" s="325" t="s">
        <v>734</v>
      </c>
      <c r="C92" s="278" t="s">
        <v>469</v>
      </c>
      <c r="D92" s="326">
        <f>E92*E6</f>
        <v>2362430</v>
      </c>
      <c r="E92" s="327">
        <v>2362430</v>
      </c>
      <c r="G92" s="310"/>
      <c r="H92" s="310"/>
      <c r="I92" s="310"/>
      <c r="J92" s="310"/>
      <c r="K92" s="310"/>
      <c r="L92" s="310"/>
      <c r="M92" s="310"/>
      <c r="N92" s="310"/>
      <c r="O92" s="310"/>
    </row>
    <row r="93" spans="1:15" x14ac:dyDescent="0.2">
      <c r="A93" s="324" t="s">
        <v>735</v>
      </c>
      <c r="B93" s="325" t="s">
        <v>736</v>
      </c>
      <c r="C93" s="274">
        <v>42735</v>
      </c>
      <c r="D93" s="326">
        <v>190500</v>
      </c>
      <c r="E93" s="327">
        <v>0</v>
      </c>
      <c r="G93" s="310"/>
      <c r="H93" s="310"/>
      <c r="I93" s="310"/>
      <c r="J93" s="310"/>
      <c r="K93" s="310"/>
      <c r="L93" s="310"/>
      <c r="M93" s="310"/>
      <c r="N93" s="310"/>
      <c r="O93" s="310"/>
    </row>
    <row r="94" spans="1:15" x14ac:dyDescent="0.2">
      <c r="A94" s="324" t="s">
        <v>737</v>
      </c>
      <c r="B94" s="325" t="s">
        <v>738</v>
      </c>
      <c r="C94" s="278" t="s">
        <v>469</v>
      </c>
      <c r="D94" s="326">
        <f>228600+54610</f>
        <v>283210</v>
      </c>
      <c r="E94" s="327">
        <v>228600</v>
      </c>
      <c r="G94" s="310"/>
      <c r="H94" s="310"/>
      <c r="I94" s="310"/>
      <c r="J94" s="310"/>
      <c r="K94" s="310"/>
      <c r="L94" s="310"/>
      <c r="M94" s="310"/>
      <c r="N94" s="310"/>
      <c r="O94" s="310"/>
    </row>
    <row r="95" spans="1:15" x14ac:dyDescent="0.2">
      <c r="A95" s="324" t="s">
        <v>739</v>
      </c>
      <c r="B95" s="325" t="s">
        <v>740</v>
      </c>
      <c r="C95" s="274">
        <v>44196</v>
      </c>
      <c r="D95" s="326">
        <f>596900+(2*1360807)</f>
        <v>3318514</v>
      </c>
      <c r="E95" s="327">
        <f>3265938</f>
        <v>3265938</v>
      </c>
      <c r="G95" s="310"/>
      <c r="H95" s="322"/>
      <c r="I95" s="322"/>
      <c r="J95" s="322"/>
      <c r="K95" s="310"/>
      <c r="L95" s="310"/>
      <c r="M95" s="310"/>
      <c r="N95" s="310"/>
      <c r="O95" s="310"/>
    </row>
    <row r="96" spans="1:15" x14ac:dyDescent="0.2">
      <c r="A96" s="324" t="s">
        <v>739</v>
      </c>
      <c r="B96" s="325" t="s">
        <v>741</v>
      </c>
      <c r="C96" s="274">
        <v>44135</v>
      </c>
      <c r="D96" s="326">
        <v>0</v>
      </c>
      <c r="E96" s="327">
        <v>2529223</v>
      </c>
      <c r="G96" s="552"/>
      <c r="H96" s="553"/>
      <c r="I96" s="553"/>
      <c r="J96" s="553"/>
      <c r="K96" s="310"/>
      <c r="L96" s="310"/>
      <c r="M96" s="310"/>
      <c r="N96" s="310"/>
      <c r="O96" s="310"/>
    </row>
    <row r="97" spans="1:15" x14ac:dyDescent="0.2">
      <c r="A97" s="345" t="s">
        <v>742</v>
      </c>
      <c r="B97" s="346" t="s">
        <v>743</v>
      </c>
      <c r="C97" s="283" t="s">
        <v>744</v>
      </c>
      <c r="D97" s="326">
        <f>342900*E6</f>
        <v>342900</v>
      </c>
      <c r="E97" s="327">
        <v>0</v>
      </c>
      <c r="G97" s="310"/>
      <c r="H97" s="310"/>
      <c r="I97" s="310"/>
      <c r="J97" s="310"/>
      <c r="K97" s="310"/>
      <c r="L97" s="310"/>
      <c r="M97" s="310"/>
      <c r="N97" s="310"/>
      <c r="O97" s="310"/>
    </row>
    <row r="98" spans="1:15" x14ac:dyDescent="0.2">
      <c r="A98" s="324" t="s">
        <v>745</v>
      </c>
      <c r="B98" s="279" t="s">
        <v>746</v>
      </c>
      <c r="C98" s="274" t="s">
        <v>747</v>
      </c>
      <c r="D98" s="326">
        <f>E98*E6</f>
        <v>16212622</v>
      </c>
      <c r="E98" s="327">
        <v>16212622</v>
      </c>
      <c r="G98" s="310"/>
      <c r="H98" s="310"/>
      <c r="I98" s="310"/>
      <c r="J98" s="310"/>
      <c r="K98" s="310"/>
      <c r="L98" s="310"/>
      <c r="M98" s="310"/>
      <c r="N98" s="310"/>
      <c r="O98" s="310"/>
    </row>
    <row r="99" spans="1:15" x14ac:dyDescent="0.2">
      <c r="A99" s="352" t="s">
        <v>748</v>
      </c>
      <c r="B99" s="331" t="s">
        <v>749</v>
      </c>
      <c r="C99" s="337" t="s">
        <v>469</v>
      </c>
      <c r="D99" s="333">
        <f>4822*13</f>
        <v>62686</v>
      </c>
      <c r="E99" s="334">
        <v>28932</v>
      </c>
      <c r="G99" s="310"/>
      <c r="H99" s="310"/>
      <c r="I99" s="310"/>
      <c r="J99" s="310"/>
      <c r="K99" s="310"/>
      <c r="L99" s="310"/>
      <c r="M99" s="310"/>
      <c r="N99" s="310"/>
      <c r="O99" s="310"/>
    </row>
    <row r="100" spans="1:15" x14ac:dyDescent="0.2">
      <c r="A100" s="352" t="s">
        <v>748</v>
      </c>
      <c r="B100" s="331" t="s">
        <v>750</v>
      </c>
      <c r="C100" s="337" t="s">
        <v>469</v>
      </c>
      <c r="D100" s="333">
        <f>762991+111269+158954+1467050</f>
        <v>2500264</v>
      </c>
      <c r="E100" s="334">
        <v>0</v>
      </c>
      <c r="G100" s="310"/>
      <c r="H100" s="310"/>
      <c r="I100" s="310"/>
      <c r="J100" s="310"/>
      <c r="K100" s="310"/>
      <c r="L100" s="310"/>
      <c r="M100" s="310"/>
      <c r="N100" s="340"/>
      <c r="O100" s="310"/>
    </row>
    <row r="101" spans="1:15" x14ac:dyDescent="0.2">
      <c r="A101" s="352" t="s">
        <v>748</v>
      </c>
      <c r="B101" s="331" t="s">
        <v>751</v>
      </c>
      <c r="C101" s="337" t="s">
        <v>469</v>
      </c>
      <c r="D101" s="333">
        <f>3468*13</f>
        <v>45084</v>
      </c>
      <c r="E101" s="334">
        <v>20808</v>
      </c>
      <c r="G101" s="310"/>
      <c r="H101" s="310"/>
      <c r="I101" s="310"/>
      <c r="J101" s="310"/>
      <c r="K101" s="340"/>
      <c r="L101" s="310"/>
      <c r="M101" s="310"/>
      <c r="N101" s="310"/>
      <c r="O101" s="310"/>
    </row>
    <row r="102" spans="1:15" x14ac:dyDescent="0.2">
      <c r="A102" s="352" t="s">
        <v>748</v>
      </c>
      <c r="B102" s="331" t="s">
        <v>752</v>
      </c>
      <c r="C102" s="337" t="s">
        <v>469</v>
      </c>
      <c r="D102" s="333">
        <f>2413*13</f>
        <v>31369</v>
      </c>
      <c r="E102" s="334">
        <v>14478</v>
      </c>
      <c r="G102" s="310"/>
      <c r="H102" s="310"/>
      <c r="I102" s="310"/>
      <c r="J102" s="310"/>
      <c r="K102" s="340"/>
      <c r="L102" s="310"/>
      <c r="M102" s="310"/>
      <c r="N102" s="310"/>
      <c r="O102" s="310"/>
    </row>
    <row r="103" spans="1:15" x14ac:dyDescent="0.2">
      <c r="A103" s="352" t="s">
        <v>748</v>
      </c>
      <c r="B103" s="331" t="s">
        <v>753</v>
      </c>
      <c r="C103" s="337" t="s">
        <v>469</v>
      </c>
      <c r="D103" s="333">
        <v>129987</v>
      </c>
      <c r="E103" s="334">
        <v>129987</v>
      </c>
      <c r="G103" s="310"/>
      <c r="H103" s="310"/>
      <c r="I103" s="310"/>
      <c r="J103" s="310"/>
      <c r="K103" s="340"/>
      <c r="L103" s="310"/>
      <c r="M103" s="310"/>
      <c r="N103" s="310"/>
      <c r="O103" s="310"/>
    </row>
    <row r="104" spans="1:15" x14ac:dyDescent="0.2">
      <c r="A104" s="352" t="s">
        <v>754</v>
      </c>
      <c r="B104" s="331" t="s">
        <v>755</v>
      </c>
      <c r="C104" s="337">
        <v>43100</v>
      </c>
      <c r="D104" s="333">
        <v>2018563</v>
      </c>
      <c r="E104" s="334">
        <v>0</v>
      </c>
      <c r="G104" s="310"/>
      <c r="H104" s="310"/>
      <c r="I104" s="310"/>
      <c r="J104" s="310"/>
      <c r="K104" s="340"/>
      <c r="L104" s="310"/>
      <c r="M104" s="310"/>
      <c r="N104" s="310"/>
      <c r="O104" s="310"/>
    </row>
    <row r="105" spans="1:15" x14ac:dyDescent="0.2">
      <c r="A105" s="352" t="s">
        <v>756</v>
      </c>
      <c r="B105" s="331" t="s">
        <v>757</v>
      </c>
      <c r="C105" s="337" t="s">
        <v>469</v>
      </c>
      <c r="D105" s="333">
        <v>47500</v>
      </c>
      <c r="E105" s="334">
        <v>47500</v>
      </c>
      <c r="G105" s="310"/>
      <c r="H105" s="310"/>
      <c r="I105" s="310"/>
      <c r="J105" s="310"/>
      <c r="K105" s="310"/>
      <c r="L105" s="310"/>
      <c r="M105" s="310"/>
      <c r="N105" s="310"/>
      <c r="O105" s="310"/>
    </row>
    <row r="106" spans="1:15" x14ac:dyDescent="0.2">
      <c r="A106" s="352" t="s">
        <v>756</v>
      </c>
      <c r="B106" s="331" t="s">
        <v>758</v>
      </c>
      <c r="C106" s="337" t="s">
        <v>469</v>
      </c>
      <c r="D106" s="333">
        <v>55935</v>
      </c>
      <c r="E106" s="334">
        <v>55935</v>
      </c>
      <c r="G106" s="310"/>
      <c r="H106" s="310"/>
      <c r="I106" s="310"/>
      <c r="J106" s="310"/>
      <c r="K106" s="310"/>
      <c r="L106" s="310"/>
      <c r="M106" s="310"/>
      <c r="N106" s="310"/>
      <c r="O106" s="310"/>
    </row>
    <row r="107" spans="1:15" x14ac:dyDescent="0.2">
      <c r="A107" s="352" t="s">
        <v>759</v>
      </c>
      <c r="B107" s="331" t="s">
        <v>760</v>
      </c>
      <c r="C107" s="337">
        <v>42795</v>
      </c>
      <c r="D107" s="333">
        <v>1524000</v>
      </c>
      <c r="E107" s="334">
        <v>1524000</v>
      </c>
      <c r="G107" s="310"/>
      <c r="H107" s="310"/>
      <c r="I107" s="310"/>
      <c r="J107" s="310"/>
      <c r="K107" s="310"/>
      <c r="L107" s="310"/>
      <c r="M107" s="310"/>
      <c r="N107" s="310"/>
      <c r="O107" s="310"/>
    </row>
    <row r="108" spans="1:15" x14ac:dyDescent="0.2">
      <c r="A108" s="352" t="s">
        <v>559</v>
      </c>
      <c r="B108" s="353" t="s">
        <v>761</v>
      </c>
      <c r="C108" s="337">
        <v>42825</v>
      </c>
      <c r="D108" s="354">
        <f>E108/12*3*E6</f>
        <v>1169578.75</v>
      </c>
      <c r="E108" s="334">
        <v>4678315</v>
      </c>
      <c r="G108" s="310"/>
      <c r="H108" s="310"/>
      <c r="I108" s="310"/>
      <c r="J108" s="310"/>
      <c r="K108" s="310"/>
      <c r="L108" s="310"/>
      <c r="M108" s="310"/>
      <c r="N108" s="310"/>
      <c r="O108" s="310"/>
    </row>
    <row r="109" spans="1:15" x14ac:dyDescent="0.2">
      <c r="A109" s="352" t="s">
        <v>559</v>
      </c>
      <c r="B109" s="353" t="s">
        <v>762</v>
      </c>
      <c r="C109" s="337" t="s">
        <v>469</v>
      </c>
      <c r="D109" s="354">
        <f>8954204</f>
        <v>8954204</v>
      </c>
      <c r="E109" s="334">
        <v>9595360</v>
      </c>
      <c r="F109" s="357"/>
      <c r="G109" s="310"/>
      <c r="H109" s="310"/>
      <c r="I109" s="310"/>
      <c r="J109" s="310"/>
      <c r="K109" s="310"/>
      <c r="L109" s="310"/>
      <c r="M109" s="310"/>
      <c r="N109" s="340"/>
      <c r="O109" s="310"/>
    </row>
    <row r="110" spans="1:15" x14ac:dyDescent="0.2">
      <c r="A110" s="352" t="s">
        <v>559</v>
      </c>
      <c r="B110" s="353" t="s">
        <v>763</v>
      </c>
      <c r="C110" s="337" t="s">
        <v>469</v>
      </c>
      <c r="D110" s="354">
        <f>144780+102870</f>
        <v>247650</v>
      </c>
      <c r="E110" s="334">
        <f>12065+1580075+19288</f>
        <v>1611428</v>
      </c>
      <c r="G110" s="310"/>
      <c r="H110" s="310"/>
      <c r="I110" s="310"/>
      <c r="J110" s="310"/>
      <c r="K110" s="310"/>
      <c r="L110" s="310"/>
      <c r="M110" s="310"/>
      <c r="N110" s="310"/>
      <c r="O110" s="310"/>
    </row>
    <row r="111" spans="1:15" x14ac:dyDescent="0.2">
      <c r="A111" s="324" t="s">
        <v>559</v>
      </c>
      <c r="B111" s="279" t="s">
        <v>764</v>
      </c>
      <c r="C111" s="274" t="s">
        <v>469</v>
      </c>
      <c r="D111" s="326">
        <v>0</v>
      </c>
      <c r="E111" s="327">
        <v>13872</v>
      </c>
      <c r="G111" s="310"/>
      <c r="H111" s="310"/>
      <c r="I111" s="310"/>
      <c r="J111" s="310"/>
      <c r="K111" s="310"/>
      <c r="L111" s="310"/>
      <c r="M111" s="310"/>
      <c r="N111" s="310"/>
      <c r="O111" s="310"/>
    </row>
    <row r="112" spans="1:15" x14ac:dyDescent="0.2">
      <c r="A112" s="324" t="s">
        <v>559</v>
      </c>
      <c r="B112" s="279" t="s">
        <v>765</v>
      </c>
      <c r="C112" s="274" t="s">
        <v>766</v>
      </c>
      <c r="D112" s="326">
        <f>2349264+1886420</f>
        <v>4235684</v>
      </c>
      <c r="E112" s="327">
        <v>0</v>
      </c>
      <c r="G112" s="310"/>
      <c r="H112" s="310"/>
      <c r="I112" s="340"/>
      <c r="J112" s="310"/>
      <c r="K112" s="310"/>
      <c r="L112" s="310"/>
      <c r="M112" s="310"/>
      <c r="N112" s="310"/>
      <c r="O112" s="310"/>
    </row>
    <row r="113" spans="1:15" s="213" customFormat="1" x14ac:dyDescent="0.2">
      <c r="A113" s="324" t="s">
        <v>767</v>
      </c>
      <c r="B113" s="279" t="s">
        <v>768</v>
      </c>
      <c r="C113" s="274"/>
      <c r="D113" s="326">
        <v>1300000</v>
      </c>
      <c r="E113" s="327">
        <v>0</v>
      </c>
      <c r="G113" s="341"/>
      <c r="H113" s="341"/>
      <c r="I113" s="342"/>
      <c r="J113" s="341"/>
      <c r="K113" s="341"/>
      <c r="L113" s="341"/>
      <c r="M113" s="341"/>
      <c r="N113" s="341"/>
      <c r="O113" s="341"/>
    </row>
    <row r="114" spans="1:15" x14ac:dyDescent="0.2">
      <c r="A114" s="330" t="s">
        <v>769</v>
      </c>
      <c r="B114" s="349" t="s">
        <v>770</v>
      </c>
      <c r="C114" s="283">
        <v>43555</v>
      </c>
      <c r="D114" s="326">
        <f>E114*E6</f>
        <v>44809578</v>
      </c>
      <c r="E114" s="344">
        <v>44809578</v>
      </c>
      <c r="G114" s="310"/>
      <c r="H114" s="310"/>
      <c r="I114" s="310"/>
      <c r="J114" s="310"/>
      <c r="K114" s="310"/>
      <c r="L114" s="310"/>
      <c r="M114" s="310"/>
      <c r="N114" s="310"/>
      <c r="O114" s="310"/>
    </row>
    <row r="115" spans="1:15" x14ac:dyDescent="0.2">
      <c r="A115" s="330" t="s">
        <v>771</v>
      </c>
      <c r="B115" s="349" t="s">
        <v>772</v>
      </c>
      <c r="C115" s="283">
        <v>43497</v>
      </c>
      <c r="D115" s="326">
        <f>2872805+721782+3059828+2770712+504567+1039745+2857491+E115</f>
        <v>44885262</v>
      </c>
      <c r="E115" s="344">
        <v>31058332</v>
      </c>
      <c r="G115" s="310"/>
      <c r="H115" s="310"/>
      <c r="I115" s="310"/>
      <c r="J115" s="310"/>
      <c r="K115" s="310"/>
      <c r="L115" s="340"/>
      <c r="M115" s="310"/>
      <c r="N115" s="340"/>
      <c r="O115" s="310"/>
    </row>
    <row r="116" spans="1:15" x14ac:dyDescent="0.2">
      <c r="A116" s="324" t="s">
        <v>773</v>
      </c>
      <c r="B116" s="279" t="s">
        <v>774</v>
      </c>
      <c r="C116" s="274" t="s">
        <v>469</v>
      </c>
      <c r="D116" s="326">
        <f>E116*E6</f>
        <v>38438</v>
      </c>
      <c r="E116" s="327">
        <v>38438</v>
      </c>
      <c r="G116" s="310"/>
      <c r="H116" s="310"/>
      <c r="I116" s="310"/>
      <c r="J116" s="310"/>
      <c r="K116" s="310"/>
      <c r="L116" s="310"/>
      <c r="M116" s="310"/>
      <c r="N116" s="310"/>
      <c r="O116" s="310"/>
    </row>
    <row r="117" spans="1:15" x14ac:dyDescent="0.2">
      <c r="A117" s="324" t="s">
        <v>775</v>
      </c>
      <c r="B117" s="279" t="s">
        <v>776</v>
      </c>
      <c r="C117" s="274">
        <v>42809</v>
      </c>
      <c r="D117" s="326">
        <v>2538184</v>
      </c>
      <c r="E117" s="327">
        <v>0</v>
      </c>
      <c r="G117" s="310"/>
      <c r="H117" s="310"/>
      <c r="I117" s="310"/>
      <c r="J117" s="310"/>
      <c r="K117" s="310"/>
      <c r="L117" s="310"/>
      <c r="M117" s="310"/>
      <c r="N117" s="310"/>
      <c r="O117" s="310"/>
    </row>
    <row r="118" spans="1:15" x14ac:dyDescent="0.2">
      <c r="A118" s="324" t="s">
        <v>777</v>
      </c>
      <c r="B118" s="325" t="s">
        <v>778</v>
      </c>
      <c r="C118" s="274">
        <v>43100</v>
      </c>
      <c r="D118" s="326">
        <v>38558254</v>
      </c>
      <c r="E118" s="327">
        <v>38558254</v>
      </c>
      <c r="G118" s="310"/>
      <c r="H118" s="310"/>
      <c r="I118" s="310"/>
      <c r="J118" s="310"/>
      <c r="K118" s="310"/>
      <c r="L118" s="310"/>
      <c r="M118" s="310"/>
      <c r="N118" s="310"/>
      <c r="O118" s="310"/>
    </row>
    <row r="119" spans="1:15" x14ac:dyDescent="0.2">
      <c r="A119" s="324" t="s">
        <v>779</v>
      </c>
      <c r="B119" s="325" t="s">
        <v>780</v>
      </c>
      <c r="C119" s="274">
        <v>43462</v>
      </c>
      <c r="D119" s="326">
        <v>1884543</v>
      </c>
      <c r="E119" s="327">
        <v>1884543</v>
      </c>
      <c r="G119" s="310"/>
      <c r="H119" s="310"/>
      <c r="I119" s="310"/>
      <c r="J119" s="310"/>
      <c r="K119" s="310"/>
      <c r="L119" s="310"/>
      <c r="M119" s="310"/>
      <c r="N119" s="310"/>
      <c r="O119" s="310"/>
    </row>
    <row r="120" spans="1:15" x14ac:dyDescent="0.2">
      <c r="A120" s="330" t="s">
        <v>585</v>
      </c>
      <c r="B120" s="279" t="s">
        <v>781</v>
      </c>
      <c r="C120" s="274">
        <v>42688</v>
      </c>
      <c r="D120" s="326">
        <f>70000*12+98332</f>
        <v>938332</v>
      </c>
      <c r="E120" s="327">
        <v>765117</v>
      </c>
      <c r="G120" s="310"/>
      <c r="H120" s="310"/>
      <c r="I120" s="310"/>
      <c r="J120" s="310"/>
      <c r="K120" s="310"/>
      <c r="L120" s="310"/>
      <c r="M120" s="310"/>
      <c r="N120" s="310"/>
      <c r="O120" s="310"/>
    </row>
    <row r="121" spans="1:15" x14ac:dyDescent="0.2">
      <c r="A121" s="330" t="s">
        <v>585</v>
      </c>
      <c r="B121" s="279" t="s">
        <v>782</v>
      </c>
      <c r="C121" s="274">
        <v>44926</v>
      </c>
      <c r="D121" s="326">
        <f>E121*E6</f>
        <v>498498</v>
      </c>
      <c r="E121" s="327">
        <v>498498</v>
      </c>
      <c r="G121" s="310"/>
      <c r="H121" s="310"/>
      <c r="I121" s="310"/>
      <c r="J121" s="310"/>
      <c r="K121" s="310"/>
      <c r="L121" s="310"/>
      <c r="M121" s="310"/>
      <c r="N121" s="310"/>
      <c r="O121" s="310"/>
    </row>
    <row r="122" spans="1:15" x14ac:dyDescent="0.2">
      <c r="A122" s="330" t="s">
        <v>585</v>
      </c>
      <c r="B122" s="279" t="s">
        <v>783</v>
      </c>
      <c r="C122" s="274" t="s">
        <v>469</v>
      </c>
      <c r="D122" s="326">
        <v>931037</v>
      </c>
      <c r="E122" s="327">
        <v>931037</v>
      </c>
      <c r="G122" s="310"/>
      <c r="H122" s="310"/>
      <c r="I122" s="310"/>
      <c r="J122" s="310"/>
      <c r="K122" s="310"/>
      <c r="L122" s="310"/>
      <c r="M122" s="310"/>
      <c r="N122" s="310"/>
      <c r="O122" s="310"/>
    </row>
    <row r="123" spans="1:15" x14ac:dyDescent="0.2">
      <c r="A123" s="330" t="s">
        <v>585</v>
      </c>
      <c r="B123" s="279" t="s">
        <v>784</v>
      </c>
      <c r="C123" s="278" t="s">
        <v>469</v>
      </c>
      <c r="D123" s="326">
        <f>12*1237</f>
        <v>14844</v>
      </c>
      <c r="E123" s="327">
        <v>4300</v>
      </c>
      <c r="G123" s="310"/>
      <c r="H123" s="310"/>
      <c r="I123" s="310"/>
      <c r="J123" s="310"/>
      <c r="K123" s="310"/>
      <c r="L123" s="310"/>
      <c r="M123" s="310"/>
      <c r="N123" s="310"/>
      <c r="O123" s="310"/>
    </row>
    <row r="124" spans="1:15" ht="25.5" x14ac:dyDescent="0.2">
      <c r="A124" s="324" t="s">
        <v>785</v>
      </c>
      <c r="B124" s="325" t="s">
        <v>786</v>
      </c>
      <c r="C124" s="284" t="s">
        <v>787</v>
      </c>
      <c r="D124" s="326">
        <f>15*444500</f>
        <v>6667500</v>
      </c>
      <c r="E124" s="327">
        <v>4445000</v>
      </c>
      <c r="G124" s="310"/>
      <c r="H124" s="310"/>
      <c r="I124" s="310"/>
      <c r="J124" s="340"/>
      <c r="K124" s="310"/>
      <c r="L124" s="310"/>
      <c r="M124" s="310"/>
      <c r="N124" s="310"/>
      <c r="O124" s="310"/>
    </row>
    <row r="125" spans="1:15" x14ac:dyDescent="0.2">
      <c r="A125" s="352" t="s">
        <v>788</v>
      </c>
      <c r="B125" s="353" t="s">
        <v>789</v>
      </c>
      <c r="C125" s="336">
        <v>44377</v>
      </c>
      <c r="D125" s="326">
        <v>236712</v>
      </c>
      <c r="E125" s="327">
        <v>118356</v>
      </c>
      <c r="G125" s="310"/>
      <c r="H125" s="310"/>
      <c r="I125" s="310"/>
      <c r="J125" s="310"/>
      <c r="K125" s="310"/>
      <c r="L125" s="310"/>
      <c r="M125" s="310"/>
      <c r="N125" s="310"/>
      <c r="O125" s="310"/>
    </row>
    <row r="126" spans="1:15" x14ac:dyDescent="0.2">
      <c r="A126" s="324" t="s">
        <v>790</v>
      </c>
      <c r="B126" s="325"/>
      <c r="C126" s="284"/>
      <c r="D126" s="326">
        <f>13180201+6523857</f>
        <v>19704058</v>
      </c>
      <c r="E126" s="327">
        <f>13180202+2058750</f>
        <v>15238952</v>
      </c>
      <c r="G126" s="310"/>
      <c r="H126" s="310"/>
      <c r="I126" s="310"/>
      <c r="J126" s="310"/>
      <c r="K126" s="310"/>
      <c r="L126" s="310"/>
      <c r="M126" s="310"/>
      <c r="N126" s="310"/>
      <c r="O126" s="310"/>
    </row>
    <row r="127" spans="1:15" ht="13.5" thickBot="1" x14ac:dyDescent="0.25">
      <c r="A127" s="554" t="s">
        <v>49</v>
      </c>
      <c r="B127" s="555"/>
      <c r="C127" s="556"/>
      <c r="D127" s="355">
        <f>SUM(D9:D126)</f>
        <v>732295598.25</v>
      </c>
      <c r="E127" s="356">
        <f>SUM(E9:E126)</f>
        <v>668654711</v>
      </c>
      <c r="G127" s="310"/>
      <c r="H127" s="310"/>
      <c r="I127" s="310"/>
      <c r="J127" s="310"/>
      <c r="K127" s="310"/>
      <c r="L127" s="310"/>
      <c r="M127" s="310"/>
      <c r="N127" s="310"/>
      <c r="O127" s="310"/>
    </row>
    <row r="128" spans="1:15" x14ac:dyDescent="0.2">
      <c r="G128" s="310"/>
      <c r="H128" s="310"/>
      <c r="I128" s="310"/>
      <c r="J128" s="310"/>
      <c r="K128" s="310"/>
      <c r="L128" s="310"/>
      <c r="M128" s="310"/>
      <c r="N128" s="310"/>
      <c r="O128" s="310"/>
    </row>
    <row r="129" spans="7:15" x14ac:dyDescent="0.2">
      <c r="G129" s="310"/>
      <c r="H129" s="310"/>
      <c r="I129" s="310"/>
      <c r="J129" s="310"/>
      <c r="K129" s="310"/>
      <c r="L129" s="310"/>
      <c r="M129" s="310"/>
      <c r="N129" s="310"/>
      <c r="O129" s="310"/>
    </row>
    <row r="130" spans="7:15" x14ac:dyDescent="0.2">
      <c r="G130" s="310"/>
      <c r="H130" s="310"/>
      <c r="I130" s="310"/>
      <c r="J130" s="310"/>
      <c r="K130" s="310"/>
      <c r="L130" s="310"/>
      <c r="M130" s="310"/>
      <c r="N130" s="310"/>
      <c r="O130" s="310"/>
    </row>
    <row r="149" spans="4:4" x14ac:dyDescent="0.2">
      <c r="D149" s="341"/>
    </row>
  </sheetData>
  <mergeCells count="8">
    <mergeCell ref="G96:J96"/>
    <mergeCell ref="A127:C127"/>
    <mergeCell ref="A3:E3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11</vt:i4>
      </vt:variant>
    </vt:vector>
  </HeadingPairs>
  <TitlesOfParts>
    <vt:vector size="25" baseType="lpstr">
      <vt:lpstr>1. m. bevételek (2)</vt:lpstr>
      <vt:lpstr>2. m. kiadások (2)</vt:lpstr>
      <vt:lpstr>2.a KÖH (2)</vt:lpstr>
      <vt:lpstr>3. m. létszám</vt:lpstr>
      <vt:lpstr>4. melléklet (2)</vt:lpstr>
      <vt:lpstr>5.a melléklet-hitelek</vt:lpstr>
      <vt:lpstr>5.b melléklet-kezességv.</vt:lpstr>
      <vt:lpstr>5.c melléklet-szerződések-KÖH</vt:lpstr>
      <vt:lpstr>5.c melléklet-szerződések-Önk</vt:lpstr>
      <vt:lpstr>6. melléklet</vt:lpstr>
      <vt:lpstr>7. melléklet (2)</vt:lpstr>
      <vt:lpstr>8. melléklet</vt:lpstr>
      <vt:lpstr>8.a melléklet</vt:lpstr>
      <vt:lpstr>9. melléklet</vt:lpstr>
      <vt:lpstr>'1. m. bevételek (2)'!Nyomtatási_cím</vt:lpstr>
      <vt:lpstr>'2. m. kiadások (2)'!Nyomtatási_cím</vt:lpstr>
      <vt:lpstr>'2.a KÖH (2)'!Nyomtatási_cím</vt:lpstr>
      <vt:lpstr>'5.c melléklet-szerződések-Önk'!Nyomtatási_cím</vt:lpstr>
      <vt:lpstr>'1. m. bevételek (2)'!Nyomtatási_terület</vt:lpstr>
      <vt:lpstr>'2. m. kiadások (2)'!Nyomtatási_terület</vt:lpstr>
      <vt:lpstr>'2.a KÖH (2)'!Nyomtatási_terület</vt:lpstr>
      <vt:lpstr>'5.b melléklet-kezességv.'!Nyomtatási_terület</vt:lpstr>
      <vt:lpstr>'5.c melléklet-szerződések-KÖH'!Nyomtatási_terület</vt:lpstr>
      <vt:lpstr>'5.c melléklet-szerződések-Önk'!Nyomtatási_terület</vt:lpstr>
      <vt:lpstr>'8.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Kovács Zoltán</cp:lastModifiedBy>
  <cp:lastPrinted>2017-02-09T09:27:08Z</cp:lastPrinted>
  <dcterms:created xsi:type="dcterms:W3CDTF">2009-01-15T09:14:34Z</dcterms:created>
  <dcterms:modified xsi:type="dcterms:W3CDTF">2017-05-03T08:22:53Z</dcterms:modified>
</cp:coreProperties>
</file>