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önyvelés\Költségvetés önkormányzat\Költségvetés 2020\"/>
    </mc:Choice>
  </mc:AlternateContent>
  <xr:revisionPtr revIDLastSave="0" documentId="13_ncr:1_{2CFC7094-9ED6-450B-B5E8-8A92736C065B}" xr6:coauthVersionLast="45" xr6:coauthVersionMax="45" xr10:uidLastSave="{00000000-0000-0000-0000-000000000000}"/>
  <bookViews>
    <workbookView xWindow="-108" yWindow="-108" windowWidth="23256" windowHeight="12576" tabRatio="878" firstSheet="6" activeTab="6" xr2:uid="{00000000-000D-0000-FFFF-FFFF00000000}"/>
  </bookViews>
  <sheets>
    <sheet name="1).Bevételek összesen" sheetId="26" r:id="rId1"/>
    <sheet name="1a).Normatíva" sheetId="28" r:id="rId2"/>
    <sheet name="1b).Működési bevétel int." sheetId="10" r:id="rId3"/>
    <sheet name="1c).Beruházás felújítás" sheetId="24" r:id="rId4"/>
    <sheet name="2).Bevétel intézmény" sheetId="16" r:id="rId5"/>
    <sheet name="2a).Köt. műk. bev. intézmény " sheetId="29" r:id="rId6"/>
    <sheet name="3).Kiadások összesen" sheetId="7" r:id="rId7"/>
    <sheet name="3a).Személyi jutt intézmény" sheetId="37" r:id="rId8"/>
    <sheet name="3b).Dologi kiad intézmény" sheetId="36" r:id="rId9"/>
    <sheet name="3c).Dol. önk rész cofog" sheetId="30" r:id="rId10"/>
    <sheet name="4).Kiadás intézmény" sheetId="17" r:id="rId11"/>
    <sheet name="4a).Köt. műk. kia. intézmény" sheetId="31" r:id="rId12"/>
    <sheet name="5).Bevételi ei.telj önk" sheetId="32" r:id="rId13"/>
    <sheet name="6).Kiadási ei telj önk" sheetId="33" r:id="rId14"/>
    <sheet name="7). Ktg. vet. mérleg" sheetId="34" r:id="rId15"/>
    <sheet name="8).Közvetett közvetlen tám." sheetId="18" r:id="rId16"/>
    <sheet name="9).Több éves kihat. döntések" sheetId="19" r:id="rId17"/>
    <sheet name="10).Adott támogatások" sheetId="11" r:id="rId18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8" i="30" l="1"/>
  <c r="U27" i="30"/>
  <c r="D57" i="37"/>
  <c r="F75" i="16"/>
  <c r="F36" i="26"/>
  <c r="H72" i="24" l="1"/>
  <c r="C69" i="28"/>
  <c r="B69" i="28"/>
  <c r="F8" i="16"/>
  <c r="F8" i="26" s="1"/>
  <c r="D40" i="31" l="1"/>
  <c r="E39" i="31"/>
  <c r="F40" i="31"/>
  <c r="D51" i="31"/>
  <c r="F59" i="31"/>
  <c r="E61" i="31"/>
  <c r="F26" i="31"/>
  <c r="D8" i="31"/>
  <c r="E8" i="31"/>
  <c r="E7" i="31"/>
  <c r="E26" i="31"/>
  <c r="D15" i="31"/>
  <c r="H15" i="31" s="1"/>
  <c r="D7" i="31"/>
  <c r="H7" i="31" s="1"/>
  <c r="D26" i="31"/>
  <c r="H9" i="31"/>
  <c r="H10" i="31"/>
  <c r="H11" i="31"/>
  <c r="H12" i="31"/>
  <c r="H13" i="31"/>
  <c r="H14" i="31"/>
  <c r="H16" i="31"/>
  <c r="H17" i="31"/>
  <c r="H18" i="31"/>
  <c r="H19" i="31"/>
  <c r="C6" i="30"/>
  <c r="T6" i="30"/>
  <c r="C18" i="30"/>
  <c r="T17" i="30"/>
  <c r="T14" i="30"/>
  <c r="E18" i="29"/>
  <c r="E19" i="29"/>
  <c r="E22" i="29"/>
  <c r="E17" i="29"/>
  <c r="V15" i="30"/>
  <c r="E13" i="16"/>
  <c r="H8" i="31" l="1"/>
  <c r="D20" i="37"/>
  <c r="D6" i="37"/>
  <c r="H64" i="24"/>
  <c r="E13" i="26" l="1"/>
  <c r="F10" i="26"/>
  <c r="F9" i="26"/>
  <c r="C64" i="28"/>
  <c r="E16" i="29" s="1"/>
  <c r="C15" i="11" l="1"/>
  <c r="B15" i="11"/>
  <c r="D25" i="10" l="1"/>
  <c r="F61" i="16"/>
  <c r="D30" i="36" l="1"/>
  <c r="H21" i="24" l="1"/>
  <c r="D32" i="37" l="1"/>
  <c r="C34" i="37" l="1"/>
  <c r="D34" i="37"/>
  <c r="D35" i="37" s="1"/>
  <c r="B54" i="28" l="1"/>
  <c r="C54" i="28"/>
  <c r="B52" i="28"/>
  <c r="C52" i="28"/>
  <c r="B50" i="28"/>
  <c r="C50" i="28"/>
  <c r="B55" i="28" l="1"/>
  <c r="C55" i="28"/>
  <c r="B67" i="28"/>
  <c r="C67" i="28"/>
  <c r="B65" i="28"/>
  <c r="B62" i="28"/>
  <c r="C62" i="28"/>
  <c r="B60" i="28"/>
  <c r="C60" i="28"/>
  <c r="B58" i="28"/>
  <c r="C58" i="28"/>
  <c r="C65" i="28"/>
  <c r="B70" i="28" l="1"/>
  <c r="C70" i="28"/>
  <c r="F12" i="16" s="1"/>
  <c r="F12" i="26" s="1"/>
  <c r="D45" i="24" l="1"/>
  <c r="H43" i="24"/>
  <c r="H44" i="24" s="1"/>
  <c r="H39" i="24" l="1"/>
  <c r="D14" i="29" l="1"/>
  <c r="D13" i="29"/>
  <c r="D12" i="29"/>
  <c r="C11" i="29"/>
  <c r="C10" i="29"/>
  <c r="C9" i="29"/>
  <c r="C8" i="29"/>
  <c r="V16" i="30"/>
  <c r="V19" i="30"/>
  <c r="V17" i="30"/>
  <c r="V13" i="30"/>
  <c r="V14" i="30"/>
  <c r="V22" i="30"/>
  <c r="V21" i="30"/>
  <c r="V23" i="30"/>
  <c r="V24" i="30"/>
  <c r="V12" i="30"/>
  <c r="V11" i="30"/>
  <c r="V9" i="30"/>
  <c r="V8" i="30"/>
  <c r="V6" i="30"/>
  <c r="V5" i="30"/>
  <c r="D18" i="24"/>
  <c r="D21" i="24" l="1"/>
  <c r="D24" i="17"/>
  <c r="D14" i="17"/>
  <c r="F14" i="7" s="1"/>
  <c r="F35" i="7"/>
  <c r="F33" i="26"/>
  <c r="F32" i="26"/>
  <c r="F27" i="26"/>
  <c r="F26" i="26"/>
  <c r="F24" i="26"/>
  <c r="F20" i="26"/>
  <c r="F18" i="26"/>
  <c r="F17" i="26"/>
  <c r="D26" i="17"/>
  <c r="D12" i="17"/>
  <c r="D38" i="37"/>
  <c r="D54" i="37"/>
  <c r="E67" i="31" s="1"/>
  <c r="D50" i="37"/>
  <c r="D47" i="37"/>
  <c r="D70" i="37"/>
  <c r="E55" i="31" s="1"/>
  <c r="D66" i="37"/>
  <c r="D63" i="37"/>
  <c r="D25" i="36"/>
  <c r="D20" i="36"/>
  <c r="D18" i="36"/>
  <c r="D10" i="36"/>
  <c r="D7" i="36"/>
  <c r="D94" i="36"/>
  <c r="D89" i="36"/>
  <c r="D87" i="36"/>
  <c r="D80" i="36"/>
  <c r="D77" i="36"/>
  <c r="D71" i="36"/>
  <c r="D66" i="36"/>
  <c r="D64" i="36"/>
  <c r="D57" i="36"/>
  <c r="D54" i="36"/>
  <c r="D48" i="36"/>
  <c r="D43" i="36"/>
  <c r="D41" i="36"/>
  <c r="D34" i="36"/>
  <c r="D31" i="36"/>
  <c r="D22" i="37"/>
  <c r="E35" i="31" s="1"/>
  <c r="D16" i="37"/>
  <c r="D12" i="37"/>
  <c r="F32" i="7"/>
  <c r="F29" i="7"/>
  <c r="F19" i="7"/>
  <c r="F17" i="7"/>
  <c r="F15" i="7"/>
  <c r="F13" i="7"/>
  <c r="F11" i="7"/>
  <c r="F10" i="7"/>
  <c r="F9" i="7"/>
  <c r="F8" i="7"/>
  <c r="F76" i="16"/>
  <c r="F62" i="16"/>
  <c r="E48" i="29" s="1"/>
  <c r="F48" i="16"/>
  <c r="E31" i="29" s="1"/>
  <c r="F19" i="16"/>
  <c r="F21" i="16" s="1"/>
  <c r="F34" i="16"/>
  <c r="F28" i="16"/>
  <c r="F23" i="16"/>
  <c r="F23" i="26" s="1"/>
  <c r="F25" i="26" s="1"/>
  <c r="O9" i="32" s="1"/>
  <c r="F14" i="16"/>
  <c r="G21" i="31"/>
  <c r="F15" i="11"/>
  <c r="E15" i="11"/>
  <c r="D15" i="11"/>
  <c r="F34" i="26" l="1"/>
  <c r="E40" i="29"/>
  <c r="V18" i="30"/>
  <c r="C14" i="34"/>
  <c r="F30" i="7"/>
  <c r="V20" i="30"/>
  <c r="D26" i="36"/>
  <c r="V7" i="30"/>
  <c r="V25" i="30"/>
  <c r="D49" i="36"/>
  <c r="V10" i="30"/>
  <c r="F28" i="26"/>
  <c r="O10" i="32" s="1"/>
  <c r="D59" i="17"/>
  <c r="D17" i="37"/>
  <c r="D35" i="31" s="1"/>
  <c r="D51" i="37"/>
  <c r="D67" i="31" s="1"/>
  <c r="D46" i="17"/>
  <c r="D6" i="17"/>
  <c r="D74" i="37"/>
  <c r="F6" i="7" s="1"/>
  <c r="E45" i="31"/>
  <c r="D67" i="37"/>
  <c r="D55" i="31" s="1"/>
  <c r="F25" i="16"/>
  <c r="F19" i="26"/>
  <c r="F21" i="26" s="1"/>
  <c r="O7" i="32" s="1"/>
  <c r="F33" i="7"/>
  <c r="D10" i="34"/>
  <c r="H10" i="34"/>
  <c r="D16" i="17"/>
  <c r="D18" i="17" s="1"/>
  <c r="D20" i="17" s="1"/>
  <c r="F16" i="7"/>
  <c r="O13" i="33"/>
  <c r="E32" i="29"/>
  <c r="F14" i="26"/>
  <c r="F18" i="7"/>
  <c r="D27" i="17"/>
  <c r="D28" i="17" s="1"/>
  <c r="F12" i="7"/>
  <c r="D33" i="17"/>
  <c r="D72" i="36"/>
  <c r="D95" i="36"/>
  <c r="C41" i="28"/>
  <c r="C37" i="28"/>
  <c r="C33" i="28"/>
  <c r="C26" i="28"/>
  <c r="C29" i="28"/>
  <c r="C10" i="28"/>
  <c r="C5" i="28"/>
  <c r="C19" i="28"/>
  <c r="C21" i="28"/>
  <c r="B22" i="28"/>
  <c r="C15" i="28" l="1"/>
  <c r="D97" i="36"/>
  <c r="V26" i="30" s="1"/>
  <c r="C23" i="28"/>
  <c r="F6" i="16" s="1"/>
  <c r="F6" i="26" s="1"/>
  <c r="C6" i="34"/>
  <c r="D9" i="34"/>
  <c r="D34" i="17"/>
  <c r="F45" i="31"/>
  <c r="O12" i="33"/>
  <c r="I13" i="34"/>
  <c r="C42" i="28"/>
  <c r="F7" i="16" s="1"/>
  <c r="F7" i="26" s="1"/>
  <c r="O8" i="33"/>
  <c r="H8" i="34"/>
  <c r="F55" i="31"/>
  <c r="D60" i="17"/>
  <c r="F35" i="31"/>
  <c r="D7" i="17"/>
  <c r="D5" i="17"/>
  <c r="D45" i="17"/>
  <c r="D72" i="37"/>
  <c r="F5" i="7" s="1"/>
  <c r="O5" i="33" s="1"/>
  <c r="D58" i="17"/>
  <c r="O6" i="33"/>
  <c r="H6" i="34"/>
  <c r="D32" i="17"/>
  <c r="D45" i="31"/>
  <c r="H14" i="34"/>
  <c r="F67" i="31"/>
  <c r="D47" i="17"/>
  <c r="H9" i="34"/>
  <c r="O9" i="33"/>
  <c r="O8" i="30"/>
  <c r="T13" i="30"/>
  <c r="F5" i="16" l="1"/>
  <c r="F5" i="26" s="1"/>
  <c r="F11" i="26" s="1"/>
  <c r="F13" i="26" s="1"/>
  <c r="O5" i="32" s="1"/>
  <c r="C47" i="28"/>
  <c r="E15" i="29" s="1"/>
  <c r="F7" i="7"/>
  <c r="H7" i="34" s="1"/>
  <c r="H5" i="34"/>
  <c r="G77" i="37"/>
  <c r="F11" i="16" l="1"/>
  <c r="F13" i="16" s="1"/>
  <c r="O7" i="33"/>
  <c r="C5" i="34"/>
  <c r="D63" i="31"/>
  <c r="E59" i="31"/>
  <c r="D49" i="31"/>
  <c r="F49" i="31"/>
  <c r="G78" i="37" l="1"/>
  <c r="F80" i="37"/>
  <c r="C55" i="31" s="1"/>
  <c r="E80" i="37"/>
  <c r="C67" i="31" s="1"/>
  <c r="H62" i="24" l="1"/>
  <c r="H40" i="24"/>
  <c r="H41" i="24" s="1"/>
  <c r="H63" i="24" l="1"/>
  <c r="H25" i="24" l="1"/>
  <c r="H26" i="24" s="1"/>
  <c r="H15" i="24"/>
  <c r="H7" i="24" l="1"/>
  <c r="E23" i="16"/>
  <c r="H8" i="24" l="1"/>
  <c r="B10" i="28" l="1"/>
  <c r="D36" i="24" l="1"/>
  <c r="H76" i="24" l="1"/>
  <c r="F26" i="7" s="1"/>
  <c r="D69" i="24"/>
  <c r="H22" i="24"/>
  <c r="H23" i="24" s="1"/>
  <c r="H10" i="24"/>
  <c r="H11" i="24" s="1"/>
  <c r="C80" i="37" l="1"/>
  <c r="C35" i="31" s="1"/>
  <c r="D80" i="37"/>
  <c r="C45" i="31" s="1"/>
  <c r="G79" i="37"/>
  <c r="C16" i="37"/>
  <c r="C12" i="37"/>
  <c r="C94" i="36"/>
  <c r="C87" i="36"/>
  <c r="C80" i="36"/>
  <c r="C77" i="36"/>
  <c r="C71" i="36"/>
  <c r="C64" i="36"/>
  <c r="C57" i="36"/>
  <c r="C54" i="36"/>
  <c r="C48" i="36"/>
  <c r="C41" i="36"/>
  <c r="C34" i="36"/>
  <c r="C31" i="36"/>
  <c r="C25" i="36"/>
  <c r="C18" i="36"/>
  <c r="C10" i="36"/>
  <c r="C7" i="36"/>
  <c r="C27" i="17"/>
  <c r="C26" i="17"/>
  <c r="C24" i="17"/>
  <c r="E15" i="7"/>
  <c r="C14" i="17"/>
  <c r="C70" i="37" l="1"/>
  <c r="C54" i="37"/>
  <c r="C66" i="37"/>
  <c r="C63" i="37"/>
  <c r="C38" i="37"/>
  <c r="C50" i="37"/>
  <c r="C47" i="37"/>
  <c r="C32" i="37"/>
  <c r="C17" i="37"/>
  <c r="C22" i="37"/>
  <c r="C66" i="36"/>
  <c r="C72" i="36" s="1"/>
  <c r="C89" i="36"/>
  <c r="C95" i="36" s="1"/>
  <c r="C20" i="36"/>
  <c r="C43" i="36"/>
  <c r="C49" i="36" s="1"/>
  <c r="E35" i="7"/>
  <c r="E32" i="7"/>
  <c r="E29" i="7"/>
  <c r="E19" i="7"/>
  <c r="E17" i="7"/>
  <c r="E14" i="7"/>
  <c r="E13" i="7"/>
  <c r="E11" i="7"/>
  <c r="E10" i="7"/>
  <c r="E9" i="7"/>
  <c r="E8" i="7"/>
  <c r="C74" i="37" l="1"/>
  <c r="E6" i="7" s="1"/>
  <c r="C67" i="37"/>
  <c r="C51" i="37"/>
  <c r="C35" i="37"/>
  <c r="C26" i="36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H13" i="32"/>
  <c r="B13" i="32"/>
  <c r="C13" i="32"/>
  <c r="D13" i="32"/>
  <c r="E13" i="32"/>
  <c r="F13" i="32"/>
  <c r="G13" i="32"/>
  <c r="I13" i="32"/>
  <c r="J13" i="32"/>
  <c r="K13" i="32"/>
  <c r="L13" i="32"/>
  <c r="M13" i="32"/>
  <c r="C67" i="17" l="1"/>
  <c r="N13" i="32"/>
  <c r="C97" i="36"/>
  <c r="C72" i="37"/>
  <c r="E5" i="7" s="1"/>
  <c r="U18" i="30"/>
  <c r="E7" i="7" l="1"/>
  <c r="H55" i="24" l="1"/>
  <c r="H47" i="24" s="1"/>
  <c r="E26" i="7"/>
  <c r="F25" i="10" l="1"/>
  <c r="D33" i="24" l="1"/>
  <c r="D39" i="24" l="1"/>
  <c r="D75" i="24" l="1"/>
  <c r="F29" i="16" s="1"/>
  <c r="F30" i="16" s="1"/>
  <c r="F29" i="26" s="1"/>
  <c r="F30" i="26" s="1"/>
  <c r="D76" i="24"/>
  <c r="F36" i="10"/>
  <c r="F14" i="10"/>
  <c r="D24" i="24"/>
  <c r="D27" i="24"/>
  <c r="O11" i="32" l="1"/>
  <c r="D11" i="34"/>
  <c r="H34" i="24"/>
  <c r="H31" i="24"/>
  <c r="H32" i="24" s="1"/>
  <c r="H28" i="24"/>
  <c r="F22" i="7" s="1"/>
  <c r="H4" i="24"/>
  <c r="H5" i="24" s="1"/>
  <c r="H16" i="24"/>
  <c r="H19" i="24"/>
  <c r="H13" i="24"/>
  <c r="H75" i="24" l="1"/>
  <c r="F25" i="7" s="1"/>
  <c r="H14" i="24"/>
  <c r="H17" i="24"/>
  <c r="H35" i="24"/>
  <c r="H71" i="24"/>
  <c r="F21" i="7" s="1"/>
  <c r="H29" i="24"/>
  <c r="H20" i="24"/>
  <c r="H77" i="24" l="1"/>
  <c r="F27" i="7" s="1"/>
  <c r="H73" i="24"/>
  <c r="F23" i="7" s="1"/>
  <c r="F28" i="7" l="1"/>
  <c r="I12" i="34" s="1"/>
  <c r="H78" i="24"/>
  <c r="C22" i="17" s="1"/>
  <c r="E27" i="7"/>
  <c r="E25" i="7"/>
  <c r="U12" i="30"/>
  <c r="U13" i="30"/>
  <c r="U14" i="30"/>
  <c r="U15" i="30"/>
  <c r="U16" i="30"/>
  <c r="U17" i="30"/>
  <c r="U11" i="30"/>
  <c r="E22" i="7"/>
  <c r="O11" i="33" l="1"/>
  <c r="D22" i="17"/>
  <c r="N13" i="33"/>
  <c r="D30" i="24" l="1"/>
  <c r="C14" i="10" l="1"/>
  <c r="E14" i="10"/>
  <c r="B41" i="28" l="1"/>
  <c r="B37" i="28"/>
  <c r="B33" i="28"/>
  <c r="B26" i="28"/>
  <c r="B29" i="28"/>
  <c r="B42" i="28" l="1"/>
  <c r="D39" i="29" l="1"/>
  <c r="E39" i="29"/>
  <c r="C46" i="29"/>
  <c r="D46" i="29"/>
  <c r="E46" i="29"/>
  <c r="E36" i="10" l="1"/>
  <c r="B19" i="28" l="1"/>
  <c r="D14" i="10" l="1"/>
  <c r="F22" i="16" s="1"/>
  <c r="M14" i="33" l="1"/>
  <c r="D47" i="10" l="1"/>
  <c r="F69" i="16" s="1"/>
  <c r="F73" i="16" s="1"/>
  <c r="F77" i="16" s="1"/>
  <c r="D68" i="17" s="1"/>
  <c r="C38" i="29" l="1"/>
  <c r="F41" i="16"/>
  <c r="D36" i="10"/>
  <c r="F55" i="16" s="1"/>
  <c r="F59" i="16" s="1"/>
  <c r="C47" i="29" l="1"/>
  <c r="F63" i="16"/>
  <c r="D55" i="17" s="1"/>
  <c r="C30" i="29"/>
  <c r="F45" i="16"/>
  <c r="F49" i="16" s="1"/>
  <c r="D42" i="17" s="1"/>
  <c r="F22" i="26"/>
  <c r="F32" i="29"/>
  <c r="O8" i="32" l="1"/>
  <c r="C7" i="34"/>
  <c r="U24" i="30"/>
  <c r="U23" i="30"/>
  <c r="U22" i="30"/>
  <c r="U21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U19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U9" i="30"/>
  <c r="U8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U6" i="30"/>
  <c r="T7" i="30"/>
  <c r="S7" i="30"/>
  <c r="R7" i="30"/>
  <c r="Q7" i="30"/>
  <c r="P7" i="30"/>
  <c r="O7" i="30"/>
  <c r="N7" i="30"/>
  <c r="M7" i="30"/>
  <c r="L7" i="30"/>
  <c r="K7" i="30"/>
  <c r="J7" i="30"/>
  <c r="I7" i="30"/>
  <c r="H7" i="30"/>
  <c r="G7" i="30"/>
  <c r="F7" i="30"/>
  <c r="E7" i="30"/>
  <c r="D7" i="30"/>
  <c r="E30" i="7"/>
  <c r="G65" i="31"/>
  <c r="G66" i="31" s="1"/>
  <c r="F65" i="31"/>
  <c r="F66" i="31" s="1"/>
  <c r="F68" i="31" s="1"/>
  <c r="E65" i="31"/>
  <c r="E66" i="31" s="1"/>
  <c r="E68" i="31" s="1"/>
  <c r="H53" i="31"/>
  <c r="H51" i="31"/>
  <c r="G52" i="31"/>
  <c r="F52" i="31"/>
  <c r="E52" i="31"/>
  <c r="G50" i="31"/>
  <c r="F50" i="31"/>
  <c r="E50" i="31"/>
  <c r="D50" i="31"/>
  <c r="C50" i="31"/>
  <c r="G41" i="31"/>
  <c r="G44" i="31" s="1"/>
  <c r="F41" i="31"/>
  <c r="E41" i="31"/>
  <c r="E44" i="31" s="1"/>
  <c r="E46" i="31" s="1"/>
  <c r="D41" i="31"/>
  <c r="D44" i="31" s="1"/>
  <c r="C41" i="31"/>
  <c r="C44" i="31" s="1"/>
  <c r="C46" i="31" s="1"/>
  <c r="H33" i="31"/>
  <c r="G67" i="17"/>
  <c r="G54" i="17"/>
  <c r="F54" i="17"/>
  <c r="G45" i="31" l="1"/>
  <c r="G46" i="31"/>
  <c r="G67" i="31"/>
  <c r="G68" i="31"/>
  <c r="D46" i="31"/>
  <c r="F44" i="31"/>
  <c r="F46" i="31" s="1"/>
  <c r="I26" i="30"/>
  <c r="R26" i="30"/>
  <c r="J26" i="30"/>
  <c r="S26" i="30"/>
  <c r="M26" i="30"/>
  <c r="J13" i="34"/>
  <c r="O26" i="30"/>
  <c r="Q26" i="30"/>
  <c r="P26" i="30"/>
  <c r="N26" i="30"/>
  <c r="L26" i="30"/>
  <c r="K26" i="30"/>
  <c r="H26" i="30"/>
  <c r="F26" i="30"/>
  <c r="E26" i="30"/>
  <c r="D26" i="30"/>
  <c r="T26" i="30"/>
  <c r="G26" i="30"/>
  <c r="F54" i="31"/>
  <c r="F56" i="31" s="1"/>
  <c r="E12" i="7"/>
  <c r="E54" i="31"/>
  <c r="E56" i="31" s="1"/>
  <c r="G54" i="31"/>
  <c r="H50" i="31"/>
  <c r="G55" i="31" l="1"/>
  <c r="G56" i="31"/>
  <c r="E28" i="7"/>
  <c r="H61" i="24"/>
  <c r="H52" i="24"/>
  <c r="D64" i="24"/>
  <c r="D61" i="24"/>
  <c r="D58" i="24"/>
  <c r="D55" i="24"/>
  <c r="D52" i="24"/>
  <c r="D6" i="24"/>
  <c r="E34" i="26"/>
  <c r="F37" i="29"/>
  <c r="F38" i="29" s="1"/>
  <c r="F39" i="29" s="1"/>
  <c r="D49" i="29"/>
  <c r="D41" i="29"/>
  <c r="E76" i="16"/>
  <c r="E62" i="16"/>
  <c r="E48" i="16"/>
  <c r="E34" i="16"/>
  <c r="E30" i="16"/>
  <c r="E28" i="16"/>
  <c r="E25" i="16"/>
  <c r="E19" i="16"/>
  <c r="E21" i="16" s="1"/>
  <c r="E33" i="29" l="1"/>
  <c r="H70" i="24"/>
  <c r="H74" i="24" s="1"/>
  <c r="E30" i="26"/>
  <c r="E41" i="29"/>
  <c r="E49" i="29"/>
  <c r="D66" i="24"/>
  <c r="J12" i="34"/>
  <c r="E28" i="26"/>
  <c r="E33" i="7"/>
  <c r="C28" i="17"/>
  <c r="E25" i="26"/>
  <c r="E19" i="26"/>
  <c r="E21" i="26" s="1"/>
  <c r="G36" i="10"/>
  <c r="C36" i="10"/>
  <c r="G47" i="10"/>
  <c r="F47" i="10"/>
  <c r="E47" i="10"/>
  <c r="C47" i="10"/>
  <c r="G25" i="10"/>
  <c r="E25" i="10"/>
  <c r="C25" i="10"/>
  <c r="G14" i="10"/>
  <c r="D21" i="17" l="1"/>
  <c r="D25" i="17" s="1"/>
  <c r="D29" i="17" s="1"/>
  <c r="F20" i="7"/>
  <c r="H79" i="24"/>
  <c r="C21" i="17"/>
  <c r="F31" i="29"/>
  <c r="E20" i="7"/>
  <c r="E73" i="16"/>
  <c r="E45" i="16"/>
  <c r="E49" i="16" s="1"/>
  <c r="C42" i="17" s="1"/>
  <c r="C8" i="19"/>
  <c r="D8" i="19"/>
  <c r="E8" i="19"/>
  <c r="F8" i="19"/>
  <c r="C11" i="18"/>
  <c r="N5" i="33"/>
  <c r="N6" i="33"/>
  <c r="N7" i="33"/>
  <c r="N8" i="33"/>
  <c r="N9" i="33"/>
  <c r="N10" i="33"/>
  <c r="N11" i="33"/>
  <c r="N12" i="33"/>
  <c r="B14" i="33"/>
  <c r="C14" i="33"/>
  <c r="D14" i="33"/>
  <c r="E14" i="33"/>
  <c r="F14" i="33"/>
  <c r="G14" i="33"/>
  <c r="H14" i="33"/>
  <c r="I14" i="33"/>
  <c r="J14" i="33"/>
  <c r="K14" i="33"/>
  <c r="L14" i="33"/>
  <c r="N7" i="32"/>
  <c r="N9" i="32"/>
  <c r="N10" i="32"/>
  <c r="N11" i="32"/>
  <c r="C20" i="31"/>
  <c r="D20" i="31"/>
  <c r="E20" i="31"/>
  <c r="F20" i="31"/>
  <c r="G20" i="31"/>
  <c r="H22" i="31"/>
  <c r="H23" i="31"/>
  <c r="H24" i="31"/>
  <c r="H25" i="31"/>
  <c r="H26" i="31"/>
  <c r="H27" i="31"/>
  <c r="H28" i="31"/>
  <c r="H29" i="31"/>
  <c r="H30" i="31"/>
  <c r="H31" i="31"/>
  <c r="D32" i="31"/>
  <c r="E32" i="31"/>
  <c r="F32" i="31"/>
  <c r="H39" i="31"/>
  <c r="H40" i="31"/>
  <c r="H42" i="31"/>
  <c r="H43" i="31"/>
  <c r="H49" i="31"/>
  <c r="C52" i="31"/>
  <c r="C54" i="31" s="1"/>
  <c r="C56" i="31" s="1"/>
  <c r="D52" i="31"/>
  <c r="H59" i="31"/>
  <c r="H60" i="31"/>
  <c r="H61" i="31"/>
  <c r="H62" i="31"/>
  <c r="H63" i="31"/>
  <c r="H64" i="31"/>
  <c r="C65" i="31"/>
  <c r="C66" i="31" s="1"/>
  <c r="C68" i="31" s="1"/>
  <c r="D65" i="31"/>
  <c r="H65" i="31" s="1"/>
  <c r="C12" i="17"/>
  <c r="U5" i="30"/>
  <c r="C7" i="30"/>
  <c r="U7" i="30" s="1"/>
  <c r="C10" i="30"/>
  <c r="U10" i="30" s="1"/>
  <c r="C20" i="30"/>
  <c r="U20" i="30" s="1"/>
  <c r="C25" i="30"/>
  <c r="U25" i="30" s="1"/>
  <c r="C32" i="31"/>
  <c r="J14" i="34"/>
  <c r="F8" i="29"/>
  <c r="F9" i="29"/>
  <c r="F10" i="29"/>
  <c r="F11" i="29"/>
  <c r="F12" i="29"/>
  <c r="F13" i="29"/>
  <c r="F14" i="29"/>
  <c r="F16" i="29"/>
  <c r="F17" i="29"/>
  <c r="F18" i="29"/>
  <c r="F19" i="29"/>
  <c r="C20" i="29"/>
  <c r="C25" i="29" s="1"/>
  <c r="F22" i="29"/>
  <c r="F23" i="29" s="1"/>
  <c r="D9" i="24"/>
  <c r="D15" i="24"/>
  <c r="D12" i="24"/>
  <c r="B5" i="28"/>
  <c r="B15" i="28" s="1"/>
  <c r="B21" i="28"/>
  <c r="B23" i="28" s="1"/>
  <c r="D47" i="24" l="1"/>
  <c r="D71" i="24"/>
  <c r="D70" i="24" s="1"/>
  <c r="D72" i="24" s="1"/>
  <c r="F24" i="7"/>
  <c r="I11" i="34" s="1"/>
  <c r="E22" i="26"/>
  <c r="C16" i="17"/>
  <c r="C18" i="17" s="1"/>
  <c r="C20" i="17" s="1"/>
  <c r="E16" i="7"/>
  <c r="E77" i="16"/>
  <c r="C68" i="17" s="1"/>
  <c r="C39" i="29"/>
  <c r="C41" i="29" s="1"/>
  <c r="E59" i="16"/>
  <c r="N14" i="33"/>
  <c r="C33" i="29"/>
  <c r="U26" i="30"/>
  <c r="D34" i="31"/>
  <c r="H21" i="31"/>
  <c r="C26" i="30"/>
  <c r="D66" i="31"/>
  <c r="D68" i="31" s="1"/>
  <c r="H52" i="31"/>
  <c r="D54" i="31"/>
  <c r="D56" i="31" s="1"/>
  <c r="F34" i="31"/>
  <c r="F36" i="31" s="1"/>
  <c r="H41" i="31"/>
  <c r="H44" i="31" s="1"/>
  <c r="C34" i="31"/>
  <c r="C36" i="31" s="1"/>
  <c r="H20" i="31"/>
  <c r="E34" i="31"/>
  <c r="E36" i="31" s="1"/>
  <c r="J8" i="34"/>
  <c r="E14" i="34"/>
  <c r="E10" i="34"/>
  <c r="D20" i="29"/>
  <c r="D25" i="29" s="1"/>
  <c r="B47" i="28" l="1"/>
  <c r="E18" i="7"/>
  <c r="F31" i="7"/>
  <c r="F34" i="7" s="1"/>
  <c r="J16" i="34" s="1"/>
  <c r="O10" i="33"/>
  <c r="D36" i="31"/>
  <c r="D70" i="31"/>
  <c r="H66" i="31"/>
  <c r="E7" i="34"/>
  <c r="G32" i="31"/>
  <c r="H32" i="31" s="1"/>
  <c r="H34" i="31" s="1"/>
  <c r="E63" i="16"/>
  <c r="C55" i="17" s="1"/>
  <c r="H54" i="31"/>
  <c r="F30" i="29"/>
  <c r="F33" i="29" s="1"/>
  <c r="F70" i="31"/>
  <c r="E70" i="31"/>
  <c r="E54" i="17"/>
  <c r="D67" i="17"/>
  <c r="D54" i="17"/>
  <c r="C54" i="17"/>
  <c r="N6" i="32"/>
  <c r="H67" i="31"/>
  <c r="H55" i="31"/>
  <c r="E11" i="34"/>
  <c r="J6" i="34"/>
  <c r="F48" i="29"/>
  <c r="E6" i="34"/>
  <c r="F40" i="29"/>
  <c r="F41" i="29" s="1"/>
  <c r="H56" i="31" l="1"/>
  <c r="H68" i="31"/>
  <c r="O14" i="33"/>
  <c r="F36" i="7"/>
  <c r="D79" i="24"/>
  <c r="D80" i="24" s="1"/>
  <c r="F15" i="16"/>
  <c r="G34" i="31"/>
  <c r="H70" i="31"/>
  <c r="F47" i="29"/>
  <c r="F49" i="29" s="1"/>
  <c r="C49" i="29"/>
  <c r="E16" i="26"/>
  <c r="E31" i="26" s="1"/>
  <c r="N8" i="32"/>
  <c r="F41" i="17"/>
  <c r="F67" i="17"/>
  <c r="G41" i="17"/>
  <c r="E9" i="34"/>
  <c r="G35" i="31" l="1"/>
  <c r="H35" i="31" s="1"/>
  <c r="H36" i="31" s="1"/>
  <c r="F16" i="16"/>
  <c r="F31" i="16" s="1"/>
  <c r="F35" i="16" s="1"/>
  <c r="F15" i="26"/>
  <c r="G70" i="31"/>
  <c r="E16" i="16"/>
  <c r="E31" i="16" s="1"/>
  <c r="E35" i="16" s="1"/>
  <c r="V27" i="30"/>
  <c r="F15" i="29"/>
  <c r="E20" i="29"/>
  <c r="E67" i="17"/>
  <c r="N5" i="32"/>
  <c r="F16" i="26" l="1"/>
  <c r="G36" i="31"/>
  <c r="C15" i="34"/>
  <c r="J7" i="34"/>
  <c r="E25" i="29"/>
  <c r="F25" i="29" s="1"/>
  <c r="F20" i="29"/>
  <c r="E35" i="26"/>
  <c r="E5" i="34"/>
  <c r="F31" i="26" l="1"/>
  <c r="F35" i="26" s="1"/>
  <c r="D8" i="34"/>
  <c r="E8" i="34" s="1"/>
  <c r="O6" i="32"/>
  <c r="O13" i="32" s="1"/>
  <c r="E37" i="26"/>
  <c r="E16" i="34" l="1"/>
  <c r="H17" i="34" s="1"/>
  <c r="G19" i="17" s="1"/>
  <c r="F37" i="26"/>
  <c r="D15" i="34"/>
  <c r="E15" i="34" s="1"/>
  <c r="D41" i="17"/>
  <c r="D43" i="17" s="1"/>
  <c r="H45" i="31"/>
  <c r="H46" i="31" s="1"/>
  <c r="C41" i="17"/>
  <c r="E41" i="17" l="1"/>
  <c r="J5" i="34" l="1"/>
  <c r="J10" i="34" l="1"/>
  <c r="H15" i="34" l="1"/>
  <c r="J9" i="34"/>
  <c r="E23" i="7" l="1"/>
  <c r="H58" i="24"/>
  <c r="H66" i="24" s="1"/>
  <c r="H80" i="24" s="1"/>
  <c r="C25" i="17" l="1"/>
  <c r="C29" i="17" s="1"/>
  <c r="E21" i="7"/>
  <c r="E24" i="7" l="1"/>
  <c r="E31" i="7" l="1"/>
  <c r="E34" i="7" l="1"/>
  <c r="I15" i="34"/>
  <c r="J11" i="34"/>
  <c r="J15" i="34" s="1"/>
  <c r="E36" i="7" l="1"/>
</calcChain>
</file>

<file path=xl/sharedStrings.xml><?xml version="1.0" encoding="utf-8"?>
<sst xmlns="http://schemas.openxmlformats.org/spreadsheetml/2006/main" count="1536" uniqueCount="605">
  <si>
    <t>Készletbeszerzés</t>
  </si>
  <si>
    <t>Összesen:</t>
  </si>
  <si>
    <t>Kommunikációs szolgáltatások</t>
  </si>
  <si>
    <t>Egyéb kommunikációs szolgáltatások</t>
  </si>
  <si>
    <t>Vásárolt élelmezés</t>
  </si>
  <si>
    <t>Bérleti és lízingdíjak</t>
  </si>
  <si>
    <t>Önkormányzat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</si>
  <si>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</si>
  <si>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</si>
  <si>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</si>
  <si>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</si>
  <si>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</si>
  <si>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</si>
  <si>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</si>
  <si>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</si>
  <si>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</si>
  <si>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</si>
  <si>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</si>
  <si>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</si>
  <si>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</si>
  <si>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Összesen</t>
  </si>
  <si>
    <t>Jogcím</t>
  </si>
  <si>
    <t>I. 1. b) Település-üzemeltetéshez kapcsolódó feladatellátás támogatása összesen</t>
  </si>
  <si>
    <t>II. 1. (1) 1 óvodapedagógusok elismert létszáma</t>
  </si>
  <si>
    <t>III. 3. c (1) szociális étkeztetés</t>
  </si>
  <si>
    <t>III. 3. d (1) házi segítségnyújtás</t>
  </si>
  <si>
    <t>III. 3. f (1) időskorúak nappali intézményi ellátása</t>
  </si>
  <si>
    <t>I.</t>
  </si>
  <si>
    <t>Működési bevételek</t>
  </si>
  <si>
    <t>Intézményi működési bevételek</t>
  </si>
  <si>
    <t>Helyi adók</t>
  </si>
  <si>
    <t>II.</t>
  </si>
  <si>
    <t>III.</t>
  </si>
  <si>
    <t>IV.</t>
  </si>
  <si>
    <t>BEVÉTELEK ÖSSZESEN:</t>
  </si>
  <si>
    <t>Beruházások</t>
  </si>
  <si>
    <t>Személyi juttatások</t>
  </si>
  <si>
    <t>Dologi kiadások</t>
  </si>
  <si>
    <t>Felújítások</t>
  </si>
  <si>
    <t>Beruházás</t>
  </si>
  <si>
    <t>KIADÁSOK ÖSSZESEN:</t>
  </si>
  <si>
    <t>Jubileumi jutalom</t>
  </si>
  <si>
    <t>Személyi juttatások összesen:</t>
  </si>
  <si>
    <t xml:space="preserve">Felújítási kiadások terve </t>
  </si>
  <si>
    <t>Beruházási kiadások terve</t>
  </si>
  <si>
    <t>Szociális hozzájárulási adó</t>
  </si>
  <si>
    <t xml:space="preserve">Felújítási bevételek terve </t>
  </si>
  <si>
    <t>Beruházási bevételek terve</t>
  </si>
  <si>
    <t>TERVEZETT TÁMOGATÁSOK RÉSZLETEZÉSE</t>
  </si>
  <si>
    <t>Eredeti javaslat</t>
  </si>
  <si>
    <t>Egészségkárosodottak Csoportja</t>
  </si>
  <si>
    <t>Cserkészcsapat</t>
  </si>
  <si>
    <t>Dusnoki Kulturális Egyesület</t>
  </si>
  <si>
    <t xml:space="preserve">Polgárőrök </t>
  </si>
  <si>
    <t>Kincskereső</t>
  </si>
  <si>
    <t>Megnevezés</t>
  </si>
  <si>
    <t>Közhatalmi bevételek</t>
  </si>
  <si>
    <t>Dusnok Községi Önkormányzat bevételi előirányzatainak teljesüléséről</t>
  </si>
  <si>
    <t>Gépjárműadó</t>
  </si>
  <si>
    <t>Támogatás értékű bev. felh. célra</t>
  </si>
  <si>
    <t xml:space="preserve">Dusnok Községi Önkormányzat kiadási előirányzatainak  teljesítéséről </t>
  </si>
  <si>
    <t>BEVÉTELEK</t>
  </si>
  <si>
    <t>KIADÁSOK</t>
  </si>
  <si>
    <t xml:space="preserve">Megnevezés                   </t>
  </si>
  <si>
    <t>Működési célú bevételek</t>
  </si>
  <si>
    <t>Felhalmozási célú bevételek</t>
  </si>
  <si>
    <t>Működési célú kiadások</t>
  </si>
  <si>
    <t>Felhalmozási célú kiadások</t>
  </si>
  <si>
    <t>Bevételek összesen</t>
  </si>
  <si>
    <t>Kiadások összesen:</t>
  </si>
  <si>
    <t>Közvetlen támogatás:</t>
  </si>
  <si>
    <t>-</t>
  </si>
  <si>
    <t>iparűzési adóval kapcsolatos adómentesség</t>
  </si>
  <si>
    <t>Közvetett támogatás:</t>
  </si>
  <si>
    <t>mozgáskorlátozott egyének részére saját autó használatával kapcsolatban gépjárműadó mentesség</t>
  </si>
  <si>
    <t>Közvetett és közvetlen támogatások összesen:</t>
  </si>
  <si>
    <t>Bursa-Hungarica felsőokt.</t>
  </si>
  <si>
    <t>Összesen adatok</t>
  </si>
  <si>
    <t>Több éves kihatással járó döntés megnevezése</t>
  </si>
  <si>
    <t>Költségvetési bevételek terve intézményi szinten</t>
  </si>
  <si>
    <t>Engedélyezett létszámok ( fő )</t>
  </si>
  <si>
    <t>Közfoglalkoztatottak ( fő )</t>
  </si>
  <si>
    <t>kötelező, önként vállalt és államigazgatási feladatok szerinti bontásban</t>
  </si>
  <si>
    <t>Működési kiadások összesen</t>
  </si>
  <si>
    <t>K I A D Á S I  E L Ő I R Á N Y Z A T</t>
  </si>
  <si>
    <t>Kötelező feladatok:</t>
  </si>
  <si>
    <t>Zöldterület-kezelés</t>
  </si>
  <si>
    <t>Közfoglalkoztatás</t>
  </si>
  <si>
    <t>Művelődési tevékenység</t>
  </si>
  <si>
    <t>Köztemető fenntartás</t>
  </si>
  <si>
    <t>Kötelező feladatok összesen:</t>
  </si>
  <si>
    <t>Önként vállalt feladatok össz:</t>
  </si>
  <si>
    <t>Államigazgatási feladatok</t>
  </si>
  <si>
    <t>Óvodai ellátás</t>
  </si>
  <si>
    <t>Önkormányzat működési kiadásai összesen:</t>
  </si>
  <si>
    <t>Dusnoki Polgármesteri Hivatal költségvetésében:</t>
  </si>
  <si>
    <t>Kötelező feladatok összesen</t>
  </si>
  <si>
    <t>Mezőőri szolgáltatás</t>
  </si>
  <si>
    <t>Dusnok Önkormányzat saját költségvetésében:</t>
  </si>
  <si>
    <t>Jogalkotás</t>
  </si>
  <si>
    <t>Közvilágítás</t>
  </si>
  <si>
    <t>Feladat megnevezése</t>
  </si>
  <si>
    <t>Támogatások, kiegészítések</t>
  </si>
  <si>
    <t>B E V É T E L I   E L Ő I R Á N Y Z A T</t>
  </si>
  <si>
    <t>Központi költségvetés tám.</t>
  </si>
  <si>
    <t>Önként vállalt feladatok:</t>
  </si>
  <si>
    <t>Kötelező feladatok össz:</t>
  </si>
  <si>
    <t>Intézményfinanszírozás</t>
  </si>
  <si>
    <t>Polgármesteri Hivatal bevételei összesen:</t>
  </si>
  <si>
    <t xml:space="preserve">Kötelező feladatok: </t>
  </si>
  <si>
    <t>Óvodai nevelés</t>
  </si>
  <si>
    <t>Tb finanszírozás</t>
  </si>
  <si>
    <t>Kamat</t>
  </si>
  <si>
    <t>I. 1. a) Önkormányzati hivatal működésének támogatása - beszámítása után</t>
  </si>
  <si>
    <t xml:space="preserve">      I. 1. ba) A zöldterület-gazdálkodással kapcsolatos feladatok ellátásának támogatása </t>
  </si>
  <si>
    <t xml:space="preserve">      I. 1. bb) Közvilágítás fenntartásának támogatása</t>
  </si>
  <si>
    <t xml:space="preserve">      I. 1. bd) Közutak fenntartásának támogatása</t>
  </si>
  <si>
    <t>I. 1. c) - V. Egyéb önkormányzati feladatok támogatása - beszámítás után</t>
  </si>
  <si>
    <t>II. 2. Óvodaműködési támogatás</t>
  </si>
  <si>
    <t>III. 5. Gyermekétkeztetés támogatás</t>
  </si>
  <si>
    <t>II. 1. Óvodapedagógusok, és az óvodapedagógusok nevelő munkáját közvetlenül segítők bértámogatása</t>
  </si>
  <si>
    <t>K2.</t>
  </si>
  <si>
    <t>K1.</t>
  </si>
  <si>
    <t>Munkaadókat terhelő járulékok és szociális hozz. adó</t>
  </si>
  <si>
    <t>K3.</t>
  </si>
  <si>
    <t>K4.</t>
  </si>
  <si>
    <t>Ellátottak pénzbeni juttatásai</t>
  </si>
  <si>
    <t xml:space="preserve">    K42</t>
  </si>
  <si>
    <t>Családi támogatások</t>
  </si>
  <si>
    <t xml:space="preserve">    K44</t>
  </si>
  <si>
    <t>Betegséggel kapcsolatos ellátások</t>
  </si>
  <si>
    <t xml:space="preserve">    K46</t>
  </si>
  <si>
    <t xml:space="preserve">Lakhatással kapcsolatos ellátások </t>
  </si>
  <si>
    <t xml:space="preserve">    K48</t>
  </si>
  <si>
    <t>Egyéb nem intézményi ellátások</t>
  </si>
  <si>
    <t>K5.</t>
  </si>
  <si>
    <t>Egyéb működési célú kiadások</t>
  </si>
  <si>
    <t>K6.</t>
  </si>
  <si>
    <t>K7.</t>
  </si>
  <si>
    <t>K8.</t>
  </si>
  <si>
    <t>Egyéb felhalmozási célú kiadások</t>
  </si>
  <si>
    <t>Egyéb felhalmozási célú támogatások államháztartáson kívülre</t>
  </si>
  <si>
    <t>K9.</t>
  </si>
  <si>
    <t>Finanszírozási kiadások</t>
  </si>
  <si>
    <t>B1.</t>
  </si>
  <si>
    <t>Működési célú támogatások áh-n belülről</t>
  </si>
  <si>
    <t xml:space="preserve">Önkormányzatok működési támogatásai </t>
  </si>
  <si>
    <t>B2.</t>
  </si>
  <si>
    <t>Felhalmozási célú támogatások áh-n belülről</t>
  </si>
  <si>
    <t>B3.</t>
  </si>
  <si>
    <t>B35.</t>
  </si>
  <si>
    <t>Termékek és szolgáltatások adói</t>
  </si>
  <si>
    <t>B351</t>
  </si>
  <si>
    <t>Helyi iparűzési adó</t>
  </si>
  <si>
    <t>B354</t>
  </si>
  <si>
    <t>Gépjárműadók</t>
  </si>
  <si>
    <t>B36.</t>
  </si>
  <si>
    <t>Egyéb közhatalmi bevételek</t>
  </si>
  <si>
    <t>B4.</t>
  </si>
  <si>
    <t>B5.</t>
  </si>
  <si>
    <t>Felhalmozási bevételek</t>
  </si>
  <si>
    <t>B52</t>
  </si>
  <si>
    <t>Ingatlanok értékesítése</t>
  </si>
  <si>
    <t>B6.</t>
  </si>
  <si>
    <t>Működési célú átvett pénzeszközök</t>
  </si>
  <si>
    <t>Egyéb működési célú átvett pénzeszközök</t>
  </si>
  <si>
    <t>B7.</t>
  </si>
  <si>
    <t>Felhalmozási célú átvett pénzeszközök</t>
  </si>
  <si>
    <t>B25.</t>
  </si>
  <si>
    <t>Egyéb felhalmozási célú támogatások bevételei áh-n belülről</t>
  </si>
  <si>
    <t>Egyéb felhalmozási célú átvett pénzeszközök</t>
  </si>
  <si>
    <t>B8.</t>
  </si>
  <si>
    <t>Finanszírozási bevétel</t>
  </si>
  <si>
    <t>B813.</t>
  </si>
  <si>
    <t>Maradvány igénybevétele</t>
  </si>
  <si>
    <t>B1.-7.</t>
  </si>
  <si>
    <t>KÖLTSÉGVETÉSI BEVÉTELEK</t>
  </si>
  <si>
    <t>B816.</t>
  </si>
  <si>
    <t>Irányítószervi támogatás</t>
  </si>
  <si>
    <t>Lakhatással kapcsolatos ellátások</t>
  </si>
  <si>
    <t>Támogatás áh-n belülről</t>
  </si>
  <si>
    <t>Könyvtár</t>
  </si>
  <si>
    <t>Város és községgazdálkodás</t>
  </si>
  <si>
    <t>Szabadidő és sporttevékenység</t>
  </si>
  <si>
    <t>Televízió és műsorszolg</t>
  </si>
  <si>
    <t>Államigazgatási feladatok:</t>
  </si>
  <si>
    <t>17.</t>
  </si>
  <si>
    <t>Önkormányzatok elszámolásai</t>
  </si>
  <si>
    <t>Működési bevételek összesen</t>
  </si>
  <si>
    <t>Térítési díjak</t>
  </si>
  <si>
    <t>Egyéb civil szervezeteknek</t>
  </si>
  <si>
    <t>Ingatlanok beszerzése, létesítése</t>
  </si>
  <si>
    <t>Egyéb tárgyi eszközök beszerzése, létesítése</t>
  </si>
  <si>
    <t>Beruházási célú előzetesen felszámított áfa</t>
  </si>
  <si>
    <t>Ingatlanok felújítás</t>
  </si>
  <si>
    <t>Egyéb tárgyi eszközök felújítása</t>
  </si>
  <si>
    <t>Felújítási célú előzetesen felszámított áfa</t>
  </si>
  <si>
    <t>III. 3. aa (2) 70000 fő lakosságszámig működési engedéllyel gyermekjóléti szolgálat</t>
  </si>
  <si>
    <t>III. 3. aa (1) 70000 fő lakosságszámig működési engedéllyel családsegítés</t>
  </si>
  <si>
    <t>III. 2. A települési önkormányzatok szociális feladatainak egyéb támogatása</t>
  </si>
  <si>
    <t xml:space="preserve">II. 1. (2) 1 óvodapedagógusok nevelő munkáját közvetlenül segítők száma a Köznev. Tv. 2. számú mellékelt </t>
  </si>
  <si>
    <t>I.1 d.) - Lakott külterülettel kapcsolatos feladatok támogatása</t>
  </si>
  <si>
    <t xml:space="preserve">      I. 1. bc) Köztemető fenntartásával kapcsolatos feladatok támogatása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</si>
  <si>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</si>
  <si>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</si>
  <si>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</si>
  <si>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</si>
  <si>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</si>
  <si>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</si>
  <si>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B405</t>
  </si>
  <si>
    <t>Ellátási díjak</t>
  </si>
  <si>
    <t>B406</t>
  </si>
  <si>
    <t>Kiszámlázott áfa</t>
  </si>
  <si>
    <t>B408</t>
  </si>
  <si>
    <t>Kamatbevételek</t>
  </si>
  <si>
    <t>Egyéb működési bevételek</t>
  </si>
  <si>
    <t>B4</t>
  </si>
  <si>
    <t>K1101</t>
  </si>
  <si>
    <t>Törvény szerinti illetmények, munkabérek</t>
  </si>
  <si>
    <t>K1106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</si>
  <si>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</si>
  <si>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</si>
  <si>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</si>
  <si>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</si>
  <si>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</si>
  <si>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</si>
  <si>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</si>
  <si>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</si>
  <si>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K1113</t>
  </si>
  <si>
    <t>Foglalkoztatottak egyéb személyi juttatásai</t>
  </si>
  <si>
    <t>Foglalkoztatottak személyi juttatásai</t>
  </si>
  <si>
    <t>K121</t>
  </si>
  <si>
    <t>Választott tisztségviselők juttatásai</t>
  </si>
  <si>
    <t>K122</t>
  </si>
  <si>
    <t>K123</t>
  </si>
  <si>
    <t>Egyéb külső személyi juttatások</t>
  </si>
  <si>
    <t>Külső személyi juttatások</t>
  </si>
  <si>
    <t>K1</t>
  </si>
  <si>
    <t>K2</t>
  </si>
  <si>
    <t>Munkaadókat terhelő járulékok és szociális hozzájárulási adó</t>
  </si>
  <si>
    <t>K21</t>
  </si>
  <si>
    <t>K25</t>
  </si>
  <si>
    <t>Táppénz hozzájárulás</t>
  </si>
  <si>
    <t>K311</t>
  </si>
  <si>
    <t>Szakmai anyagok beszerzése</t>
  </si>
  <si>
    <t>K312</t>
  </si>
  <si>
    <t>Üzemeltetési anyagok beszerzése</t>
  </si>
  <si>
    <t>K31</t>
  </si>
  <si>
    <t>K321</t>
  </si>
  <si>
    <t>K322</t>
  </si>
  <si>
    <t>K32</t>
  </si>
  <si>
    <t>K331</t>
  </si>
  <si>
    <t>Közüzemi díjak</t>
  </si>
  <si>
    <t>K332</t>
  </si>
  <si>
    <t>K333</t>
  </si>
  <si>
    <t>K334</t>
  </si>
  <si>
    <t>K335</t>
  </si>
  <si>
    <t>Karbantartási és kisjavítási szolgáltatások</t>
  </si>
  <si>
    <t>Közvetített szolgáltatások</t>
  </si>
  <si>
    <t>K336</t>
  </si>
  <si>
    <t>Szakmai tevékenységet segítő szolgáltatások</t>
  </si>
  <si>
    <t>K337</t>
  </si>
  <si>
    <t>Egyéb szolgáltatások</t>
  </si>
  <si>
    <t>K33</t>
  </si>
  <si>
    <t>Szolgáltatási kiadások</t>
  </si>
  <si>
    <t>K341</t>
  </si>
  <si>
    <t>Kiküldetések kiadásai</t>
  </si>
  <si>
    <t>K34</t>
  </si>
  <si>
    <t>Kiküldetések, reklám és propagandakiadások</t>
  </si>
  <si>
    <t>K351</t>
  </si>
  <si>
    <t>Működési célú előzetesen felszámított áfa</t>
  </si>
  <si>
    <t>K352</t>
  </si>
  <si>
    <t>Fizetendő Áfa</t>
  </si>
  <si>
    <t>K353</t>
  </si>
  <si>
    <t>Kamatkiadások</t>
  </si>
  <si>
    <t>K355</t>
  </si>
  <si>
    <t>Egyéb dologi kiadások</t>
  </si>
  <si>
    <t>K35</t>
  </si>
  <si>
    <t>Különféle befizetések és egyéb dologi kiadások</t>
  </si>
  <si>
    <t>K3</t>
  </si>
  <si>
    <t>Rovatrend szerint:</t>
  </si>
  <si>
    <t>Egyéb vállalkozások</t>
  </si>
  <si>
    <t>Működési célú tám áh-n belülről</t>
  </si>
  <si>
    <t>Felhalmozási célú tám. Áh.-n belülről</t>
  </si>
  <si>
    <t>Munkaadókat terhelő jár. és Szocho</t>
  </si>
  <si>
    <t>Informatikai szolgáltatások igénybevétele</t>
  </si>
  <si>
    <t>Közmunka</t>
  </si>
  <si>
    <t>Művház</t>
  </si>
  <si>
    <t xml:space="preserve">Piac </t>
  </si>
  <si>
    <t>Konyhakert</t>
  </si>
  <si>
    <t>Köztemető</t>
  </si>
  <si>
    <t>Zöldt. Kez</t>
  </si>
  <si>
    <t>Tv . Műsor</t>
  </si>
  <si>
    <t>Ing. Vagy. Gazd</t>
  </si>
  <si>
    <t>Igazgatási tev</t>
  </si>
  <si>
    <t>Önk. Rend</t>
  </si>
  <si>
    <t>Helytört. Kiá.</t>
  </si>
  <si>
    <t>Város és községgazd</t>
  </si>
  <si>
    <t>Egyéb, önk. rendeletben meghatározott juttatás (ösztöndíjak)</t>
  </si>
  <si>
    <t>Szabadidő sport tám.</t>
  </si>
  <si>
    <t>B813 Maradvány igénybevétele</t>
  </si>
  <si>
    <t>B16.</t>
  </si>
  <si>
    <t>Egyéb működési célú tám áh.-n belülről</t>
  </si>
  <si>
    <t>Ing. Vagyon gazd</t>
  </si>
  <si>
    <t>Működési bevételek  összesen</t>
  </si>
  <si>
    <t>Önkormányzati rendezvények</t>
  </si>
  <si>
    <t>Önkormányzat működési bevétele összesen (1+2):</t>
  </si>
  <si>
    <t>Ing. Vagyon gazd.</t>
  </si>
  <si>
    <t>Rehabilitációs foglalkoztatás</t>
  </si>
  <si>
    <t xml:space="preserve">5. </t>
  </si>
  <si>
    <t>Helytörténeti kiállítás</t>
  </si>
  <si>
    <t xml:space="preserve">Irányítószervi támogatás </t>
  </si>
  <si>
    <t>II.4. A köznevelési intézmények működtetéséhez kapcsolódó támogatás</t>
  </si>
  <si>
    <t>K71 Ingatlanok felújítása</t>
  </si>
  <si>
    <t>COFOG</t>
  </si>
  <si>
    <t>04123*</t>
  </si>
  <si>
    <t>08209*</t>
  </si>
  <si>
    <t>013350</t>
  </si>
  <si>
    <t>047120</t>
  </si>
  <si>
    <t>013320</t>
  </si>
  <si>
    <t>066010</t>
  </si>
  <si>
    <t>083050</t>
  </si>
  <si>
    <t>064010</t>
  </si>
  <si>
    <t>011130</t>
  </si>
  <si>
    <t>081045</t>
  </si>
  <si>
    <t>066020</t>
  </si>
  <si>
    <t>066020 (21)</t>
  </si>
  <si>
    <t>K64 Egyéb tárgyieszköz beszerzése, létesítése</t>
  </si>
  <si>
    <t>086030</t>
  </si>
  <si>
    <t>Nemzetk. együttműködés</t>
  </si>
  <si>
    <t>Idősek nappali ellátása</t>
  </si>
  <si>
    <t>Piac</t>
  </si>
  <si>
    <t>Testvérkapcsolat</t>
  </si>
  <si>
    <t>K914</t>
  </si>
  <si>
    <t>Államháztartáson belüli megelőlegezések visszafizetése</t>
  </si>
  <si>
    <t>Költségvetési Kiadások</t>
  </si>
  <si>
    <t>K1.-8.</t>
  </si>
  <si>
    <t>K1.-9.</t>
  </si>
  <si>
    <t>K915</t>
  </si>
  <si>
    <t>B814</t>
  </si>
  <si>
    <t>Államháztartáson belüli megelőlegezések</t>
  </si>
  <si>
    <t>KÖLTSÉGVETÉSI KIADÁSOK</t>
  </si>
  <si>
    <t>B816</t>
  </si>
  <si>
    <t>KÖLTSÉGVETÉSI FŐÖSSZEG</t>
  </si>
  <si>
    <t>Irányítószervi támogatás (KORREKCIÓ)</t>
  </si>
  <si>
    <t>Tartalék</t>
  </si>
  <si>
    <t>B53</t>
  </si>
  <si>
    <t>Egyéb  tárgyi eszközök értékesítése</t>
  </si>
  <si>
    <t>B113 Szociális ágazati pótlék</t>
  </si>
  <si>
    <t>Rovat</t>
  </si>
  <si>
    <t>Elnevezés</t>
  </si>
  <si>
    <t>K502</t>
  </si>
  <si>
    <t>Elvonások és befizetések</t>
  </si>
  <si>
    <t>K508</t>
  </si>
  <si>
    <t>Működési célú visszatérítendő kölcsönök nyújtása áh-n kívülre</t>
  </si>
  <si>
    <t>B115 Szociális célú tüzifa</t>
  </si>
  <si>
    <t>Munk.véhz.-re irányuló egyéb jogviszonyban külsős díja</t>
  </si>
  <si>
    <t>Háziorvosi alapellátás</t>
  </si>
  <si>
    <t>Igazgatási tevékenység</t>
  </si>
  <si>
    <t>Informatikai eszközök beszerzése, létesítése</t>
  </si>
  <si>
    <t>B21</t>
  </si>
  <si>
    <t>Tárgyi eszközös értékesítése</t>
  </si>
  <si>
    <t>B25</t>
  </si>
  <si>
    <t>B65.</t>
  </si>
  <si>
    <t>Felhalmozási célú átvett pénzeszköz</t>
  </si>
  <si>
    <t>kontroll:</t>
  </si>
  <si>
    <t>Kontroll:</t>
  </si>
  <si>
    <t>Időskorúak nappali ellátása 102031</t>
  </si>
  <si>
    <t>Házi segítségnyújtás 107052</t>
  </si>
  <si>
    <t>Védőnői szolgálat 074031</t>
  </si>
  <si>
    <t>Gyermekjóléti szolgáltatás 104042</t>
  </si>
  <si>
    <t>Családsegítés 104042</t>
  </si>
  <si>
    <t>Szociális étkeztetés 107051</t>
  </si>
  <si>
    <t>Kiadások összesen (I+II+III)</t>
  </si>
  <si>
    <t>Igazgatási tevékenység 011130</t>
  </si>
  <si>
    <t>Konyha  096015</t>
  </si>
  <si>
    <t>Bölcsödei ellátás 104031</t>
  </si>
  <si>
    <t>K512</t>
  </si>
  <si>
    <t>K513</t>
  </si>
  <si>
    <t>B114 Kulturális illetménypótlék</t>
  </si>
  <si>
    <t>Személyi juttat.</t>
  </si>
  <si>
    <t>összesen:</t>
  </si>
  <si>
    <t>Csapadékvíz TOP 2.3.1</t>
  </si>
  <si>
    <t>Energetika TOP 3.2.1</t>
  </si>
  <si>
    <t>Óvoda felújítása TOP 1.4.1</t>
  </si>
  <si>
    <t>K7 összesen:</t>
  </si>
  <si>
    <t>K6 összesen :</t>
  </si>
  <si>
    <t>K6 és K7 összesen:</t>
  </si>
  <si>
    <t>B64</t>
  </si>
  <si>
    <t>B75.</t>
  </si>
  <si>
    <t>Rehab, nyári, erzsébet</t>
  </si>
  <si>
    <t>K506</t>
  </si>
  <si>
    <t>Működési célú visszatérítendő kölcsönök nyújtása áh-n belülre</t>
  </si>
  <si>
    <t xml:space="preserve">    K89</t>
  </si>
  <si>
    <t>Egyéb felhalmozási célú támogatások háztartásoknak</t>
  </si>
  <si>
    <t>nettó</t>
  </si>
  <si>
    <t>áfa</t>
  </si>
  <si>
    <t>Egyéb gépek, berendezések beszerzése</t>
  </si>
  <si>
    <t>KIADÁSOK ÖSSZESEN (mínusz a tartalék összeg):</t>
  </si>
  <si>
    <t>TE értékesítés</t>
  </si>
  <si>
    <t>Immateriális javak</t>
  </si>
  <si>
    <t>K63 Informatikai eszközök beszerzése</t>
  </si>
  <si>
    <t>072111</t>
  </si>
  <si>
    <t>Konyha</t>
  </si>
  <si>
    <t>016080</t>
  </si>
  <si>
    <t>I.6. Polgármesteri illetmény támogatása</t>
  </si>
  <si>
    <t>I. 1. a) Önkormányzati hivatal működésének támogatása - elismert hivatali létszám alapján</t>
  </si>
  <si>
    <t>B410</t>
  </si>
  <si>
    <t>B411</t>
  </si>
  <si>
    <t>Polgármesteri Hivatal</t>
  </si>
  <si>
    <t>Dusnoki Óvoda és Bölcsőde</t>
  </si>
  <si>
    <t>Biztosítók által fiz. kártérítés</t>
  </si>
  <si>
    <t>B814.</t>
  </si>
  <si>
    <t>Megelőlegezés</t>
  </si>
  <si>
    <t>Dusnok Község Önkormányzata</t>
  </si>
  <si>
    <t>Gondozási Központ</t>
  </si>
  <si>
    <t>B64.</t>
  </si>
  <si>
    <t>Működési célú visszatérített támogatások</t>
  </si>
  <si>
    <t>K11</t>
  </si>
  <si>
    <t>K12</t>
  </si>
  <si>
    <t>Turisztika TOP 1.2.1</t>
  </si>
  <si>
    <t>Szociálpol. ellátások (K4+K5+K8-civilek)</t>
  </si>
  <si>
    <t>Kiadások összesen(I+II+III):</t>
  </si>
  <si>
    <t>Tartalék:</t>
  </si>
  <si>
    <t>K61</t>
  </si>
  <si>
    <t>K62</t>
  </si>
  <si>
    <t>K63</t>
  </si>
  <si>
    <t>K64</t>
  </si>
  <si>
    <t>K67</t>
  </si>
  <si>
    <t>K71</t>
  </si>
  <si>
    <t>K73</t>
  </si>
  <si>
    <t>K74</t>
  </si>
  <si>
    <t>K89</t>
  </si>
  <si>
    <t>Munkadót terhelő járulékok</t>
  </si>
  <si>
    <t>Központi költségvetési támogatás</t>
  </si>
  <si>
    <t>Sportegyesület</t>
  </si>
  <si>
    <t>Horgászegyesület</t>
  </si>
  <si>
    <t>Nem lakóingatlan üzem.</t>
  </si>
  <si>
    <t>Különbség:</t>
  </si>
  <si>
    <t>Értékesített TE., ingatlan</t>
  </si>
  <si>
    <t>III. 6. a (1) A finanszírozás szempontjából elismert szakmai dolgozók bértámogatása: felsőfokú végzettségű kisgyermeknevelők, szaktanácsadók</t>
  </si>
  <si>
    <t>III. 6. a (2) A finanszírozás szempontjából elismert szakmai dolgozók bértámogatása: bölcsődei dajkák, középfokú végzettségű kisgyermeknevelők, szaktanácsadók</t>
  </si>
  <si>
    <t>III.6. (b) Bölcsődei üzemeltetési támogatás</t>
  </si>
  <si>
    <t>2020</t>
  </si>
  <si>
    <t>2021</t>
  </si>
  <si>
    <t>2022</t>
  </si>
  <si>
    <t>Ingatlan vásárlás</t>
  </si>
  <si>
    <t>Helyi identitás TOP-5.3.1.</t>
  </si>
  <si>
    <t>Sorszám</t>
  </si>
  <si>
    <t>Létszám</t>
  </si>
  <si>
    <t>Támog.ért.kiad.és pénzeszk. átadások</t>
  </si>
  <si>
    <t xml:space="preserve">Mezőgazdasági elkerülőút VP-6.7.2.1-7.4.1.2-16 </t>
  </si>
  <si>
    <t>Egyéb informatikai eszkök beszerzés</t>
  </si>
  <si>
    <t>Támogatásértékű és működési célra átvett</t>
  </si>
  <si>
    <t>Mezei őrszolgálat működtetése</t>
  </si>
  <si>
    <t>Gondozási Központ bevételei összesen:</t>
  </si>
  <si>
    <t>Gondozási Központ költségvetésében:</t>
  </si>
  <si>
    <t>Óvoda és Bölcsőde bevételei összesen:</t>
  </si>
  <si>
    <t>B1631 Bursa visszatérítés</t>
  </si>
  <si>
    <t>B1632 Mezőőri támogatás</t>
  </si>
  <si>
    <t xml:space="preserve">B1634 Oep támogatás </t>
  </si>
  <si>
    <t>B1635 Nyári diákmunka</t>
  </si>
  <si>
    <t>B1636 Helyi önk. költségetési szervétől kapott működési célú támogatás</t>
  </si>
  <si>
    <t>B1638 Támogatás nemzetiségi önkormányzattól</t>
  </si>
  <si>
    <t>Április</t>
  </si>
  <si>
    <t>Szeptember</t>
  </si>
  <si>
    <t>November</t>
  </si>
  <si>
    <t>December</t>
  </si>
  <si>
    <t>III.3. a) III.3.b) + III.3.n) Egyes szociális és gyermekjóléti feladatok támogatása - család és gyermekjóléti szolgálat/központ</t>
  </si>
  <si>
    <t xml:space="preserve"> III.3.c)-III.3.m) Egyes szociális és gyermekjóléti feladatok támogatása - család és gyermekjóléti szolgálat/központ kivételével</t>
  </si>
  <si>
    <t xml:space="preserve">      III.5.aa) A finanszírozás szempontjából elismert dolgozók bértámogatása</t>
  </si>
  <si>
    <t xml:space="preserve">     III. 5. ab) Gyermekétkeztetés üzemeltetési támogatása</t>
  </si>
  <si>
    <t xml:space="preserve"> III.5.b) A rászoruló gyermekek intézményen kívüli szünidei étkeztetésének támogatása</t>
  </si>
  <si>
    <t>III. 6. Bölcsőde, mini bölcsőde támogatása</t>
  </si>
  <si>
    <t>II. 4. Kiegészítő támogatás a pedagógusok és a pedagógus szakképzettséggel rendelkező segítők minősítéséből adódó többletkiadásokhoz</t>
  </si>
  <si>
    <t>Egyéb működési célú támogatások áh.-n kívülre</t>
  </si>
  <si>
    <t>Pénzbeli támogatás (gyermekvédelmi)</t>
  </si>
  <si>
    <t>Nyári diákmunka (fő)</t>
  </si>
  <si>
    <t>Útfejújítás, tervezés JETA-98-2018</t>
  </si>
  <si>
    <t>Művelődési ház felújítása JETA-97-2018</t>
  </si>
  <si>
    <t>Közmunka tárgyi eszköz beszerzések</t>
  </si>
  <si>
    <t>B2 és B7 összesen:</t>
  </si>
  <si>
    <t>Orvosi eszköz (fogorvosi szék) MFP-AEE/2019</t>
  </si>
  <si>
    <t>Térfigyelő kamerarendszer kiépítése      MVH 1927 855 337</t>
  </si>
  <si>
    <t>Január</t>
  </si>
  <si>
    <t>Február</t>
  </si>
  <si>
    <t>Március</t>
  </si>
  <si>
    <t>Május</t>
  </si>
  <si>
    <t>Június</t>
  </si>
  <si>
    <t>Július</t>
  </si>
  <si>
    <t>Augusztus</t>
  </si>
  <si>
    <t>Október</t>
  </si>
  <si>
    <t>Kontroll</t>
  </si>
  <si>
    <t>Egyéb tárgyi eszköz felújítás</t>
  </si>
  <si>
    <t>K67 Beruházási célú előzetesen felszámított áfa</t>
  </si>
  <si>
    <t>K73 Egyéb tárgyi eszköz felújítás</t>
  </si>
  <si>
    <t>Arany J. u. útburkolat felújítás MFP</t>
  </si>
  <si>
    <t xml:space="preserve">Útfejújítás, tervezés JETA-98-2018 </t>
  </si>
  <si>
    <t>Hunyadi u. felújítás BM</t>
  </si>
  <si>
    <t>Ebből EU-s forrás (TOP):</t>
  </si>
  <si>
    <t>K74 Felújítási célú előzetesen felszámított áfa</t>
  </si>
  <si>
    <t xml:space="preserve">B25. Felhalm.célú tám. Áh-n belülről (TOP, MFP, VP)
</t>
  </si>
  <si>
    <t>B75. Felhalm. célú tám. civil szervezettől (JETA)</t>
  </si>
  <si>
    <t xml:space="preserve">B21. Felhalm. célú tám. Áh-n belülről (BM)
</t>
  </si>
  <si>
    <t>Civil szervek, vállalkozások támogatása</t>
  </si>
  <si>
    <t>Dusnoki Polgármesteri Hivatal költségvetésében</t>
  </si>
  <si>
    <t>Dusnok Önkormányzat saját költségvetésében</t>
  </si>
  <si>
    <t>Dusnoki Polgármesteri Hivatal</t>
  </si>
  <si>
    <t>Költségvetési egyesített bevételek terve 2020. évre</t>
  </si>
  <si>
    <t>2020. évi eredeti költségvetés</t>
  </si>
  <si>
    <t>2020. évre</t>
  </si>
  <si>
    <t>K61 Immateriális javak</t>
  </si>
  <si>
    <t>K62 Ingatlanok beszerzése, létesítése</t>
  </si>
  <si>
    <t>2023</t>
  </si>
  <si>
    <t>Az Önkormányzat 2020. évre tervezett közvetlen és közvetett támogatásairól</t>
  </si>
  <si>
    <t>előirányzat-felhasználási ütemterve 2020. évre</t>
  </si>
  <si>
    <t>előirányzat-felhasználási ütemterv 2020. évre</t>
  </si>
  <si>
    <t>Költségvetési kiadások terve intézményi szinten</t>
  </si>
  <si>
    <t>K5121</t>
  </si>
  <si>
    <t>K5122</t>
  </si>
  <si>
    <t>Dologi kiadások összesen</t>
  </si>
  <si>
    <t>Dologi kiadások tervezése intézményi szinten</t>
  </si>
  <si>
    <t>Személyi juttatások tervezése intézményi szinten</t>
  </si>
  <si>
    <t>Szociális hozzájárulási adó (Közmunka)</t>
  </si>
  <si>
    <t>Törvény szerinti illetmények, munkabérek (Közmunka)</t>
  </si>
  <si>
    <t>Működési bevételek terve intézményi szinten</t>
  </si>
  <si>
    <t xml:space="preserve"> 2020. évi Normatív támogatások</t>
  </si>
  <si>
    <t>Működési c. visszatérített tám.</t>
  </si>
  <si>
    <t>K6 összesen:</t>
  </si>
  <si>
    <t>B7 összesen:</t>
  </si>
  <si>
    <t>B2 összesen:</t>
  </si>
  <si>
    <t>2020. évi felújítások, beruházások terve</t>
  </si>
  <si>
    <t>Térfigyelő kamerarendszer kiépítése                      MVH 1927 855 337</t>
  </si>
  <si>
    <t>2.999.999 Ft + 1.500.000 Ft</t>
  </si>
  <si>
    <t>Óvoda és Bölcsőde</t>
  </si>
  <si>
    <t xml:space="preserve">Megnevezés </t>
  </si>
  <si>
    <t>Ravatalozó felújítás II. ütem JETA-83-2019</t>
  </si>
  <si>
    <t>Az önkormányzat és költségvetési szervei 2020. évi költségvetésének tervezett működési bevételei előirányzat-csoportonként, kiemelt kötelező, önként vállalt és államigazgatási feladatok szerinti bontásban</t>
  </si>
  <si>
    <t>Költségvetési egyesített kiadások terve 2020. évre</t>
  </si>
  <si>
    <t xml:space="preserve">Az önkormányzat és költségvetési szervei 2020. évi költségvetésének tervezett működési kiadásai,  </t>
  </si>
  <si>
    <t>Mezőőr+    konyhakert</t>
  </si>
  <si>
    <t>Kiemelt     rend.</t>
  </si>
  <si>
    <t>Az Önkormányzat 2020. évi dologi kiadásainak részletezése feladatok szerint</t>
  </si>
  <si>
    <t>Csapadékvíz TOP 2.3.1 /Megérkezett/</t>
  </si>
  <si>
    <t>Energetika TOP 3.2.1  /Megérkezett/</t>
  </si>
  <si>
    <t>Óvoda felújítása TOP 1.4.1 /Megérkezett/</t>
  </si>
  <si>
    <t>Helyi identitás TOP-5.3.1. /Megérkezett/</t>
  </si>
  <si>
    <t>Turisztika TOP 1.2.1 /Megérkezett/</t>
  </si>
  <si>
    <t xml:space="preserve">Mezőgazdasági elkerülőút VP-6.7.2.1-7.4.1.2-16 /Megérkezett/                                                 </t>
  </si>
  <si>
    <t>Hunyadi u. felújítás BM /Megérkezett/</t>
  </si>
  <si>
    <t>Arany J. u. útburkolat felújítás MFP /Megérkezett/</t>
  </si>
  <si>
    <t>Különbözet:</t>
  </si>
  <si>
    <t>Munkaadókat terhelő jár. és szochó</t>
  </si>
  <si>
    <t>Dusnok Község Önkormányzata 2020. évi költségvetése                                Több éves kihatással járó döntések</t>
  </si>
  <si>
    <t xml:space="preserve">TOP-1.4.1-19 Bölcsődei férőhelyek kialakítása </t>
  </si>
  <si>
    <t>B111</t>
  </si>
  <si>
    <t>B112</t>
  </si>
  <si>
    <t>B113</t>
  </si>
  <si>
    <t>B114</t>
  </si>
  <si>
    <t>B115</t>
  </si>
  <si>
    <t>B116</t>
  </si>
  <si>
    <t>Helyi Önk. működésének támogatása</t>
  </si>
  <si>
    <t>Köznevelési és gyermekétkeztetési feladatok támogatása</t>
  </si>
  <si>
    <t>Szociális és gyermekjóléti feladatok támogatása</t>
  </si>
  <si>
    <t>Könyvtári és közművelődési feladatok támogatása</t>
  </si>
  <si>
    <t>Működési célú költségvetési támogatások (Szoc. tüzelőanyag)</t>
  </si>
  <si>
    <t>Elszámolásból származó bevételek</t>
  </si>
  <si>
    <t>B11</t>
  </si>
  <si>
    <t>IV. KÖNYVTÁRI ÉS KÖZMŰVELŐDÉSI FELADATOK TÁMOGATÁSA</t>
  </si>
  <si>
    <t>IV. 1. Könyvtári és közművelődési feladatok</t>
  </si>
  <si>
    <t xml:space="preserve">MINDÖSSZESEN (I. + II. + III. + IV.) /B11./ </t>
  </si>
  <si>
    <t>A 2018. évről áthúzódó 2019. évi bérkompenzáció támogatása</t>
  </si>
  <si>
    <t>Kontroll bevétel:</t>
  </si>
  <si>
    <t xml:space="preserve">Kontroll bevétel: </t>
  </si>
  <si>
    <t>Szociális hozzájárulási adó (Választott tisztségviselők)</t>
  </si>
  <si>
    <t>Arany János ösztöndíj program</t>
  </si>
  <si>
    <t>Kiskert program vetőmag csomag</t>
  </si>
  <si>
    <t>Egyéb</t>
  </si>
  <si>
    <t>Zarándokút Egyesület hozzájárulás</t>
  </si>
  <si>
    <t>B1635 Bács-Kiskun megyei munkaügyi központ támogatása (közmunka bér + tárgyi eszköz)</t>
  </si>
  <si>
    <t>B16. EGYÉB MŰKÖDÉSI CÉLÚ TÁMOGATÁSOK ÁH-N BELÜLRŐL</t>
  </si>
  <si>
    <t>B11. ÖNKORMÁNYZAT MŰKÖDÉSI CÉLÚ TÁMOGATÁSAI ÁH-N BELÜLRŐL</t>
  </si>
  <si>
    <t>Felosztott</t>
  </si>
  <si>
    <t>Dusnoki Óvoda és Bölcsőde költségvetésében:</t>
  </si>
  <si>
    <t>K42</t>
  </si>
  <si>
    <t>K44</t>
  </si>
  <si>
    <t>K46</t>
  </si>
  <si>
    <t>K48</t>
  </si>
  <si>
    <t xml:space="preserve"> K915</t>
  </si>
  <si>
    <t>K1.- K8.</t>
  </si>
  <si>
    <t>Gondozási Központ költségvetésében</t>
  </si>
  <si>
    <t>Dusnoki Óvoda és Bölcsőde költségvetésében</t>
  </si>
  <si>
    <t>1 fő</t>
  </si>
  <si>
    <t>B1632 Központi kezelésű előirányzattól kapott működési célú támogatás</t>
  </si>
  <si>
    <t>B1631 Központi költségvetési szervtől kapott működési célú támogatás</t>
  </si>
  <si>
    <t>B1634 Társadalombiztosítás pénzügyi alapjaitől kapott működési célú támogatás</t>
  </si>
  <si>
    <t>B1635 Elkülönített állami pénzalaptól kapott működési célú támogatás</t>
  </si>
  <si>
    <t>B1638 Nemzetiségi önkormányzattól és költségvetési szervétől kapott működési célú támogatás</t>
  </si>
  <si>
    <t>B113 Települési önkormányzat szocális feladatainak támogatása</t>
  </si>
  <si>
    <t>B114 Települési önkormányzat kulturális feladatainak támogatása</t>
  </si>
  <si>
    <t>B115  Települési önkormányzat kiegészítő támogatása</t>
  </si>
  <si>
    <t>II. A TELEPÜLÉSI ÖNKORMÁNYZAT KÖZNEVELÉSI FELADATAINAK TÁMOGATÁSA</t>
  </si>
  <si>
    <t>I. A HELYI ÖNKORMÁNYZAT MŰKÖDÉSÉNEK ÁLTALÁNOS TÁMOGATÁSA</t>
  </si>
  <si>
    <t>III. A TELEPÜLÉSI ÖNKORMÁNYZAT SZOCIÁLIS, GYERMEKJÓLÉTI (BÖLCSŐDEI) ÉS GYERMEKÉTKEZETÉSI FELADATAINAK TÁMOGATÁSA</t>
  </si>
  <si>
    <t>Dusnok Község Önkormányzat 2020. évi összevont költségvetési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</si>
</sst>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Ft&quot;"/>
    <numFmt numFmtId="165" formatCode="#&quot; &quot;\f\ő"/>
  </numFmts>
  <fonts count="8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name val="Arial"/>
      <family val="2"/>
      <charset val="238"/>
    </font>
    <font>
      <b/>
      <i/>
      <u/>
      <sz val="14"/>
      <name val="Arial"/>
      <family val="2"/>
      <charset val="238"/>
    </font>
    <font>
      <i/>
      <u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 tint="0.2499465926084170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12"/>
      <color theme="1" tint="0.2499465926084170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3F3F76"/>
      <name val="Calibri"/>
      <family val="2"/>
      <charset val="238"/>
      <scheme val="minor"/>
    </font>
    <font>
      <b/>
      <sz val="12"/>
      <color rgb="FFFA7D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Arial"/>
      <charset val="238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164" fontId="60" fillId="19" borderId="5" applyAlignment="0" applyProtection="0"/>
    <xf numFmtId="0" fontId="57" fillId="18" borderId="6" applyNumberFormat="0" applyAlignment="0" applyProtection="0"/>
    <xf numFmtId="164" fontId="57" fillId="17" borderId="1" applyAlignment="0" applyProtection="0"/>
    <xf numFmtId="0" fontId="37" fillId="4" borderId="7" applyNumberFormat="0" applyFont="0" applyAlignment="0" applyProtection="0"/>
    <xf numFmtId="0" fontId="54" fillId="5" borderId="0" applyNumberFormat="0" applyBorder="0" applyAlignment="0" applyProtection="0"/>
    <xf numFmtId="0" fontId="32" fillId="0" borderId="0"/>
    <xf numFmtId="164" fontId="57" fillId="6" borderId="5" applyAlignment="0" applyProtection="0"/>
    <xf numFmtId="49" fontId="26" fillId="8" borderId="7">
      <alignment horizontal="left" vertical="center" wrapText="1"/>
    </xf>
    <xf numFmtId="49" fontId="27" fillId="6" borderId="7">
      <alignment horizontal="left" vertical="center" wrapText="1"/>
    </xf>
    <xf numFmtId="49" fontId="58" fillId="9" borderId="1">
      <alignment horizontal="center" vertical="center"/>
    </xf>
    <xf numFmtId="49" fontId="57" fillId="10" borderId="7">
      <alignment horizontal="left" vertical="center" wrapText="1"/>
    </xf>
    <xf numFmtId="43" fontId="68" fillId="0" borderId="0" applyFont="0" applyFill="0" applyBorder="0" applyAlignment="0" applyProtection="0"/>
  </cellStyleXfs>
  <cellXfs count="660">
    <xf numFmtId="0" fontId="0" fillId="0" borderId="0" xfId="0"/>
    <xf numFmtId="0" fontId="29" fillId="0" borderId="0" xfId="0" applyFont="1"/>
    <xf numFmtId="0" fontId="30" fillId="0" borderId="0" xfId="0" applyFont="1"/>
    <xf numFmtId="0" fontId="32" fillId="0" borderId="0" xfId="0" applyFont="1"/>
    <xf numFmtId="0" fontId="32" fillId="0" borderId="0" xfId="8"/>
    <xf numFmtId="0" fontId="29" fillId="0" borderId="0" xfId="8" applyFont="1"/>
    <xf numFmtId="0" fontId="35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31" fillId="0" borderId="0" xfId="0" applyFont="1" applyAlignment="1">
      <alignment horizontal="center"/>
    </xf>
    <xf numFmtId="0" fontId="39" fillId="0" borderId="0" xfId="8" applyFont="1" applyAlignment="1">
      <alignment horizontal="right" vertical="top" wrapText="1"/>
    </xf>
    <xf numFmtId="0" fontId="41" fillId="0" borderId="0" xfId="8" applyFont="1" applyAlignment="1">
      <alignment horizontal="right" vertical="top" wrapText="1"/>
    </xf>
    <xf numFmtId="0" fontId="40" fillId="0" borderId="0" xfId="8" applyFont="1" applyAlignment="1">
      <alignment horizontal="right" vertical="top" wrapText="1"/>
    </xf>
    <xf numFmtId="0" fontId="34" fillId="0" borderId="0" xfId="8" applyFont="1" applyAlignment="1">
      <alignment horizontal="justify"/>
    </xf>
    <xf numFmtId="164" fontId="0" fillId="0" borderId="0" xfId="0" applyNumberFormat="1"/>
    <xf numFmtId="164" fontId="32" fillId="0" borderId="0" xfId="0" applyNumberFormat="1" applyFont="1"/>
    <xf numFmtId="0" fontId="45" fillId="0" borderId="0" xfId="0" applyFont="1"/>
    <xf numFmtId="0" fontId="48" fillId="0" borderId="0" xfId="0" applyFont="1"/>
    <xf numFmtId="0" fontId="47" fillId="0" borderId="0" xfId="0" applyFont="1"/>
    <xf numFmtId="0" fontId="46" fillId="0" borderId="0" xfId="0" applyFont="1"/>
    <xf numFmtId="0" fontId="50" fillId="0" borderId="0" xfId="0" applyFont="1"/>
    <xf numFmtId="0" fontId="49" fillId="0" borderId="0" xfId="0" applyFont="1"/>
    <xf numFmtId="0" fontId="51" fillId="0" borderId="0" xfId="0" applyFont="1"/>
    <xf numFmtId="0" fontId="40" fillId="0" borderId="0" xfId="8" applyFont="1" applyAlignment="1">
      <alignment vertical="top" wrapText="1"/>
    </xf>
    <xf numFmtId="0" fontId="40" fillId="0" borderId="0" xfId="8" applyFont="1" applyAlignment="1">
      <alignment horizontal="center" vertical="top" wrapText="1"/>
    </xf>
    <xf numFmtId="0" fontId="54" fillId="0" borderId="0" xfId="7" applyFill="1" applyAlignment="1">
      <alignment vertical="top" wrapText="1"/>
    </xf>
    <xf numFmtId="0" fontId="54" fillId="0" borderId="0" xfId="7" applyFill="1" applyAlignment="1">
      <alignment horizontal="center" vertical="top" wrapText="1"/>
    </xf>
    <xf numFmtId="3" fontId="57" fillId="0" borderId="0" xfId="4" applyNumberFormat="1" applyFill="1" applyBorder="1" applyAlignment="1">
      <alignment horizontal="right" vertical="top" wrapText="1"/>
    </xf>
    <xf numFmtId="0" fontId="57" fillId="0" borderId="0" xfId="4" applyFill="1" applyBorder="1" applyAlignment="1">
      <alignment horizontal="right" vertical="top" wrapText="1"/>
    </xf>
    <xf numFmtId="0" fontId="40" fillId="0" borderId="0" xfId="0" applyFont="1" applyAlignment="1">
      <alignment vertical="top" wrapText="1"/>
    </xf>
    <xf numFmtId="0" fontId="40" fillId="0" borderId="0" xfId="0" applyFont="1" applyAlignment="1">
      <alignment horizontal="right" vertical="top" wrapText="1"/>
    </xf>
    <xf numFmtId="164" fontId="57" fillId="0" borderId="0" xfId="9" applyFill="1" applyBorder="1" applyAlignment="1">
      <alignment horizontal="right" vertical="top" wrapText="1"/>
    </xf>
    <xf numFmtId="0" fontId="38" fillId="0" borderId="0" xfId="0" applyFont="1" applyAlignment="1">
      <alignment wrapText="1"/>
    </xf>
    <xf numFmtId="0" fontId="53" fillId="0" borderId="0" xfId="2" applyFill="1" applyAlignment="1">
      <alignment horizontal="center" vertical="top" wrapText="1"/>
    </xf>
    <xf numFmtId="0" fontId="53" fillId="0" borderId="0" xfId="2" applyFill="1" applyAlignment="1">
      <alignment vertical="top" wrapText="1"/>
    </xf>
    <xf numFmtId="0" fontId="53" fillId="0" borderId="0" xfId="2" applyFill="1" applyAlignment="1">
      <alignment horizontal="right" vertical="top" wrapText="1"/>
    </xf>
    <xf numFmtId="164" fontId="57" fillId="6" borderId="5" xfId="9" applyAlignment="1">
      <alignment horizontal="right" vertical="top" wrapText="1"/>
    </xf>
    <xf numFmtId="0" fontId="53" fillId="0" borderId="0" xfId="6" applyFont="1" applyFill="1" applyBorder="1" applyAlignment="1">
      <alignment horizontal="left"/>
    </xf>
    <xf numFmtId="0" fontId="53" fillId="0" borderId="0" xfId="6" applyFont="1" applyFill="1" applyBorder="1"/>
    <xf numFmtId="0" fontId="31" fillId="0" borderId="0" xfId="6" applyFont="1" applyFill="1" applyBorder="1" applyAlignment="1">
      <alignment horizontal="center"/>
    </xf>
    <xf numFmtId="49" fontId="27" fillId="6" borderId="7" xfId="11">
      <alignment horizontal="left" vertical="center" wrapText="1"/>
    </xf>
    <xf numFmtId="164" fontId="60" fillId="19" borderId="1" xfId="3" applyBorder="1"/>
    <xf numFmtId="164" fontId="57" fillId="0" borderId="0" xfId="9" applyFill="1" applyBorder="1"/>
    <xf numFmtId="49" fontId="58" fillId="0" borderId="9" xfId="12" applyFill="1" applyBorder="1">
      <alignment horizontal="center" vertical="center"/>
    </xf>
    <xf numFmtId="49" fontId="26" fillId="8" borderId="1" xfId="10" applyBorder="1">
      <alignment horizontal="left" vertical="center" wrapText="1"/>
    </xf>
    <xf numFmtId="49" fontId="57" fillId="10" borderId="1" xfId="13" applyBorder="1">
      <alignment horizontal="left" vertical="center" wrapText="1"/>
    </xf>
    <xf numFmtId="49" fontId="58" fillId="0" borderId="0" xfId="12" applyFill="1" applyBorder="1" applyAlignment="1">
      <alignment horizontal="center" vertical="center" wrapText="1"/>
    </xf>
    <xf numFmtId="164" fontId="57" fillId="17" borderId="1" xfId="5" applyAlignment="1">
      <alignment horizontal="right" vertical="top" wrapText="1"/>
    </xf>
    <xf numFmtId="164" fontId="57" fillId="6" borderId="1" xfId="9" applyBorder="1" applyAlignment="1">
      <alignment horizontal="right" vertical="top" wrapText="1"/>
    </xf>
    <xf numFmtId="164" fontId="57" fillId="16" borderId="1" xfId="9" applyFill="1" applyBorder="1" applyAlignment="1">
      <alignment horizontal="right" vertical="top" wrapText="1"/>
    </xf>
    <xf numFmtId="164" fontId="60" fillId="19" borderId="1" xfId="3" applyBorder="1" applyAlignment="1">
      <alignment horizontal="right" vertical="top" wrapText="1"/>
    </xf>
    <xf numFmtId="164" fontId="57" fillId="6" borderId="1" xfId="9" applyBorder="1" applyAlignment="1">
      <alignment horizontal="center" vertical="center" wrapText="1"/>
    </xf>
    <xf numFmtId="164" fontId="60" fillId="19" borderId="1" xfId="3" applyBorder="1" applyAlignment="1">
      <alignment horizontal="right" vertical="center" wrapText="1"/>
    </xf>
    <xf numFmtId="164" fontId="57" fillId="18" borderId="6" xfId="4" applyNumberFormat="1"/>
    <xf numFmtId="49" fontId="25" fillId="8" borderId="1" xfId="10" applyFont="1" applyBorder="1">
      <alignment horizontal="left" vertical="center" wrapText="1"/>
    </xf>
    <xf numFmtId="165" fontId="57" fillId="17" borderId="1" xfId="5" applyNumberFormat="1" applyAlignment="1">
      <alignment horizontal="center" vertical="top" wrapText="1"/>
    </xf>
    <xf numFmtId="165" fontId="60" fillId="19" borderId="1" xfId="3" applyNumberFormat="1" applyBorder="1" applyAlignment="1">
      <alignment horizontal="center" vertical="center" wrapText="1"/>
    </xf>
    <xf numFmtId="49" fontId="27" fillId="6" borderId="4" xfId="11" applyBorder="1">
      <alignment horizontal="left" vertical="center" wrapText="1"/>
    </xf>
    <xf numFmtId="165" fontId="57" fillId="6" borderId="1" xfId="9" applyNumberFormat="1" applyBorder="1" applyAlignment="1">
      <alignment horizontal="center" vertical="center" wrapText="1"/>
    </xf>
    <xf numFmtId="165" fontId="57" fillId="16" borderId="1" xfId="9" applyNumberFormat="1" applyFill="1" applyBorder="1" applyAlignment="1">
      <alignment horizontal="center" vertical="center" wrapText="1"/>
    </xf>
    <xf numFmtId="164" fontId="57" fillId="16" borderId="5" xfId="9" applyFill="1" applyAlignment="1">
      <alignment horizontal="right" vertical="top" wrapText="1"/>
    </xf>
    <xf numFmtId="164" fontId="57" fillId="6" borderId="1" xfId="9" applyBorder="1" applyAlignment="1">
      <alignment horizontal="right" vertical="center" wrapText="1"/>
    </xf>
    <xf numFmtId="164" fontId="57" fillId="17" borderId="1" xfId="5" applyAlignment="1">
      <alignment horizontal="right" vertical="center"/>
    </xf>
    <xf numFmtId="3" fontId="57" fillId="6" borderId="12" xfId="9" applyNumberFormat="1" applyBorder="1"/>
    <xf numFmtId="164" fontId="57" fillId="17" borderId="1" xfId="5" applyAlignment="1">
      <alignment vertical="center"/>
    </xf>
    <xf numFmtId="164" fontId="57" fillId="6" borderId="5" xfId="9" applyAlignment="1">
      <alignment vertical="center"/>
    </xf>
    <xf numFmtId="164" fontId="56" fillId="6" borderId="5" xfId="9" applyFont="1" applyAlignment="1">
      <alignment vertical="center"/>
    </xf>
    <xf numFmtId="49" fontId="24" fillId="0" borderId="0" xfId="10" applyFont="1" applyFill="1" applyBorder="1">
      <alignment horizontal="left" vertical="center" wrapText="1"/>
    </xf>
    <xf numFmtId="49" fontId="22" fillId="8" borderId="1" xfId="10" applyFont="1" applyBorder="1">
      <alignment horizontal="left" vertical="center" wrapText="1"/>
    </xf>
    <xf numFmtId="164" fontId="32" fillId="0" borderId="0" xfId="8" applyNumberFormat="1"/>
    <xf numFmtId="49" fontId="20" fillId="8" borderId="1" xfId="10" applyFont="1" applyBorder="1">
      <alignment horizontal="left" vertical="center" wrapText="1"/>
    </xf>
    <xf numFmtId="49" fontId="26" fillId="8" borderId="11" xfId="10" applyBorder="1">
      <alignment horizontal="left" vertical="center" wrapText="1"/>
    </xf>
    <xf numFmtId="49" fontId="26" fillId="8" borderId="20" xfId="10" applyBorder="1">
      <alignment horizontal="left" vertical="center" wrapText="1"/>
    </xf>
    <xf numFmtId="49" fontId="26" fillId="8" borderId="9" xfId="10" applyBorder="1">
      <alignment horizontal="left" vertical="center" wrapText="1"/>
    </xf>
    <xf numFmtId="49" fontId="26" fillId="8" borderId="24" xfId="10" applyBorder="1">
      <alignment horizontal="left" vertical="center" wrapText="1"/>
    </xf>
    <xf numFmtId="49" fontId="26" fillId="8" borderId="21" xfId="10" applyBorder="1">
      <alignment horizontal="left" vertical="center" wrapText="1"/>
    </xf>
    <xf numFmtId="49" fontId="26" fillId="8" borderId="27" xfId="10" applyBorder="1">
      <alignment horizontal="left" vertical="center" wrapText="1"/>
    </xf>
    <xf numFmtId="49" fontId="26" fillId="8" borderId="29" xfId="10" applyBorder="1">
      <alignment horizontal="left" vertical="center" wrapText="1"/>
    </xf>
    <xf numFmtId="49" fontId="26" fillId="8" borderId="34" xfId="10" applyBorder="1">
      <alignment horizontal="left" vertical="center" wrapText="1"/>
    </xf>
    <xf numFmtId="49" fontId="26" fillId="8" borderId="32" xfId="10" applyBorder="1">
      <alignment horizontal="left" vertical="center" wrapText="1"/>
    </xf>
    <xf numFmtId="49" fontId="26" fillId="8" borderId="22" xfId="10" applyBorder="1">
      <alignment horizontal="left" vertical="center" wrapText="1"/>
    </xf>
    <xf numFmtId="49" fontId="57" fillId="6" borderId="1" xfId="11" applyFont="1" applyBorder="1">
      <alignment horizontal="left" vertical="center" wrapText="1"/>
    </xf>
    <xf numFmtId="164" fontId="57" fillId="6" borderId="1" xfId="9" applyFont="1" applyBorder="1"/>
    <xf numFmtId="0" fontId="65" fillId="0" borderId="0" xfId="8" applyFont="1" applyAlignment="1">
      <alignment horizontal="justify"/>
    </xf>
    <xf numFmtId="49" fontId="57" fillId="8" borderId="7" xfId="10" applyFont="1">
      <alignment horizontal="left" vertical="center" wrapText="1"/>
    </xf>
    <xf numFmtId="49" fontId="57" fillId="6" borderId="7" xfId="11" applyFont="1">
      <alignment horizontal="left" vertical="center" wrapText="1"/>
    </xf>
    <xf numFmtId="164" fontId="57" fillId="6" borderId="5" xfId="9" applyFont="1"/>
    <xf numFmtId="164" fontId="57" fillId="6" borderId="1" xfId="9" applyFont="1" applyBorder="1" applyAlignment="1">
      <alignment horizontal="right" vertical="center" wrapText="1"/>
    </xf>
    <xf numFmtId="164" fontId="57" fillId="17" borderId="1" xfId="5" applyFont="1" applyAlignment="1">
      <alignment horizontal="right" vertical="center"/>
    </xf>
    <xf numFmtId="3" fontId="29" fillId="0" borderId="0" xfId="8" applyNumberFormat="1" applyFont="1"/>
    <xf numFmtId="49" fontId="57" fillId="8" borderId="1" xfId="10" applyFont="1" applyBorder="1" applyAlignment="1">
      <alignment horizontal="center" vertical="center" wrapText="1"/>
    </xf>
    <xf numFmtId="49" fontId="26" fillId="8" borderId="1" xfId="10" applyBorder="1" applyAlignment="1">
      <alignment vertical="center" wrapText="1"/>
    </xf>
    <xf numFmtId="49" fontId="23" fillId="8" borderId="1" xfId="10" applyFont="1" applyBorder="1" applyAlignment="1">
      <alignment horizontal="left" vertical="center" wrapText="1"/>
    </xf>
    <xf numFmtId="49" fontId="57" fillId="10" borderId="1" xfId="13" applyBorder="1" applyAlignment="1">
      <alignment horizontal="left" vertical="center" wrapText="1"/>
    </xf>
    <xf numFmtId="49" fontId="26" fillId="8" borderId="1" xfId="10" applyBorder="1" applyAlignment="1">
      <alignment horizontal="right" vertical="center" wrapText="1"/>
    </xf>
    <xf numFmtId="164" fontId="57" fillId="17" borderId="1" xfId="5" applyAlignment="1">
      <alignment horizontal="right" vertical="center" wrapText="1"/>
    </xf>
    <xf numFmtId="0" fontId="32" fillId="0" borderId="0" xfId="0" applyFont="1" applyAlignment="1">
      <alignment horizontal="right" vertical="center"/>
    </xf>
    <xf numFmtId="164" fontId="57" fillId="16" borderId="1" xfId="9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164" fontId="57" fillId="6" borderId="1" xfId="9" applyFont="1" applyBorder="1" applyAlignment="1">
      <alignment vertical="center" wrapText="1"/>
    </xf>
    <xf numFmtId="0" fontId="29" fillId="0" borderId="0" xfId="0" applyFont="1" applyAlignment="1">
      <alignment vertical="center"/>
    </xf>
    <xf numFmtId="164" fontId="57" fillId="17" borderId="1" xfId="5" applyAlignment="1">
      <alignment vertical="center" wrapText="1"/>
    </xf>
    <xf numFmtId="164" fontId="57" fillId="6" borderId="1" xfId="9" applyBorder="1" applyAlignment="1">
      <alignment vertical="center" wrapText="1"/>
    </xf>
    <xf numFmtId="49" fontId="57" fillId="6" borderId="1" xfId="11" applyFont="1" applyBorder="1" applyAlignment="1">
      <alignment vertical="center" wrapText="1"/>
    </xf>
    <xf numFmtId="49" fontId="26" fillId="8" borderId="8" xfId="10" applyBorder="1" applyAlignment="1">
      <alignment vertical="center" wrapText="1"/>
    </xf>
    <xf numFmtId="164" fontId="57" fillId="16" borderId="1" xfId="5" applyFill="1" applyAlignment="1">
      <alignment vertical="center" wrapText="1"/>
    </xf>
    <xf numFmtId="49" fontId="18" fillId="8" borderId="1" xfId="10" applyFont="1" applyBorder="1" applyAlignment="1">
      <alignment horizontal="left" vertical="center" wrapText="1"/>
    </xf>
    <xf numFmtId="49" fontId="26" fillId="8" borderId="11" xfId="10" applyBorder="1" applyAlignment="1">
      <alignment vertical="center" wrapText="1"/>
    </xf>
    <xf numFmtId="164" fontId="57" fillId="17" borderId="11" xfId="5" applyBorder="1" applyAlignment="1">
      <alignment vertical="center" wrapText="1"/>
    </xf>
    <xf numFmtId="164" fontId="57" fillId="6" borderId="11" xfId="9" applyBorder="1" applyAlignment="1">
      <alignment vertical="center" wrapText="1"/>
    </xf>
    <xf numFmtId="49" fontId="18" fillId="8" borderId="11" xfId="10" applyFont="1" applyBorder="1" applyAlignment="1">
      <alignment vertical="center" wrapText="1"/>
    </xf>
    <xf numFmtId="49" fontId="57" fillId="8" borderId="17" xfId="10" applyFont="1" applyBorder="1" applyAlignment="1">
      <alignment horizontal="center" vertical="center" wrapText="1"/>
    </xf>
    <xf numFmtId="49" fontId="57" fillId="8" borderId="17" xfId="10" applyFont="1" applyBorder="1">
      <alignment horizontal="left" vertical="center" wrapText="1"/>
    </xf>
    <xf numFmtId="49" fontId="57" fillId="6" borderId="11" xfId="11" applyFont="1" applyBorder="1" applyAlignment="1">
      <alignment horizontal="left" vertical="center" wrapText="1"/>
    </xf>
    <xf numFmtId="164" fontId="57" fillId="6" borderId="11" xfId="9" applyFont="1" applyBorder="1" applyAlignment="1">
      <alignment horizontal="right" vertical="top" wrapText="1"/>
    </xf>
    <xf numFmtId="164" fontId="57" fillId="6" borderId="11" xfId="9" applyFont="1" applyBorder="1" applyAlignment="1">
      <alignment vertical="top" wrapText="1"/>
    </xf>
    <xf numFmtId="164" fontId="60" fillId="19" borderId="11" xfId="3" applyBorder="1" applyAlignment="1">
      <alignment horizontal="right" vertical="center" wrapText="1"/>
    </xf>
    <xf numFmtId="164" fontId="57" fillId="6" borderId="11" xfId="9" applyBorder="1" applyAlignment="1">
      <alignment horizontal="right" vertical="center" wrapText="1"/>
    </xf>
    <xf numFmtId="49" fontId="57" fillId="10" borderId="1" xfId="13" applyBorder="1" applyAlignment="1">
      <alignment horizontal="center" vertical="center" wrapText="1"/>
    </xf>
    <xf numFmtId="49" fontId="26" fillId="8" borderId="1" xfId="10" applyBorder="1" applyAlignment="1">
      <alignment horizontal="center" vertical="center" wrapText="1"/>
    </xf>
    <xf numFmtId="49" fontId="27" fillId="6" borderId="1" xfId="11" applyBorder="1" applyAlignment="1">
      <alignment horizontal="center" vertical="center" wrapText="1"/>
    </xf>
    <xf numFmtId="49" fontId="29" fillId="0" borderId="0" xfId="8" applyNumberFormat="1" applyFont="1" applyAlignment="1">
      <alignment horizontal="center" vertical="center" wrapText="1"/>
    </xf>
    <xf numFmtId="0" fontId="29" fillId="0" borderId="0" xfId="8" applyFont="1" applyAlignment="1">
      <alignment horizontal="center"/>
    </xf>
    <xf numFmtId="164" fontId="57" fillId="6" borderId="1" xfId="9" applyFont="1" applyBorder="1" applyAlignment="1">
      <alignment vertical="center"/>
    </xf>
    <xf numFmtId="164" fontId="57" fillId="16" borderId="1" xfId="9" applyFill="1" applyBorder="1" applyAlignment="1">
      <alignment vertical="center"/>
    </xf>
    <xf numFmtId="49" fontId="26" fillId="8" borderId="1" xfId="10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54" fillId="0" borderId="0" xfId="7" applyFill="1" applyAlignment="1">
      <alignment horizontal="center" vertical="center" wrapText="1"/>
    </xf>
    <xf numFmtId="0" fontId="53" fillId="0" borderId="0" xfId="2" applyFill="1" applyAlignment="1">
      <alignment horizontal="center" vertical="center" wrapText="1"/>
    </xf>
    <xf numFmtId="49" fontId="26" fillId="8" borderId="11" xfId="10" applyBorder="1" applyAlignment="1">
      <alignment horizontal="center" vertical="center" wrapText="1"/>
    </xf>
    <xf numFmtId="49" fontId="57" fillId="6" borderId="1" xfId="11" applyFont="1" applyBorder="1" applyAlignment="1">
      <alignment horizontal="center" vertical="center" wrapText="1"/>
    </xf>
    <xf numFmtId="49" fontId="57" fillId="6" borderId="11" xfId="11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164" fontId="60" fillId="19" borderId="1" xfId="3" applyBorder="1" applyAlignment="1">
      <alignment vertical="center"/>
    </xf>
    <xf numFmtId="164" fontId="57" fillId="6" borderId="41" xfId="9" applyBorder="1" applyAlignment="1">
      <alignment vertical="center"/>
    </xf>
    <xf numFmtId="164" fontId="56" fillId="6" borderId="41" xfId="9" applyFont="1" applyBorder="1" applyAlignment="1">
      <alignment vertical="center"/>
    </xf>
    <xf numFmtId="49" fontId="57" fillId="8" borderId="11" xfId="10" applyFont="1" applyBorder="1">
      <alignment horizontal="left" vertical="center" wrapText="1"/>
    </xf>
    <xf numFmtId="164" fontId="57" fillId="17" borderId="11" xfId="5" applyBorder="1" applyAlignment="1">
      <alignment vertical="center"/>
    </xf>
    <xf numFmtId="164" fontId="57" fillId="6" borderId="42" xfId="9" applyBorder="1" applyAlignment="1">
      <alignment vertical="center"/>
    </xf>
    <xf numFmtId="164" fontId="57" fillId="6" borderId="16" xfId="9" applyBorder="1" applyAlignment="1">
      <alignment vertical="center"/>
    </xf>
    <xf numFmtId="49" fontId="26" fillId="8" borderId="0" xfId="10" applyBorder="1">
      <alignment horizontal="left" vertical="center" wrapText="1"/>
    </xf>
    <xf numFmtId="49" fontId="57" fillId="8" borderId="20" xfId="10" applyFont="1" applyBorder="1">
      <alignment horizontal="left" vertical="center" wrapText="1"/>
    </xf>
    <xf numFmtId="49" fontId="26" fillId="8" borderId="35" xfId="10" applyBorder="1">
      <alignment horizontal="left" vertical="center" wrapText="1"/>
    </xf>
    <xf numFmtId="49" fontId="66" fillId="8" borderId="18" xfId="10" applyFont="1" applyBorder="1">
      <alignment horizontal="left" vertical="center" wrapText="1"/>
    </xf>
    <xf numFmtId="49" fontId="66" fillId="8" borderId="1" xfId="10" applyFont="1" applyBorder="1">
      <alignment horizontal="left" vertical="center" wrapText="1"/>
    </xf>
    <xf numFmtId="49" fontId="66" fillId="6" borderId="17" xfId="11" applyFont="1" applyBorder="1">
      <alignment horizontal="left" vertical="center" wrapText="1"/>
    </xf>
    <xf numFmtId="49" fontId="66" fillId="6" borderId="2" xfId="11" applyFont="1" applyBorder="1">
      <alignment horizontal="left" vertical="center" wrapText="1"/>
    </xf>
    <xf numFmtId="49" fontId="66" fillId="8" borderId="11" xfId="10" applyFont="1" applyBorder="1">
      <alignment horizontal="left" vertical="center" wrapText="1"/>
    </xf>
    <xf numFmtId="49" fontId="66" fillId="8" borderId="32" xfId="10" applyFont="1" applyBorder="1">
      <alignment horizontal="left" vertical="center" wrapText="1"/>
    </xf>
    <xf numFmtId="49" fontId="66" fillId="8" borderId="9" xfId="10" applyFont="1" applyBorder="1">
      <alignment horizontal="left" vertical="center" wrapText="1"/>
    </xf>
    <xf numFmtId="0" fontId="67" fillId="0" borderId="0" xfId="0" applyFont="1"/>
    <xf numFmtId="49" fontId="57" fillId="8" borderId="43" xfId="10" applyFont="1" applyBorder="1">
      <alignment horizontal="left" vertical="center" wrapText="1"/>
    </xf>
    <xf numFmtId="49" fontId="57" fillId="8" borderId="44" xfId="10" applyFont="1" applyBorder="1">
      <alignment horizontal="left" vertical="center" wrapText="1"/>
    </xf>
    <xf numFmtId="49" fontId="57" fillId="8" borderId="33" xfId="10" applyFont="1" applyBorder="1">
      <alignment horizontal="left" vertical="center" wrapText="1"/>
    </xf>
    <xf numFmtId="49" fontId="57" fillId="8" borderId="3" xfId="10" applyFont="1" applyBorder="1">
      <alignment horizontal="left" vertical="center" wrapText="1"/>
    </xf>
    <xf numFmtId="49" fontId="57" fillId="6" borderId="1" xfId="11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164" fontId="61" fillId="15" borderId="1" xfId="9" applyFont="1" applyFill="1" applyBorder="1" applyAlignment="1">
      <alignment vertical="center"/>
    </xf>
    <xf numFmtId="164" fontId="59" fillId="15" borderId="1" xfId="9" applyFont="1" applyFill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32" fillId="0" borderId="0" xfId="0" applyNumberFormat="1" applyFont="1" applyAlignment="1">
      <alignment vertical="center"/>
    </xf>
    <xf numFmtId="39" fontId="32" fillId="0" borderId="0" xfId="14" applyNumberFormat="1" applyFont="1"/>
    <xf numFmtId="164" fontId="69" fillId="0" borderId="0" xfId="8" applyNumberFormat="1" applyFont="1"/>
    <xf numFmtId="49" fontId="58" fillId="0" borderId="0" xfId="12" applyFill="1" applyBorder="1" applyAlignment="1">
      <alignment horizontal="center" vertical="center"/>
    </xf>
    <xf numFmtId="164" fontId="41" fillId="0" borderId="0" xfId="8" applyNumberFormat="1" applyFont="1" applyAlignment="1">
      <alignment horizontal="right" vertical="top" wrapText="1"/>
    </xf>
    <xf numFmtId="49" fontId="66" fillId="6" borderId="17" xfId="11" applyFont="1" applyBorder="1" applyAlignment="1">
      <alignment horizontal="left" vertical="center" wrapText="1"/>
    </xf>
    <xf numFmtId="0" fontId="45" fillId="0" borderId="0" xfId="0" applyFont="1" applyAlignment="1">
      <alignment vertical="center"/>
    </xf>
    <xf numFmtId="164" fontId="15" fillId="17" borderId="1" xfId="5" applyFont="1" applyAlignment="1">
      <alignment vertical="center"/>
    </xf>
    <xf numFmtId="49" fontId="57" fillId="10" borderId="1" xfId="13" applyFont="1" applyBorder="1" applyAlignment="1">
      <alignment horizontal="left" vertical="center" wrapText="1"/>
    </xf>
    <xf numFmtId="0" fontId="32" fillId="0" borderId="0" xfId="0" applyFont="1" applyFill="1"/>
    <xf numFmtId="0" fontId="30" fillId="0" borderId="0" xfId="0" applyFont="1" applyFill="1"/>
    <xf numFmtId="165" fontId="60" fillId="19" borderId="1" xfId="3" applyNumberFormat="1" applyBorder="1" applyAlignment="1">
      <alignment horizontal="right" vertical="center" wrapText="1"/>
    </xf>
    <xf numFmtId="3" fontId="57" fillId="6" borderId="1" xfId="9" applyNumberFormat="1" applyBorder="1" applyAlignment="1">
      <alignment horizontal="right" vertical="center" wrapText="1"/>
    </xf>
    <xf numFmtId="165" fontId="57" fillId="16" borderId="1" xfId="9" applyNumberFormat="1" applyFill="1" applyBorder="1" applyAlignment="1">
      <alignment horizontal="right" vertical="center" wrapText="1"/>
    </xf>
    <xf numFmtId="165" fontId="57" fillId="17" borderId="1" xfId="5" applyNumberFormat="1" applyAlignment="1">
      <alignment horizontal="right" vertical="center" wrapText="1"/>
    </xf>
    <xf numFmtId="49" fontId="57" fillId="6" borderId="13" xfId="11" applyFont="1" applyBorder="1" applyAlignment="1">
      <alignment horizontal="center" vertical="center" wrapText="1"/>
    </xf>
    <xf numFmtId="49" fontId="57" fillId="6" borderId="2" xfId="11" applyFont="1" applyBorder="1">
      <alignment horizontal="left" vertical="center" wrapText="1"/>
    </xf>
    <xf numFmtId="165" fontId="57" fillId="6" borderId="2" xfId="9" applyNumberFormat="1" applyFont="1" applyBorder="1" applyAlignment="1">
      <alignment horizontal="right" vertical="center" wrapText="1"/>
    </xf>
    <xf numFmtId="164" fontId="57" fillId="6" borderId="2" xfId="9" applyFont="1" applyBorder="1" applyAlignment="1">
      <alignment horizontal="right" vertical="center" wrapText="1"/>
    </xf>
    <xf numFmtId="165" fontId="57" fillId="6" borderId="1" xfId="9" applyNumberFormat="1" applyFont="1" applyBorder="1" applyAlignment="1">
      <alignment horizontal="right" vertical="center" wrapText="1"/>
    </xf>
    <xf numFmtId="164" fontId="40" fillId="0" borderId="0" xfId="8" applyNumberFormat="1" applyFont="1" applyAlignment="1">
      <alignment horizontal="right" vertical="top" wrapText="1"/>
    </xf>
    <xf numFmtId="164" fontId="57" fillId="0" borderId="0" xfId="4" applyNumberFormat="1" applyFill="1" applyBorder="1" applyAlignment="1">
      <alignment horizontal="right" vertical="top" wrapText="1"/>
    </xf>
    <xf numFmtId="164" fontId="29" fillId="0" borderId="0" xfId="0" applyNumberFormat="1" applyFont="1"/>
    <xf numFmtId="49" fontId="57" fillId="10" borderId="1" xfId="13" applyFont="1" applyBorder="1" applyAlignment="1">
      <alignment horizontal="center" vertical="center" wrapText="1"/>
    </xf>
    <xf numFmtId="49" fontId="26" fillId="8" borderId="1" xfId="10" applyBorder="1">
      <alignment horizontal="left" vertical="center" wrapText="1"/>
    </xf>
    <xf numFmtId="49" fontId="27" fillId="6" borderId="1" xfId="11" applyBorder="1">
      <alignment horizontal="left" vertical="center" wrapText="1"/>
    </xf>
    <xf numFmtId="49" fontId="26" fillId="8" borderId="1" xfId="10" applyBorder="1" applyAlignment="1">
      <alignment horizontal="center" vertical="center" wrapText="1"/>
    </xf>
    <xf numFmtId="49" fontId="57" fillId="8" borderId="1" xfId="10" applyFont="1" applyBorder="1">
      <alignment horizontal="left" vertical="center" wrapText="1"/>
    </xf>
    <xf numFmtId="49" fontId="26" fillId="8" borderId="49" xfId="10" applyBorder="1">
      <alignment horizontal="left" vertical="center" wrapText="1"/>
    </xf>
    <xf numFmtId="49" fontId="63" fillId="9" borderId="17" xfId="12" applyFont="1" applyBorder="1" applyAlignment="1">
      <alignment horizontal="center" vertical="center"/>
    </xf>
    <xf numFmtId="49" fontId="26" fillId="8" borderId="52" xfId="10" applyBorder="1">
      <alignment horizontal="left" vertical="center" wrapText="1"/>
    </xf>
    <xf numFmtId="49" fontId="26" fillId="8" borderId="53" xfId="10" applyBorder="1">
      <alignment horizontal="left" vertical="center" wrapText="1"/>
    </xf>
    <xf numFmtId="49" fontId="26" fillId="8" borderId="47" xfId="10" applyBorder="1">
      <alignment horizontal="left" vertical="center" wrapText="1"/>
    </xf>
    <xf numFmtId="49" fontId="26" fillId="8" borderId="47" xfId="10" applyBorder="1" applyAlignment="1">
      <alignment horizontal="left" vertical="center" wrapText="1"/>
    </xf>
    <xf numFmtId="0" fontId="52" fillId="0" borderId="0" xfId="0" applyFont="1"/>
    <xf numFmtId="49" fontId="17" fillId="8" borderId="49" xfId="10" applyFont="1" applyBorder="1">
      <alignment horizontal="left" vertical="center" wrapText="1"/>
    </xf>
    <xf numFmtId="49" fontId="64" fillId="9" borderId="17" xfId="12" applyFont="1" applyBorder="1">
      <alignment horizontal="center" vertical="center"/>
    </xf>
    <xf numFmtId="164" fontId="64" fillId="17" borderId="39" xfId="5" applyFont="1" applyBorder="1" applyAlignment="1">
      <alignment vertical="center"/>
    </xf>
    <xf numFmtId="164" fontId="64" fillId="17" borderId="3" xfId="5" applyFont="1" applyBorder="1" applyAlignment="1">
      <alignment vertical="center"/>
    </xf>
    <xf numFmtId="164" fontId="55" fillId="19" borderId="3" xfId="3" applyFont="1" applyBorder="1" applyAlignment="1">
      <alignment vertical="center"/>
    </xf>
    <xf numFmtId="164" fontId="64" fillId="6" borderId="3" xfId="9" applyFont="1" applyBorder="1" applyAlignment="1">
      <alignment vertical="center"/>
    </xf>
    <xf numFmtId="164" fontId="64" fillId="16" borderId="3" xfId="9" applyFont="1" applyFill="1" applyBorder="1" applyAlignment="1">
      <alignment vertical="center"/>
    </xf>
    <xf numFmtId="49" fontId="57" fillId="21" borderId="1" xfId="10" applyFont="1" applyFill="1" applyBorder="1">
      <alignment horizontal="left" vertical="center" wrapText="1"/>
    </xf>
    <xf numFmtId="49" fontId="57" fillId="21" borderId="49" xfId="10" applyFont="1" applyFill="1" applyBorder="1">
      <alignment horizontal="left" vertical="center" wrapText="1"/>
    </xf>
    <xf numFmtId="164" fontId="55" fillId="21" borderId="3" xfId="3" applyFont="1" applyFill="1" applyBorder="1" applyAlignment="1">
      <alignment vertical="center"/>
    </xf>
    <xf numFmtId="164" fontId="57" fillId="16" borderId="46" xfId="9" applyFill="1" applyBorder="1" applyAlignment="1">
      <alignment vertical="center"/>
    </xf>
    <xf numFmtId="164" fontId="57" fillId="16" borderId="54" xfId="9" applyFill="1" applyBorder="1" applyAlignment="1">
      <alignment vertical="center"/>
    </xf>
    <xf numFmtId="164" fontId="64" fillId="19" borderId="5" xfId="3" applyFont="1" applyAlignment="1">
      <alignment horizontal="right" vertical="center" wrapText="1"/>
    </xf>
    <xf numFmtId="49" fontId="64" fillId="8" borderId="17" xfId="10" applyFont="1" applyBorder="1" applyAlignment="1">
      <alignment horizontal="center" vertical="center" wrapText="1"/>
    </xf>
    <xf numFmtId="49" fontId="64" fillId="8" borderId="15" xfId="10" applyFont="1" applyBorder="1" applyAlignment="1">
      <alignment horizontal="center" vertical="center" wrapText="1"/>
    </xf>
    <xf numFmtId="49" fontId="64" fillId="8" borderId="45" xfId="10" applyFont="1" applyBorder="1">
      <alignment horizontal="left" vertical="center" wrapText="1"/>
    </xf>
    <xf numFmtId="49" fontId="64" fillId="8" borderId="26" xfId="10" applyFont="1" applyBorder="1" applyAlignment="1">
      <alignment horizontal="center" vertical="center" wrapText="1"/>
    </xf>
    <xf numFmtId="49" fontId="55" fillId="8" borderId="33" xfId="10" applyFont="1" applyBorder="1">
      <alignment horizontal="left" vertical="center" wrapText="1"/>
    </xf>
    <xf numFmtId="164" fontId="55" fillId="19" borderId="19" xfId="3" applyFont="1" applyBorder="1"/>
    <xf numFmtId="164" fontId="55" fillId="19" borderId="5" xfId="3" applyFont="1" applyBorder="1"/>
    <xf numFmtId="164" fontId="64" fillId="6" borderId="17" xfId="9" applyFont="1" applyBorder="1"/>
    <xf numFmtId="164" fontId="64" fillId="6" borderId="17" xfId="9" applyFont="1" applyBorder="1" applyAlignment="1">
      <alignment vertical="center"/>
    </xf>
    <xf numFmtId="164" fontId="55" fillId="19" borderId="16" xfId="3" applyFont="1" applyBorder="1"/>
    <xf numFmtId="164" fontId="64" fillId="16" borderId="1" xfId="9" applyFont="1" applyFill="1" applyBorder="1"/>
    <xf numFmtId="49" fontId="55" fillId="8" borderId="3" xfId="10" applyFont="1" applyBorder="1">
      <alignment horizontal="left" vertical="center" wrapText="1"/>
    </xf>
    <xf numFmtId="164" fontId="55" fillId="19" borderId="1" xfId="3" applyFont="1" applyBorder="1"/>
    <xf numFmtId="164" fontId="64" fillId="6" borderId="1" xfId="9" applyFont="1" applyBorder="1"/>
    <xf numFmtId="164" fontId="64" fillId="22" borderId="1" xfId="9" applyFont="1" applyFill="1" applyBorder="1"/>
    <xf numFmtId="49" fontId="55" fillId="8" borderId="32" xfId="10" applyFont="1" applyBorder="1">
      <alignment horizontal="left" vertical="center" wrapText="1"/>
    </xf>
    <xf numFmtId="164" fontId="64" fillId="6" borderId="15" xfId="9" applyFont="1" applyBorder="1" applyAlignment="1">
      <alignment vertical="center"/>
    </xf>
    <xf numFmtId="49" fontId="55" fillId="8" borderId="9" xfId="10" applyFont="1" applyBorder="1">
      <alignment horizontal="left" vertical="center" wrapText="1"/>
    </xf>
    <xf numFmtId="164" fontId="64" fillId="23" borderId="1" xfId="9" applyFont="1" applyFill="1" applyBorder="1" applyAlignment="1">
      <alignment horizontal="right" vertical="center" wrapText="1"/>
    </xf>
    <xf numFmtId="164" fontId="55" fillId="23" borderId="1" xfId="3" applyFont="1" applyFill="1" applyBorder="1"/>
    <xf numFmtId="164" fontId="64" fillId="23" borderId="1" xfId="9" applyFont="1" applyFill="1" applyBorder="1"/>
    <xf numFmtId="164" fontId="55" fillId="19" borderId="1" xfId="3" applyFont="1" applyBorder="1" applyAlignment="1">
      <alignment vertical="center"/>
    </xf>
    <xf numFmtId="164" fontId="64" fillId="0" borderId="0" xfId="9" applyFont="1" applyFill="1" applyBorder="1"/>
    <xf numFmtId="164" fontId="64" fillId="23" borderId="1" xfId="9" applyFont="1" applyFill="1" applyBorder="1" applyAlignment="1">
      <alignment horizontal="left" vertical="center" wrapText="1"/>
    </xf>
    <xf numFmtId="164" fontId="64" fillId="22" borderId="1" xfId="9" applyFont="1" applyFill="1" applyBorder="1" applyAlignment="1">
      <alignment horizontal="right" vertical="center" wrapText="1"/>
    </xf>
    <xf numFmtId="49" fontId="13" fillId="8" borderId="49" xfId="10" applyFont="1" applyBorder="1" applyAlignment="1">
      <alignment horizontal="left" vertical="center" wrapText="1"/>
    </xf>
    <xf numFmtId="49" fontId="57" fillId="10" borderId="49" xfId="13" applyFont="1" applyBorder="1" applyAlignment="1">
      <alignment horizontal="left" vertical="center" wrapText="1"/>
    </xf>
    <xf numFmtId="0" fontId="32" fillId="0" borderId="0" xfId="8" applyBorder="1"/>
    <xf numFmtId="0" fontId="45" fillId="0" borderId="0" xfId="0" applyFont="1" applyFill="1"/>
    <xf numFmtId="0" fontId="50" fillId="0" borderId="0" xfId="0" applyFont="1" applyAlignment="1"/>
    <xf numFmtId="49" fontId="57" fillId="6" borderId="49" xfId="11" applyFont="1" applyBorder="1" applyAlignment="1">
      <alignment horizontal="left" vertical="center" wrapText="1"/>
    </xf>
    <xf numFmtId="49" fontId="10" fillId="8" borderId="15" xfId="10" applyFont="1" applyBorder="1" applyAlignment="1">
      <alignment horizontal="center" vertical="center" wrapText="1"/>
    </xf>
    <xf numFmtId="164" fontId="10" fillId="8" borderId="17" xfId="10" applyNumberFormat="1" applyFont="1" applyBorder="1" applyAlignment="1">
      <alignment horizontal="center" vertical="center" wrapText="1"/>
    </xf>
    <xf numFmtId="164" fontId="58" fillId="0" borderId="9" xfId="12" applyNumberFormat="1" applyFont="1" applyFill="1" applyBorder="1" applyAlignment="1">
      <alignment horizontal="center" vertical="center"/>
    </xf>
    <xf numFmtId="164" fontId="63" fillId="15" borderId="3" xfId="9" applyNumberFormat="1" applyFont="1" applyFill="1" applyBorder="1" applyAlignment="1">
      <alignment vertical="center"/>
    </xf>
    <xf numFmtId="49" fontId="57" fillId="10" borderId="1" xfId="13" applyBorder="1" applyAlignment="1">
      <alignment horizontal="center" vertical="center" wrapText="1"/>
    </xf>
    <xf numFmtId="49" fontId="26" fillId="8" borderId="10" xfId="10" applyBorder="1" applyAlignment="1">
      <alignment horizontal="center" vertical="center" wrapText="1"/>
    </xf>
    <xf numFmtId="49" fontId="26" fillId="8" borderId="10" xfId="10" applyBorder="1" applyAlignment="1">
      <alignment vertical="center" wrapText="1"/>
    </xf>
    <xf numFmtId="49" fontId="57" fillId="10" borderId="1" xfId="13" applyBorder="1" applyAlignment="1">
      <alignment vertical="center" wrapText="1"/>
    </xf>
    <xf numFmtId="164" fontId="29" fillId="0" borderId="0" xfId="8" applyNumberFormat="1" applyFont="1"/>
    <xf numFmtId="164" fontId="57" fillId="6" borderId="5" xfId="9" applyAlignment="1">
      <alignment horizontal="right" vertical="center" wrapText="1"/>
    </xf>
    <xf numFmtId="164" fontId="63" fillId="9" borderId="26" xfId="12" applyNumberFormat="1" applyFont="1" applyBorder="1" applyAlignment="1">
      <alignment horizontal="center" vertical="center" wrapText="1"/>
    </xf>
    <xf numFmtId="164" fontId="58" fillId="17" borderId="39" xfId="5" applyNumberFormat="1" applyFont="1" applyBorder="1" applyAlignment="1">
      <alignment vertical="center"/>
    </xf>
    <xf numFmtId="164" fontId="58" fillId="17" borderId="3" xfId="5" applyNumberFormat="1" applyFont="1" applyBorder="1" applyAlignment="1">
      <alignment vertical="center"/>
    </xf>
    <xf numFmtId="164" fontId="59" fillId="17" borderId="1" xfId="5" applyFont="1" applyAlignment="1">
      <alignment vertical="center"/>
    </xf>
    <xf numFmtId="164" fontId="63" fillId="6" borderId="3" xfId="9" applyNumberFormat="1" applyFont="1" applyBorder="1" applyAlignment="1">
      <alignment vertical="center"/>
    </xf>
    <xf numFmtId="164" fontId="59" fillId="6" borderId="1" xfId="9" applyFont="1" applyBorder="1" applyAlignment="1">
      <alignment vertical="center"/>
    </xf>
    <xf numFmtId="164" fontId="58" fillId="19" borderId="3" xfId="3" applyNumberFormat="1" applyFont="1" applyBorder="1" applyAlignment="1">
      <alignment vertical="center"/>
    </xf>
    <xf numFmtId="164" fontId="70" fillId="19" borderId="1" xfId="3" applyFont="1" applyBorder="1" applyAlignment="1">
      <alignment vertical="center"/>
    </xf>
    <xf numFmtId="164" fontId="63" fillId="17" borderId="3" xfId="5" applyNumberFormat="1" applyFont="1" applyBorder="1" applyAlignment="1">
      <alignment vertical="center"/>
    </xf>
    <xf numFmtId="164" fontId="63" fillId="16" borderId="3" xfId="9" applyNumberFormat="1" applyFont="1" applyFill="1" applyBorder="1" applyAlignment="1">
      <alignment vertical="center"/>
    </xf>
    <xf numFmtId="164" fontId="59" fillId="16" borderId="1" xfId="9" applyFont="1" applyFill="1" applyBorder="1" applyAlignment="1">
      <alignment vertical="center"/>
    </xf>
    <xf numFmtId="164" fontId="30" fillId="0" borderId="0" xfId="0" applyNumberFormat="1" applyFont="1" applyAlignment="1">
      <alignment vertical="center"/>
    </xf>
    <xf numFmtId="164" fontId="35" fillId="0" borderId="0" xfId="0" applyNumberFormat="1" applyFont="1" applyAlignment="1">
      <alignment vertical="center"/>
    </xf>
    <xf numFmtId="164" fontId="58" fillId="19" borderId="39" xfId="3" applyNumberFormat="1" applyFont="1" applyBorder="1" applyAlignment="1">
      <alignment vertical="center"/>
    </xf>
    <xf numFmtId="164" fontId="71" fillId="17" borderId="3" xfId="5" applyFont="1" applyBorder="1" applyAlignment="1">
      <alignment vertical="center"/>
    </xf>
    <xf numFmtId="164" fontId="59" fillId="6" borderId="3" xfId="9" applyFont="1" applyBorder="1" applyAlignment="1">
      <alignment vertical="center"/>
    </xf>
    <xf numFmtId="164" fontId="59" fillId="6" borderId="3" xfId="5" applyFont="1" applyFill="1" applyBorder="1" applyAlignment="1">
      <alignment vertical="center"/>
    </xf>
    <xf numFmtId="164" fontId="59" fillId="6" borderId="1" xfId="5" applyFont="1" applyFill="1" applyAlignment="1">
      <alignment vertical="center"/>
    </xf>
    <xf numFmtId="164" fontId="59" fillId="16" borderId="3" xfId="9" applyFont="1" applyFill="1" applyBorder="1" applyAlignment="1">
      <alignment vertical="center"/>
    </xf>
    <xf numFmtId="3" fontId="30" fillId="0" borderId="0" xfId="0" applyNumberFormat="1" applyFont="1"/>
    <xf numFmtId="0" fontId="36" fillId="0" borderId="0" xfId="8" applyFont="1" applyAlignment="1">
      <alignment vertical="center"/>
    </xf>
    <xf numFmtId="0" fontId="32" fillId="0" borderId="0" xfId="8" applyAlignment="1">
      <alignment vertical="center"/>
    </xf>
    <xf numFmtId="0" fontId="29" fillId="0" borderId="0" xfId="8" applyFont="1" applyAlignment="1">
      <alignment wrapText="1"/>
    </xf>
    <xf numFmtId="164" fontId="35" fillId="0" borderId="0" xfId="8" applyNumberFormat="1" applyFont="1"/>
    <xf numFmtId="49" fontId="59" fillId="8" borderId="1" xfId="10" applyFont="1" applyBorder="1">
      <alignment horizontal="left" vertical="center" wrapText="1"/>
    </xf>
    <xf numFmtId="49" fontId="59" fillId="8" borderId="1" xfId="10" applyFont="1" applyBorder="1" applyAlignment="1">
      <alignment horizontal="center" vertical="center" wrapText="1"/>
    </xf>
    <xf numFmtId="49" fontId="30" fillId="0" borderId="0" xfId="8" applyNumberFormat="1" applyFont="1" applyAlignment="1">
      <alignment horizontal="center" vertical="center" wrapText="1"/>
    </xf>
    <xf numFmtId="49" fontId="59" fillId="8" borderId="1" xfId="10" applyFont="1" applyBorder="1" applyAlignment="1">
      <alignment horizontal="left" vertical="center" wrapText="1"/>
    </xf>
    <xf numFmtId="49" fontId="59" fillId="8" borderId="7" xfId="10" applyFont="1" applyAlignment="1">
      <alignment horizontal="center" vertical="center" wrapText="1"/>
    </xf>
    <xf numFmtId="164" fontId="9" fillId="19" borderId="5" xfId="3" applyFont="1"/>
    <xf numFmtId="164" fontId="9" fillId="19" borderId="5" xfId="3" applyFont="1" applyAlignment="1">
      <alignment horizontal="right"/>
    </xf>
    <xf numFmtId="164" fontId="58" fillId="19" borderId="1" xfId="3" applyFont="1" applyBorder="1" applyAlignment="1">
      <alignment vertical="center"/>
    </xf>
    <xf numFmtId="49" fontId="63" fillId="9" borderId="1" xfId="12" applyFont="1">
      <alignment horizontal="center" vertical="center"/>
    </xf>
    <xf numFmtId="49" fontId="15" fillId="8" borderId="1" xfId="10" applyFont="1" applyBorder="1">
      <alignment horizontal="left" vertical="center" wrapText="1"/>
    </xf>
    <xf numFmtId="49" fontId="26" fillId="8" borderId="49" xfId="10" applyBorder="1">
      <alignment horizontal="left" vertical="center" wrapText="1"/>
    </xf>
    <xf numFmtId="49" fontId="26" fillId="8" borderId="1" xfId="10" applyBorder="1">
      <alignment horizontal="left" vertical="center" wrapText="1"/>
    </xf>
    <xf numFmtId="49" fontId="57" fillId="6" borderId="1" xfId="11" applyFont="1" applyBorder="1">
      <alignment horizontal="left" vertical="center" wrapText="1"/>
    </xf>
    <xf numFmtId="49" fontId="57" fillId="6" borderId="49" xfId="11" applyFont="1" applyBorder="1">
      <alignment horizontal="left" vertical="center" wrapText="1"/>
    </xf>
    <xf numFmtId="49" fontId="63" fillId="9" borderId="17" xfId="12" applyFont="1" applyBorder="1">
      <alignment horizontal="center" vertical="center"/>
    </xf>
    <xf numFmtId="49" fontId="27" fillId="6" borderId="1" xfId="11" applyBorder="1">
      <alignment horizontal="left" vertical="center" wrapText="1"/>
    </xf>
    <xf numFmtId="49" fontId="57" fillId="10" borderId="1" xfId="13" applyFont="1" applyBorder="1">
      <alignment horizontal="left" vertical="center" wrapText="1"/>
    </xf>
    <xf numFmtId="49" fontId="57" fillId="6" borderId="1" xfId="11" applyFont="1" applyBorder="1" applyAlignment="1">
      <alignment horizontal="center" vertical="center" wrapText="1"/>
    </xf>
    <xf numFmtId="49" fontId="63" fillId="9" borderId="4" xfId="12" applyFont="1" applyBorder="1">
      <alignment horizontal="center" vertical="center"/>
    </xf>
    <xf numFmtId="49" fontId="57" fillId="10" borderId="1" xfId="13" applyBorder="1">
      <alignment horizontal="left" vertical="center" wrapText="1"/>
    </xf>
    <xf numFmtId="49" fontId="57" fillId="10" borderId="49" xfId="13" applyBorder="1">
      <alignment horizontal="left" vertical="center" wrapText="1"/>
    </xf>
    <xf numFmtId="49" fontId="13" fillId="8" borderId="1" xfId="10" applyFont="1" applyBorder="1">
      <alignment horizontal="left" vertical="center" wrapText="1"/>
    </xf>
    <xf numFmtId="49" fontId="26" fillId="8" borderId="11" xfId="10" applyBorder="1">
      <alignment horizontal="left" vertical="center" wrapText="1"/>
    </xf>
    <xf numFmtId="49" fontId="26" fillId="8" borderId="51" xfId="10" applyBorder="1">
      <alignment horizontal="left" vertical="center" wrapText="1"/>
    </xf>
    <xf numFmtId="49" fontId="63" fillId="9" borderId="1" xfId="12" applyFont="1" applyAlignment="1">
      <alignment horizontal="center" vertical="center" wrapText="1"/>
    </xf>
    <xf numFmtId="49" fontId="57" fillId="8" borderId="1" xfId="10" applyFont="1" applyBorder="1" applyAlignment="1">
      <alignment horizontal="center" vertical="center" wrapText="1"/>
    </xf>
    <xf numFmtId="49" fontId="26" fillId="8" borderId="4" xfId="10" applyBorder="1">
      <alignment horizontal="left" vertical="center" wrapText="1"/>
    </xf>
    <xf numFmtId="0" fontId="75" fillId="0" borderId="0" xfId="0" applyFont="1"/>
    <xf numFmtId="0" fontId="32" fillId="0" borderId="0" xfId="8" applyProtection="1"/>
    <xf numFmtId="49" fontId="58" fillId="0" borderId="0" xfId="12" applyFill="1" applyBorder="1" applyAlignment="1" applyProtection="1">
      <alignment horizontal="center" vertical="center"/>
    </xf>
    <xf numFmtId="49" fontId="58" fillId="0" borderId="0" xfId="12" applyFont="1" applyFill="1" applyBorder="1" applyAlignment="1" applyProtection="1">
      <alignment horizontal="center" vertical="center" wrapText="1"/>
    </xf>
    <xf numFmtId="49" fontId="63" fillId="9" borderId="1" xfId="12" applyFont="1" applyAlignment="1" applyProtection="1">
      <alignment horizontal="center" vertical="center"/>
    </xf>
    <xf numFmtId="49" fontId="63" fillId="9" borderId="1" xfId="12" applyFont="1" applyAlignment="1" applyProtection="1">
      <alignment horizontal="center" vertical="center" wrapText="1"/>
    </xf>
    <xf numFmtId="49" fontId="26" fillId="8" borderId="1" xfId="10" applyBorder="1" applyAlignment="1" applyProtection="1">
      <alignment horizontal="left" vertical="center" wrapText="1"/>
    </xf>
    <xf numFmtId="164" fontId="72" fillId="19" borderId="1" xfId="3" applyFont="1" applyBorder="1" applyAlignment="1" applyProtection="1">
      <alignment vertical="center"/>
    </xf>
    <xf numFmtId="49" fontId="57" fillId="6" borderId="1" xfId="11" applyFont="1" applyBorder="1" applyAlignment="1" applyProtection="1">
      <alignment horizontal="left" vertical="center" wrapText="1"/>
    </xf>
    <xf numFmtId="164" fontId="63" fillId="6" borderId="1" xfId="9" applyFont="1" applyBorder="1" applyAlignment="1" applyProtection="1">
      <alignment vertical="center"/>
    </xf>
    <xf numFmtId="164" fontId="59" fillId="6" borderId="1" xfId="9" applyFont="1" applyBorder="1" applyAlignment="1" applyProtection="1">
      <alignment vertical="center"/>
    </xf>
    <xf numFmtId="0" fontId="29" fillId="0" borderId="0" xfId="8" applyFont="1" applyProtection="1"/>
    <xf numFmtId="49" fontId="12" fillId="8" borderId="1" xfId="10" applyFont="1" applyBorder="1" applyAlignment="1" applyProtection="1">
      <alignment horizontal="left" vertical="center" wrapText="1"/>
    </xf>
    <xf numFmtId="164" fontId="63" fillId="16" borderId="1" xfId="9" applyFont="1" applyFill="1" applyBorder="1" applyAlignment="1" applyProtection="1">
      <alignment vertical="center"/>
    </xf>
    <xf numFmtId="164" fontId="59" fillId="16" borderId="1" xfId="9" applyFont="1" applyFill="1" applyBorder="1" applyAlignment="1" applyProtection="1">
      <alignment vertical="center"/>
    </xf>
    <xf numFmtId="49" fontId="57" fillId="0" borderId="0" xfId="13" applyFill="1" applyBorder="1" applyAlignment="1" applyProtection="1">
      <alignment horizontal="left" vertical="center" wrapText="1"/>
    </xf>
    <xf numFmtId="164" fontId="63" fillId="0" borderId="0" xfId="9" applyFont="1" applyFill="1" applyBorder="1" applyAlignment="1" applyProtection="1">
      <alignment vertical="center"/>
    </xf>
    <xf numFmtId="164" fontId="73" fillId="0" borderId="0" xfId="9" applyFont="1" applyFill="1" applyBorder="1" applyAlignment="1" applyProtection="1">
      <alignment vertical="center"/>
    </xf>
    <xf numFmtId="164" fontId="74" fillId="0" borderId="0" xfId="9" applyFont="1" applyFill="1" applyBorder="1" applyAlignment="1" applyProtection="1">
      <alignment vertical="center"/>
    </xf>
    <xf numFmtId="164" fontId="74" fillId="0" borderId="28" xfId="9" applyFont="1" applyFill="1" applyBorder="1" applyAlignment="1" applyProtection="1">
      <alignment vertical="center"/>
    </xf>
    <xf numFmtId="0" fontId="32" fillId="0" borderId="0" xfId="8" applyFont="1" applyProtection="1"/>
    <xf numFmtId="49" fontId="17" fillId="8" borderId="1" xfId="10" applyFont="1" applyBorder="1" applyAlignment="1" applyProtection="1">
      <alignment horizontal="left" vertical="center" wrapText="1"/>
    </xf>
    <xf numFmtId="49" fontId="21" fillId="8" borderId="1" xfId="10" applyFont="1" applyBorder="1" applyAlignment="1" applyProtection="1">
      <alignment horizontal="left" vertical="center" wrapText="1"/>
    </xf>
    <xf numFmtId="49" fontId="59" fillId="0" borderId="0" xfId="13" applyFont="1" applyFill="1" applyBorder="1" applyAlignment="1" applyProtection="1">
      <alignment horizontal="left" vertical="center" wrapText="1"/>
    </xf>
    <xf numFmtId="49" fontId="63" fillId="9" borderId="1" xfId="12" applyFont="1">
      <alignment horizontal="center" vertical="center"/>
    </xf>
    <xf numFmtId="164" fontId="72" fillId="19" borderId="1" xfId="3" applyFont="1" applyBorder="1" applyAlignment="1" applyProtection="1">
      <alignment vertical="center"/>
    </xf>
    <xf numFmtId="49" fontId="57" fillId="6" borderId="1" xfId="11" applyFont="1" applyBorder="1" applyAlignment="1">
      <alignment horizontal="center" vertical="center" wrapText="1"/>
    </xf>
    <xf numFmtId="49" fontId="57" fillId="8" borderId="1" xfId="10" applyFont="1" applyBorder="1" applyAlignment="1">
      <alignment horizontal="center" vertical="center" wrapText="1"/>
    </xf>
    <xf numFmtId="164" fontId="55" fillId="19" borderId="1" xfId="3" applyFont="1" applyBorder="1" applyAlignment="1">
      <alignment horizontal="right" vertical="center" wrapText="1"/>
    </xf>
    <xf numFmtId="49" fontId="57" fillId="8" borderId="51" xfId="10" applyFont="1" applyBorder="1">
      <alignment horizontal="left" vertical="center" wrapText="1"/>
    </xf>
    <xf numFmtId="49" fontId="57" fillId="8" borderId="49" xfId="10" applyFont="1" applyBorder="1">
      <alignment horizontal="left" vertical="center" wrapText="1"/>
    </xf>
    <xf numFmtId="165" fontId="55" fillId="19" borderId="1" xfId="3" applyNumberFormat="1" applyFont="1" applyBorder="1" applyAlignment="1">
      <alignment horizontal="right" vertical="center" wrapText="1"/>
    </xf>
    <xf numFmtId="164" fontId="55" fillId="19" borderId="1" xfId="3" applyFont="1" applyBorder="1" applyAlignment="1">
      <alignment horizontal="right" vertical="center"/>
    </xf>
    <xf numFmtId="164" fontId="64" fillId="17" borderId="1" xfId="5" applyFont="1" applyAlignment="1">
      <alignment horizontal="right" vertical="center"/>
    </xf>
    <xf numFmtId="165" fontId="55" fillId="19" borderId="1" xfId="3" applyNumberFormat="1" applyFont="1" applyBorder="1" applyAlignment="1">
      <alignment horizontal="center" vertical="center" wrapText="1"/>
    </xf>
    <xf numFmtId="164" fontId="55" fillId="19" borderId="1" xfId="3" applyFont="1" applyBorder="1" applyAlignment="1">
      <alignment horizontal="right" vertical="top" wrapText="1"/>
    </xf>
    <xf numFmtId="165" fontId="55" fillId="19" borderId="5" xfId="3" applyNumberFormat="1" applyFont="1" applyAlignment="1">
      <alignment horizontal="center" vertical="top" wrapText="1"/>
    </xf>
    <xf numFmtId="164" fontId="55" fillId="19" borderId="5" xfId="3" applyFont="1" applyAlignment="1">
      <alignment horizontal="right" vertical="top" wrapText="1"/>
    </xf>
    <xf numFmtId="165" fontId="64" fillId="6" borderId="5" xfId="9" applyNumberFormat="1" applyFont="1" applyAlignment="1">
      <alignment horizontal="center" vertical="top" wrapText="1"/>
    </xf>
    <xf numFmtId="164" fontId="64" fillId="6" borderId="5" xfId="9" applyFont="1" applyAlignment="1">
      <alignment horizontal="right" vertical="top" wrapText="1"/>
    </xf>
    <xf numFmtId="165" fontId="55" fillId="19" borderId="5" xfId="3" applyNumberFormat="1" applyFont="1" applyAlignment="1">
      <alignment horizontal="right" vertical="top" wrapText="1"/>
    </xf>
    <xf numFmtId="165" fontId="64" fillId="16" borderId="5" xfId="9" applyNumberFormat="1" applyFont="1" applyFill="1" applyAlignment="1">
      <alignment horizontal="center" vertical="top" wrapText="1"/>
    </xf>
    <xf numFmtId="164" fontId="64" fillId="16" borderId="5" xfId="9" applyFont="1" applyFill="1" applyAlignment="1">
      <alignment horizontal="right" vertical="top" wrapText="1"/>
    </xf>
    <xf numFmtId="165" fontId="55" fillId="19" borderId="1" xfId="3" applyNumberFormat="1" applyFont="1" applyBorder="1" applyAlignment="1">
      <alignment horizontal="center" vertical="top" wrapText="1"/>
    </xf>
    <xf numFmtId="165" fontId="64" fillId="6" borderId="1" xfId="9" applyNumberFormat="1" applyFont="1" applyBorder="1" applyAlignment="1">
      <alignment horizontal="center" vertical="top" wrapText="1"/>
    </xf>
    <xf numFmtId="164" fontId="64" fillId="6" borderId="1" xfId="9" applyFont="1" applyBorder="1" applyAlignment="1">
      <alignment horizontal="right" vertical="top" wrapText="1"/>
    </xf>
    <xf numFmtId="165" fontId="64" fillId="16" borderId="1" xfId="9" applyNumberFormat="1" applyFont="1" applyFill="1" applyBorder="1" applyAlignment="1">
      <alignment horizontal="center" vertical="top" wrapText="1"/>
    </xf>
    <xf numFmtId="164" fontId="64" fillId="16" borderId="1" xfId="9" applyFont="1" applyFill="1" applyBorder="1" applyAlignment="1">
      <alignment horizontal="right" vertical="top" wrapText="1"/>
    </xf>
    <xf numFmtId="165" fontId="64" fillId="17" borderId="1" xfId="5" applyNumberFormat="1" applyFont="1" applyAlignment="1">
      <alignment horizontal="center" vertical="top" wrapText="1"/>
    </xf>
    <xf numFmtId="164" fontId="64" fillId="17" borderId="1" xfId="5" applyFont="1" applyAlignment="1">
      <alignment horizontal="right" vertical="top" wrapText="1"/>
    </xf>
    <xf numFmtId="164" fontId="8" fillId="17" borderId="1" xfId="5" applyFont="1" applyAlignment="1">
      <alignment horizontal="right" vertical="top" wrapText="1"/>
    </xf>
    <xf numFmtId="0" fontId="32" fillId="0" borderId="0" xfId="8" applyFont="1"/>
    <xf numFmtId="49" fontId="57" fillId="8" borderId="4" xfId="10" applyFont="1" applyBorder="1" applyAlignment="1">
      <alignment horizontal="center" vertical="center" wrapText="1"/>
    </xf>
    <xf numFmtId="49" fontId="57" fillId="6" borderId="7" xfId="11" applyFont="1" applyAlignment="1">
      <alignment horizontal="center" vertical="center" wrapText="1"/>
    </xf>
    <xf numFmtId="0" fontId="57" fillId="0" borderId="0" xfId="2" applyFont="1" applyFill="1" applyAlignment="1">
      <alignment horizontal="center" vertical="top" wrapText="1"/>
    </xf>
    <xf numFmtId="0" fontId="65" fillId="0" borderId="0" xfId="8" applyFont="1"/>
    <xf numFmtId="0" fontId="75" fillId="0" borderId="0" xfId="0" applyFont="1" applyAlignment="1">
      <alignment wrapText="1"/>
    </xf>
    <xf numFmtId="164" fontId="58" fillId="19" borderId="3" xfId="3" applyFont="1" applyBorder="1" applyAlignment="1">
      <alignment vertical="center"/>
    </xf>
    <xf numFmtId="164" fontId="58" fillId="19" borderId="39" xfId="3" applyFont="1" applyBorder="1" applyAlignment="1">
      <alignment vertical="center"/>
    </xf>
    <xf numFmtId="164" fontId="58" fillId="19" borderId="11" xfId="3" applyFont="1" applyBorder="1" applyAlignment="1">
      <alignment vertical="center"/>
    </xf>
    <xf numFmtId="164" fontId="63" fillId="6" borderId="3" xfId="9" applyFont="1" applyBorder="1" applyAlignment="1">
      <alignment vertical="center"/>
    </xf>
    <xf numFmtId="164" fontId="63" fillId="6" borderId="1" xfId="9" applyFont="1" applyBorder="1" applyAlignment="1">
      <alignment vertical="center"/>
    </xf>
    <xf numFmtId="164" fontId="63" fillId="16" borderId="3" xfId="9" applyFont="1" applyFill="1" applyBorder="1" applyAlignment="1">
      <alignment vertical="center"/>
    </xf>
    <xf numFmtId="164" fontId="63" fillId="16" borderId="1" xfId="9" applyFont="1" applyFill="1" applyBorder="1" applyAlignment="1">
      <alignment vertical="center"/>
    </xf>
    <xf numFmtId="164" fontId="55" fillId="19" borderId="1" xfId="3" applyFont="1" applyBorder="1" applyAlignment="1">
      <alignment horizontal="center" vertical="center" wrapText="1"/>
    </xf>
    <xf numFmtId="49" fontId="55" fillId="8" borderId="1" xfId="10" applyFont="1" applyBorder="1">
      <alignment horizontal="left" vertical="center" wrapText="1"/>
    </xf>
    <xf numFmtId="49" fontId="55" fillId="8" borderId="1" xfId="10" applyFont="1" applyBorder="1" applyAlignment="1">
      <alignment horizontal="left" vertical="center" wrapText="1"/>
    </xf>
    <xf numFmtId="49" fontId="64" fillId="8" borderId="1" xfId="10" applyFont="1" applyBorder="1" applyAlignment="1">
      <alignment horizontal="left" vertical="center" wrapText="1"/>
    </xf>
    <xf numFmtId="49" fontId="64" fillId="9" borderId="17" xfId="12" applyFont="1" applyBorder="1" applyAlignment="1">
      <alignment horizontal="center" vertical="center" wrapText="1"/>
    </xf>
    <xf numFmtId="164" fontId="55" fillId="19" borderId="5" xfId="3" applyFont="1" applyBorder="1" applyAlignment="1">
      <alignment vertical="center"/>
    </xf>
    <xf numFmtId="164" fontId="55" fillId="19" borderId="19" xfId="3" applyFont="1" applyBorder="1" applyAlignment="1">
      <alignment vertical="center"/>
    </xf>
    <xf numFmtId="164" fontId="55" fillId="19" borderId="16" xfId="3" applyFont="1" applyBorder="1" applyAlignment="1">
      <alignment vertical="center"/>
    </xf>
    <xf numFmtId="164" fontId="55" fillId="19" borderId="5" xfId="3" applyFont="1" applyAlignment="1">
      <alignment vertical="center"/>
    </xf>
    <xf numFmtId="164" fontId="55" fillId="19" borderId="38" xfId="3" applyFont="1" applyBorder="1" applyAlignment="1">
      <alignment vertical="center"/>
    </xf>
    <xf numFmtId="164" fontId="55" fillId="19" borderId="4" xfId="3" applyFont="1" applyBorder="1" applyAlignment="1">
      <alignment vertical="center"/>
    </xf>
    <xf numFmtId="164" fontId="55" fillId="19" borderId="34" xfId="3" applyFont="1" applyBorder="1" applyAlignment="1">
      <alignment vertical="center"/>
    </xf>
    <xf numFmtId="164" fontId="64" fillId="6" borderId="35" xfId="9" applyFont="1" applyBorder="1" applyAlignment="1">
      <alignment vertical="center"/>
    </xf>
    <xf numFmtId="164" fontId="55" fillId="19" borderId="38" xfId="3" applyNumberFormat="1" applyFont="1" applyBorder="1" applyAlignment="1">
      <alignment vertical="center"/>
    </xf>
    <xf numFmtId="164" fontId="64" fillId="6" borderId="15" xfId="9" applyNumberFormat="1" applyFont="1" applyBorder="1" applyAlignment="1">
      <alignment vertical="center"/>
    </xf>
    <xf numFmtId="49" fontId="7" fillId="8" borderId="1" xfId="10" applyFont="1" applyBorder="1">
      <alignment horizontal="left" vertical="center" wrapText="1"/>
    </xf>
    <xf numFmtId="49" fontId="63" fillId="9" borderId="17" xfId="12" applyFont="1" applyBorder="1" applyAlignment="1">
      <alignment horizontal="center" vertical="center" wrapText="1"/>
    </xf>
    <xf numFmtId="49" fontId="59" fillId="9" borderId="17" xfId="12" applyFont="1" applyBorder="1" applyAlignment="1">
      <alignment horizontal="center" vertical="center" wrapText="1"/>
    </xf>
    <xf numFmtId="164" fontId="7" fillId="19" borderId="1" xfId="3" applyFont="1" applyBorder="1" applyAlignment="1">
      <alignment vertical="center"/>
    </xf>
    <xf numFmtId="164" fontId="57" fillId="16" borderId="1" xfId="9" applyFont="1" applyFill="1" applyBorder="1" applyAlignment="1">
      <alignment vertical="center"/>
    </xf>
    <xf numFmtId="49" fontId="26" fillId="8" borderId="11" xfId="10" applyBorder="1">
      <alignment horizontal="left" vertical="center" wrapText="1"/>
    </xf>
    <xf numFmtId="49" fontId="57" fillId="6" borderId="1" xfId="11" applyFont="1" applyBorder="1">
      <alignment horizontal="left" vertical="center" wrapText="1"/>
    </xf>
    <xf numFmtId="49" fontId="26" fillId="8" borderId="1" xfId="10" applyBorder="1">
      <alignment horizontal="left" vertical="center" wrapText="1"/>
    </xf>
    <xf numFmtId="164" fontId="58" fillId="19" borderId="1" xfId="3" applyFont="1" applyBorder="1" applyAlignment="1" applyProtection="1">
      <alignment vertical="center"/>
    </xf>
    <xf numFmtId="164" fontId="72" fillId="19" borderId="1" xfId="3" applyFont="1" applyBorder="1" applyAlignment="1" applyProtection="1">
      <alignment vertical="center"/>
    </xf>
    <xf numFmtId="49" fontId="6" fillId="8" borderId="11" xfId="10" applyFont="1" applyBorder="1">
      <alignment horizontal="left" vertical="center" wrapText="1"/>
    </xf>
    <xf numFmtId="49" fontId="6" fillId="8" borderId="51" xfId="10" applyFont="1" applyBorder="1">
      <alignment horizontal="left" vertical="center" wrapText="1"/>
    </xf>
    <xf numFmtId="49" fontId="6" fillId="6" borderId="1" xfId="11" applyFont="1" applyBorder="1">
      <alignment horizontal="left" vertical="center" wrapText="1"/>
    </xf>
    <xf numFmtId="49" fontId="6" fillId="8" borderId="1" xfId="10" applyFont="1" applyBorder="1" applyAlignment="1" applyProtection="1">
      <alignment horizontal="left" vertical="center" wrapText="1"/>
    </xf>
    <xf numFmtId="164" fontId="77" fillId="15" borderId="1" xfId="9" applyFont="1" applyFill="1" applyBorder="1" applyAlignment="1" applyProtection="1">
      <alignment vertical="center"/>
    </xf>
    <xf numFmtId="164" fontId="76" fillId="15" borderId="1" xfId="9" applyFont="1" applyFill="1" applyBorder="1" applyAlignment="1" applyProtection="1">
      <alignment vertical="center"/>
    </xf>
    <xf numFmtId="164" fontId="64" fillId="17" borderId="11" xfId="5" applyFont="1" applyBorder="1" applyAlignment="1">
      <alignment vertical="center"/>
    </xf>
    <xf numFmtId="164" fontId="64" fillId="17" borderId="1" xfId="5" applyFont="1" applyAlignment="1">
      <alignment vertical="center"/>
    </xf>
    <xf numFmtId="164" fontId="64" fillId="6" borderId="1" xfId="9" applyFont="1" applyBorder="1" applyAlignment="1">
      <alignment vertical="center"/>
    </xf>
    <xf numFmtId="164" fontId="55" fillId="21" borderId="1" xfId="3" applyFont="1" applyFill="1" applyBorder="1" applyAlignment="1">
      <alignment vertical="center"/>
    </xf>
    <xf numFmtId="164" fontId="64" fillId="16" borderId="1" xfId="9" applyFont="1" applyFill="1" applyBorder="1" applyAlignment="1">
      <alignment vertical="center"/>
    </xf>
    <xf numFmtId="3" fontId="29" fillId="0" borderId="0" xfId="0" applyNumberFormat="1" applyFont="1"/>
    <xf numFmtId="164" fontId="45" fillId="0" borderId="0" xfId="0" applyNumberFormat="1" applyFont="1"/>
    <xf numFmtId="49" fontId="5" fillId="8" borderId="1" xfId="10" applyFont="1" applyBorder="1" applyAlignment="1" applyProtection="1">
      <alignment horizontal="left" vertical="center" wrapText="1"/>
    </xf>
    <xf numFmtId="49" fontId="58" fillId="0" borderId="0" xfId="12" applyFont="1" applyFill="1" applyBorder="1" applyAlignment="1" applyProtection="1">
      <alignment horizontal="center" vertical="center"/>
    </xf>
    <xf numFmtId="164" fontId="63" fillId="15" borderId="1" xfId="9" applyFont="1" applyFill="1" applyBorder="1" applyAlignment="1">
      <alignment vertical="center"/>
    </xf>
    <xf numFmtId="49" fontId="5" fillId="8" borderId="1" xfId="10" applyFont="1" applyBorder="1">
      <alignment horizontal="left" vertical="center" wrapText="1"/>
    </xf>
    <xf numFmtId="164" fontId="72" fillId="19" borderId="1" xfId="3" applyFont="1" applyBorder="1" applyAlignment="1">
      <alignment vertical="center"/>
    </xf>
    <xf numFmtId="0" fontId="35" fillId="0" borderId="0" xfId="8" applyFont="1" applyAlignment="1">
      <alignment vertical="center"/>
    </xf>
    <xf numFmtId="49" fontId="58" fillId="0" borderId="9" xfId="12" applyFont="1" applyFill="1" applyBorder="1" applyAlignment="1">
      <alignment horizontal="center" vertical="center"/>
    </xf>
    <xf numFmtId="164" fontId="63" fillId="17" borderId="11" xfId="5" applyFont="1" applyBorder="1" applyAlignment="1">
      <alignment vertical="center"/>
    </xf>
    <xf numFmtId="164" fontId="63" fillId="17" borderId="1" xfId="5" applyFont="1" applyAlignment="1">
      <alignment vertical="center"/>
    </xf>
    <xf numFmtId="164" fontId="45" fillId="0" borderId="0" xfId="0" applyNumberFormat="1" applyFont="1" applyFill="1"/>
    <xf numFmtId="164" fontId="45" fillId="0" borderId="0" xfId="0" applyNumberFormat="1" applyFont="1" applyAlignment="1">
      <alignment vertical="center"/>
    </xf>
    <xf numFmtId="164" fontId="48" fillId="0" borderId="0" xfId="0" applyNumberFormat="1" applyFont="1"/>
    <xf numFmtId="164" fontId="30" fillId="0" borderId="0" xfId="0" applyNumberFormat="1" applyFont="1"/>
    <xf numFmtId="164" fontId="46" fillId="0" borderId="0" xfId="0" applyNumberFormat="1" applyFont="1"/>
    <xf numFmtId="0" fontId="32" fillId="0" borderId="0" xfId="0" applyFont="1" applyAlignment="1">
      <alignment wrapText="1"/>
    </xf>
    <xf numFmtId="49" fontId="26" fillId="8" borderId="1" xfId="10" applyBorder="1">
      <alignment horizontal="left" vertical="center" wrapText="1"/>
    </xf>
    <xf numFmtId="49" fontId="26" fillId="8" borderId="11" xfId="10" applyBorder="1">
      <alignment horizontal="left" vertical="center" wrapText="1"/>
    </xf>
    <xf numFmtId="49" fontId="4" fillId="8" borderId="1" xfId="10" applyFont="1" applyBorder="1">
      <alignment horizontal="left" vertical="center" wrapText="1"/>
    </xf>
    <xf numFmtId="49" fontId="4" fillId="8" borderId="49" xfId="10" applyFont="1" applyBorder="1" applyAlignment="1">
      <alignment horizontal="left" vertical="center" wrapText="1"/>
    </xf>
    <xf numFmtId="49" fontId="57" fillId="6" borderId="1" xfId="11" applyFont="1" applyBorder="1" applyAlignment="1">
      <alignment horizontal="center" vertical="center" wrapText="1"/>
    </xf>
    <xf numFmtId="49" fontId="64" fillId="9" borderId="1" xfId="12" applyFont="1" applyAlignment="1">
      <alignment horizontal="center" vertical="center" wrapText="1"/>
    </xf>
    <xf numFmtId="49" fontId="57" fillId="8" borderId="17" xfId="10" applyFont="1" applyBorder="1" applyAlignment="1">
      <alignment horizontal="center" vertical="center" wrapText="1"/>
    </xf>
    <xf numFmtId="49" fontId="3" fillId="8" borderId="1" xfId="10" applyFont="1" applyBorder="1">
      <alignment horizontal="left" vertical="center" wrapText="1"/>
    </xf>
    <xf numFmtId="0" fontId="55" fillId="4" borderId="1" xfId="6" applyFont="1" applyBorder="1" applyAlignment="1">
      <alignment wrapText="1"/>
    </xf>
    <xf numFmtId="165" fontId="57" fillId="11" borderId="1" xfId="6" applyNumberFormat="1" applyFont="1" applyFill="1" applyBorder="1" applyAlignment="1">
      <alignment horizontal="center" vertical="center"/>
    </xf>
    <xf numFmtId="165" fontId="57" fillId="12" borderId="1" xfId="6" applyNumberFormat="1" applyFont="1" applyFill="1" applyBorder="1" applyAlignment="1">
      <alignment horizontal="center" vertical="center"/>
    </xf>
    <xf numFmtId="165" fontId="57" fillId="14" borderId="1" xfId="6" applyNumberFormat="1" applyFont="1" applyFill="1" applyBorder="1" applyAlignment="1">
      <alignment horizontal="center" vertical="center"/>
    </xf>
    <xf numFmtId="165" fontId="57" fillId="13" borderId="1" xfId="6" applyNumberFormat="1" applyFont="1" applyFill="1" applyBorder="1" applyAlignment="1">
      <alignment horizontal="center" vertical="center"/>
    </xf>
    <xf numFmtId="165" fontId="57" fillId="7" borderId="1" xfId="6" applyNumberFormat="1" applyFont="1" applyFill="1" applyBorder="1" applyAlignment="1">
      <alignment horizontal="center" vertical="center"/>
    </xf>
    <xf numFmtId="0" fontId="57" fillId="20" borderId="1" xfId="6" applyFont="1" applyFill="1" applyBorder="1" applyAlignment="1">
      <alignment wrapText="1"/>
    </xf>
    <xf numFmtId="165" fontId="57" fillId="20" borderId="1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49" fontId="61" fillId="10" borderId="1" xfId="13" applyFont="1" applyBorder="1" applyAlignment="1" applyProtection="1">
      <alignment horizontal="left" vertical="center" wrapText="1"/>
    </xf>
    <xf numFmtId="49" fontId="61" fillId="10" borderId="1" xfId="13" applyFont="1" applyBorder="1">
      <alignment horizontal="left" vertical="center" wrapText="1"/>
    </xf>
    <xf numFmtId="49" fontId="61" fillId="15" borderId="1" xfId="13" applyFont="1" applyFill="1" applyBorder="1" applyAlignment="1" applyProtection="1">
      <alignment horizontal="left" vertical="center" wrapText="1"/>
    </xf>
    <xf numFmtId="49" fontId="61" fillId="10" borderId="48" xfId="13" applyFont="1" applyBorder="1">
      <alignment horizontal="left" vertical="center" wrapText="1"/>
    </xf>
    <xf numFmtId="49" fontId="61" fillId="10" borderId="46" xfId="13" applyFont="1" applyBorder="1">
      <alignment horizontal="left" vertical="center" wrapText="1"/>
    </xf>
    <xf numFmtId="164" fontId="61" fillId="15" borderId="3" xfId="9" applyFont="1" applyFill="1" applyBorder="1" applyAlignment="1">
      <alignment vertical="center"/>
    </xf>
    <xf numFmtId="0" fontId="78" fillId="0" borderId="0" xfId="0" applyFont="1"/>
    <xf numFmtId="49" fontId="62" fillId="9" borderId="17" xfId="12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49" fontId="25" fillId="8" borderId="1" xfId="1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3" fillId="8" borderId="1" xfId="10" applyFont="1" applyBorder="1" applyAlignment="1">
      <alignment horizontal="left" vertical="center" wrapText="1"/>
    </xf>
    <xf numFmtId="49" fontId="62" fillId="8" borderId="44" xfId="10" applyFont="1" applyBorder="1">
      <alignment horizontal="left" vertical="center" wrapText="1"/>
    </xf>
    <xf numFmtId="49" fontId="79" fillId="0" borderId="22" xfId="10" applyFont="1" applyFill="1" applyBorder="1">
      <alignment horizontal="left" vertical="center" wrapText="1"/>
    </xf>
    <xf numFmtId="49" fontId="80" fillId="0" borderId="22" xfId="10" applyFont="1" applyFill="1" applyBorder="1">
      <alignment horizontal="left" vertical="center" wrapText="1"/>
    </xf>
    <xf numFmtId="49" fontId="81" fillId="0" borderId="23" xfId="10" applyFont="1" applyFill="1" applyBorder="1">
      <alignment horizontal="left" vertical="center" wrapText="1"/>
    </xf>
    <xf numFmtId="49" fontId="62" fillId="9" borderId="15" xfId="12" applyFont="1" applyBorder="1">
      <alignment horizontal="center" vertical="center"/>
    </xf>
    <xf numFmtId="49" fontId="2" fillId="8" borderId="1" xfId="10" applyFont="1" applyBorder="1">
      <alignment horizontal="left" vertical="center" wrapText="1"/>
    </xf>
    <xf numFmtId="164" fontId="63" fillId="17" borderId="1" xfId="5" applyNumberFormat="1" applyFont="1" applyAlignment="1">
      <alignment vertical="center"/>
    </xf>
    <xf numFmtId="164" fontId="58" fillId="17" borderId="1" xfId="5" applyFont="1" applyAlignment="1">
      <alignment vertical="center"/>
    </xf>
    <xf numFmtId="164" fontId="55" fillId="17" borderId="1" xfId="5" applyFont="1" applyAlignment="1">
      <alignment vertical="center"/>
    </xf>
    <xf numFmtId="164" fontId="59" fillId="17" borderId="11" xfId="5" applyFont="1" applyBorder="1" applyAlignment="1">
      <alignment vertical="center"/>
    </xf>
    <xf numFmtId="49" fontId="59" fillId="6" borderId="1" xfId="11" applyFont="1" applyBorder="1" applyAlignment="1">
      <alignment horizontal="left" vertical="center" wrapText="1"/>
    </xf>
    <xf numFmtId="49" fontId="59" fillId="6" borderId="1" xfId="11" applyFont="1" applyBorder="1" applyAlignment="1">
      <alignment vertical="center" wrapText="1"/>
    </xf>
    <xf numFmtId="49" fontId="59" fillId="10" borderId="1" xfId="13" applyFont="1" applyBorder="1" applyAlignment="1">
      <alignment horizontal="left" vertical="center" wrapText="1"/>
    </xf>
    <xf numFmtId="49" fontId="59" fillId="8" borderId="11" xfId="10" applyFont="1" applyBorder="1" applyAlignment="1">
      <alignment horizontal="left" vertical="center" wrapText="1"/>
    </xf>
    <xf numFmtId="164" fontId="59" fillId="6" borderId="11" xfId="9" applyFont="1" applyBorder="1" applyAlignment="1">
      <alignment vertical="center"/>
    </xf>
    <xf numFmtId="49" fontId="59" fillId="8" borderId="17" xfId="10" applyFont="1" applyBorder="1">
      <alignment horizontal="left" vertical="center" wrapText="1"/>
    </xf>
    <xf numFmtId="49" fontId="59" fillId="8" borderId="17" xfId="10" applyFont="1" applyBorder="1" applyAlignment="1">
      <alignment horizontal="center" vertical="center" wrapText="1"/>
    </xf>
    <xf numFmtId="49" fontId="57" fillId="6" borderId="1" xfId="11" applyFont="1" applyBorder="1">
      <alignment horizontal="left" vertical="center" wrapText="1"/>
    </xf>
    <xf numFmtId="49" fontId="57" fillId="6" borderId="49" xfId="11" applyFont="1" applyBorder="1">
      <alignment horizontal="left" vertical="center" wrapText="1"/>
    </xf>
    <xf numFmtId="49" fontId="26" fillId="8" borderId="1" xfId="10" applyBorder="1">
      <alignment horizontal="left" vertical="center" wrapText="1"/>
    </xf>
    <xf numFmtId="49" fontId="26" fillId="8" borderId="49" xfId="10" applyBorder="1">
      <alignment horizontal="left" vertical="center" wrapText="1"/>
    </xf>
    <xf numFmtId="49" fontId="27" fillId="6" borderId="1" xfId="11" applyBorder="1">
      <alignment horizontal="left" vertical="center" wrapText="1"/>
    </xf>
    <xf numFmtId="49" fontId="27" fillId="6" borderId="49" xfId="11" applyBorder="1">
      <alignment horizontal="left" vertical="center" wrapText="1"/>
    </xf>
    <xf numFmtId="49" fontId="61" fillId="15" borderId="1" xfId="13" applyFont="1" applyFill="1" applyBorder="1">
      <alignment horizontal="left" vertical="center" wrapText="1"/>
    </xf>
    <xf numFmtId="49" fontId="61" fillId="15" borderId="49" xfId="13" applyFont="1" applyFill="1" applyBorder="1">
      <alignment horizontal="left" vertical="center" wrapText="1"/>
    </xf>
    <xf numFmtId="49" fontId="57" fillId="10" borderId="1" xfId="13" applyFont="1" applyBorder="1">
      <alignment horizontal="left" vertical="center" wrapText="1"/>
    </xf>
    <xf numFmtId="49" fontId="57" fillId="10" borderId="49" xfId="13" applyFont="1" applyBorder="1">
      <alignment horizontal="left" vertical="center" wrapText="1"/>
    </xf>
    <xf numFmtId="49" fontId="62" fillId="9" borderId="1" xfId="12" applyFont="1">
      <alignment horizontal="center" vertical="center"/>
    </xf>
    <xf numFmtId="49" fontId="19" fillId="8" borderId="1" xfId="10" applyFont="1" applyBorder="1">
      <alignment horizontal="left" vertical="center" wrapText="1"/>
    </xf>
    <xf numFmtId="49" fontId="63" fillId="9" borderId="66" xfId="12" applyFont="1" applyBorder="1" applyAlignment="1">
      <alignment horizontal="center" vertical="center" wrapText="1"/>
    </xf>
    <xf numFmtId="49" fontId="63" fillId="9" borderId="67" xfId="12" applyFont="1" applyBorder="1" applyAlignment="1">
      <alignment horizontal="center" vertical="center" wrapText="1"/>
    </xf>
    <xf numFmtId="49" fontId="63" fillId="9" borderId="2" xfId="12" applyFont="1" applyBorder="1" applyAlignment="1">
      <alignment horizontal="center" vertical="center"/>
    </xf>
    <xf numFmtId="49" fontId="63" fillId="9" borderId="40" xfId="12" applyFont="1" applyBorder="1" applyAlignment="1">
      <alignment horizontal="center" vertical="center"/>
    </xf>
    <xf numFmtId="49" fontId="62" fillId="9" borderId="15" xfId="12" applyFont="1" applyFill="1" applyBorder="1" applyAlignment="1">
      <alignment horizontal="center" vertical="center" wrapText="1"/>
    </xf>
    <xf numFmtId="49" fontId="62" fillId="9" borderId="25" xfId="12" applyFont="1" applyFill="1" applyBorder="1" applyAlignment="1">
      <alignment horizontal="center" vertical="center" wrapText="1"/>
    </xf>
    <xf numFmtId="49" fontId="62" fillId="9" borderId="61" xfId="12" applyFont="1" applyFill="1" applyBorder="1" applyAlignment="1">
      <alignment horizontal="center" vertical="center" wrapText="1"/>
    </xf>
    <xf numFmtId="49" fontId="62" fillId="9" borderId="68" xfId="12" applyFont="1" applyFill="1" applyBorder="1" applyAlignment="1">
      <alignment horizontal="center" vertical="center" wrapText="1"/>
    </xf>
    <xf numFmtId="49" fontId="62" fillId="9" borderId="62" xfId="12" applyFont="1" applyFill="1" applyBorder="1" applyAlignment="1">
      <alignment horizontal="center" vertical="center" wrapText="1"/>
    </xf>
    <xf numFmtId="49" fontId="62" fillId="9" borderId="1" xfId="12" applyFont="1" applyAlignment="1" applyProtection="1">
      <alignment horizontal="center" vertical="center"/>
    </xf>
    <xf numFmtId="164" fontId="72" fillId="19" borderId="1" xfId="3" applyFont="1" applyBorder="1" applyAlignment="1" applyProtection="1">
      <alignment vertical="center"/>
    </xf>
    <xf numFmtId="164" fontId="58" fillId="19" borderId="1" xfId="3" applyFont="1" applyBorder="1" applyAlignment="1" applyProtection="1">
      <alignment vertical="center"/>
    </xf>
    <xf numFmtId="49" fontId="62" fillId="9" borderId="2" xfId="12" applyFont="1" applyBorder="1">
      <alignment horizontal="center" vertical="center"/>
    </xf>
    <xf numFmtId="49" fontId="62" fillId="9" borderId="11" xfId="12" applyFont="1" applyBorder="1">
      <alignment horizontal="center" vertical="center"/>
    </xf>
    <xf numFmtId="164" fontId="61" fillId="12" borderId="1" xfId="10" applyNumberFormat="1" applyFont="1" applyFill="1" applyBorder="1" applyAlignment="1">
      <alignment horizontal="center" vertical="center" wrapText="1"/>
    </xf>
    <xf numFmtId="164" fontId="61" fillId="13" borderId="4" xfId="10" applyNumberFormat="1" applyFont="1" applyFill="1" applyBorder="1" applyAlignment="1">
      <alignment horizontal="center" vertical="center" wrapText="1"/>
    </xf>
    <xf numFmtId="164" fontId="61" fillId="13" borderId="9" xfId="10" applyNumberFormat="1" applyFont="1" applyFill="1" applyBorder="1" applyAlignment="1">
      <alignment horizontal="center" vertical="center" wrapText="1"/>
    </xf>
    <xf numFmtId="164" fontId="61" fillId="13" borderId="3" xfId="10" applyNumberFormat="1" applyFont="1" applyFill="1" applyBorder="1" applyAlignment="1">
      <alignment horizontal="center" vertical="center" wrapText="1"/>
    </xf>
    <xf numFmtId="164" fontId="61" fillId="14" borderId="4" xfId="10" applyNumberFormat="1" applyFont="1" applyFill="1" applyBorder="1" applyAlignment="1">
      <alignment horizontal="center" vertical="center" wrapText="1"/>
    </xf>
    <xf numFmtId="164" fontId="61" fillId="14" borderId="9" xfId="10" applyNumberFormat="1" applyFont="1" applyFill="1" applyBorder="1" applyAlignment="1">
      <alignment horizontal="center" vertical="center" wrapText="1"/>
    </xf>
    <xf numFmtId="164" fontId="61" fillId="14" borderId="3" xfId="10" applyNumberFormat="1" applyFont="1" applyFill="1" applyBorder="1" applyAlignment="1">
      <alignment horizontal="center" vertical="center" wrapText="1"/>
    </xf>
    <xf numFmtId="49" fontId="61" fillId="11" borderId="1" xfId="10" applyFont="1" applyFill="1" applyBorder="1" applyAlignment="1">
      <alignment horizontal="center" vertical="center" wrapText="1"/>
    </xf>
    <xf numFmtId="49" fontId="63" fillId="9" borderId="1" xfId="12" applyFont="1">
      <alignment horizontal="center" vertical="center"/>
    </xf>
    <xf numFmtId="49" fontId="11" fillId="8" borderId="4" xfId="10" applyFont="1" applyBorder="1" applyAlignment="1">
      <alignment horizontal="center" vertical="center"/>
    </xf>
    <xf numFmtId="49" fontId="14" fillId="8" borderId="9" xfId="10" applyFont="1" applyBorder="1" applyAlignment="1">
      <alignment horizontal="center" vertical="center"/>
    </xf>
    <xf numFmtId="49" fontId="14" fillId="8" borderId="3" xfId="10" applyFont="1" applyBorder="1" applyAlignment="1">
      <alignment horizontal="center" vertical="center"/>
    </xf>
    <xf numFmtId="49" fontId="57" fillId="22" borderId="4" xfId="11" applyFont="1" applyFill="1" applyBorder="1" applyAlignment="1">
      <alignment horizontal="left" vertical="center" wrapText="1"/>
    </xf>
    <xf numFmtId="49" fontId="57" fillId="22" borderId="9" xfId="11" applyFont="1" applyFill="1" applyBorder="1" applyAlignment="1">
      <alignment horizontal="left" vertical="center" wrapText="1"/>
    </xf>
    <xf numFmtId="49" fontId="57" fillId="22" borderId="3" xfId="11" applyFont="1" applyFill="1" applyBorder="1" applyAlignment="1">
      <alignment horizontal="left" vertical="center" wrapText="1"/>
    </xf>
    <xf numFmtId="49" fontId="57" fillId="6" borderId="4" xfId="11" applyFont="1" applyBorder="1" applyAlignment="1">
      <alignment horizontal="center" vertical="center" wrapText="1"/>
    </xf>
    <xf numFmtId="49" fontId="57" fillId="6" borderId="9" xfId="11" applyFont="1" applyBorder="1" applyAlignment="1">
      <alignment horizontal="center" vertical="center" wrapText="1"/>
    </xf>
    <xf numFmtId="49" fontId="57" fillId="6" borderId="3" xfId="11" applyFont="1" applyBorder="1" applyAlignment="1">
      <alignment horizontal="center" vertical="center" wrapText="1"/>
    </xf>
    <xf numFmtId="49" fontId="11" fillId="8" borderId="4" xfId="10" applyFont="1" applyBorder="1" applyAlignment="1">
      <alignment horizontal="left" vertical="center"/>
    </xf>
    <xf numFmtId="49" fontId="14" fillId="8" borderId="9" xfId="10" applyFont="1" applyBorder="1" applyAlignment="1">
      <alignment horizontal="left" vertical="center"/>
    </xf>
    <xf numFmtId="49" fontId="14" fillId="8" borderId="3" xfId="10" applyFont="1" applyBorder="1" applyAlignment="1">
      <alignment horizontal="left" vertical="center"/>
    </xf>
    <xf numFmtId="49" fontId="15" fillId="8" borderId="4" xfId="10" applyFont="1" applyBorder="1" applyAlignment="1">
      <alignment horizontal="left" vertical="center" wrapText="1"/>
    </xf>
    <xf numFmtId="49" fontId="15" fillId="8" borderId="9" xfId="10" applyFont="1" applyBorder="1" applyAlignment="1">
      <alignment horizontal="left" vertical="center" wrapText="1"/>
    </xf>
    <xf numFmtId="49" fontId="15" fillId="8" borderId="3" xfId="10" applyFont="1" applyBorder="1" applyAlignment="1">
      <alignment horizontal="left" vertical="center" wrapText="1"/>
    </xf>
    <xf numFmtId="49" fontId="15" fillId="8" borderId="0" xfId="10" applyFont="1" applyBorder="1" applyAlignment="1">
      <alignment horizontal="left" vertical="center" wrapText="1"/>
    </xf>
    <xf numFmtId="49" fontId="15" fillId="8" borderId="28" xfId="10" applyFont="1" applyBorder="1" applyAlignment="1">
      <alignment horizontal="left" vertical="center" wrapText="1"/>
    </xf>
    <xf numFmtId="49" fontId="57" fillId="8" borderId="27" xfId="10" applyFont="1" applyBorder="1" applyAlignment="1">
      <alignment horizontal="center" vertical="center" wrapText="1"/>
    </xf>
    <xf numFmtId="49" fontId="57" fillId="8" borderId="28" xfId="10" applyFont="1" applyBorder="1" applyAlignment="1">
      <alignment horizontal="center" vertical="center" wrapText="1"/>
    </xf>
    <xf numFmtId="49" fontId="57" fillId="16" borderId="0" xfId="11" applyFont="1" applyFill="1" applyBorder="1" applyAlignment="1">
      <alignment horizontal="center" vertical="center" wrapText="1"/>
    </xf>
    <xf numFmtId="49" fontId="57" fillId="16" borderId="28" xfId="11" applyFont="1" applyFill="1" applyBorder="1" applyAlignment="1">
      <alignment horizontal="center" vertical="center" wrapText="1"/>
    </xf>
    <xf numFmtId="49" fontId="63" fillId="9" borderId="36" xfId="12" applyFont="1" applyBorder="1" applyAlignment="1">
      <alignment horizontal="center" vertical="center"/>
    </xf>
    <xf numFmtId="49" fontId="63" fillId="9" borderId="37" xfId="12" applyFont="1" applyBorder="1" applyAlignment="1">
      <alignment horizontal="center" vertical="center"/>
    </xf>
    <xf numFmtId="49" fontId="57" fillId="8" borderId="55" xfId="10" applyFont="1" applyBorder="1" applyAlignment="1">
      <alignment horizontal="center" vertical="center" wrapText="1"/>
    </xf>
    <xf numFmtId="49" fontId="57" fillId="8" borderId="56" xfId="10" applyFont="1" applyBorder="1" applyAlignment="1">
      <alignment horizontal="center" vertical="center" wrapText="1"/>
    </xf>
    <xf numFmtId="49" fontId="57" fillId="8" borderId="57" xfId="10" applyFont="1" applyBorder="1" applyAlignment="1">
      <alignment horizontal="center" vertical="center" wrapText="1"/>
    </xf>
    <xf numFmtId="49" fontId="57" fillId="8" borderId="58" xfId="10" applyFont="1" applyBorder="1" applyAlignment="1">
      <alignment horizontal="center" vertical="center" wrapText="1"/>
    </xf>
    <xf numFmtId="49" fontId="57" fillId="8" borderId="59" xfId="10" applyFont="1" applyBorder="1" applyAlignment="1">
      <alignment horizontal="center" vertical="center" wrapText="1"/>
    </xf>
    <xf numFmtId="49" fontId="57" fillId="8" borderId="60" xfId="10" applyFont="1" applyBorder="1" applyAlignment="1">
      <alignment horizontal="center" vertical="center" wrapText="1"/>
    </xf>
    <xf numFmtId="49" fontId="57" fillId="16" borderId="36" xfId="11" applyFont="1" applyFill="1" applyBorder="1" applyAlignment="1">
      <alignment horizontal="center" vertical="center" wrapText="1"/>
    </xf>
    <xf numFmtId="49" fontId="57" fillId="16" borderId="37" xfId="11" applyFont="1" applyFill="1" applyBorder="1" applyAlignment="1">
      <alignment horizontal="center" vertical="center" wrapText="1"/>
    </xf>
    <xf numFmtId="49" fontId="63" fillId="9" borderId="0" xfId="12" applyFont="1" applyBorder="1" applyAlignment="1">
      <alignment horizontal="center" vertical="center"/>
    </xf>
    <xf numFmtId="49" fontId="63" fillId="9" borderId="28" xfId="12" applyFont="1" applyBorder="1" applyAlignment="1">
      <alignment horizontal="center" vertical="center"/>
    </xf>
    <xf numFmtId="49" fontId="14" fillId="8" borderId="4" xfId="10" applyFont="1" applyBorder="1" applyAlignment="1">
      <alignment horizontal="left" vertical="center"/>
    </xf>
    <xf numFmtId="49" fontId="57" fillId="8" borderId="21" xfId="10" applyFont="1" applyBorder="1" applyAlignment="1">
      <alignment horizontal="center" vertical="center" wrapText="1"/>
    </xf>
    <xf numFmtId="49" fontId="57" fillId="8" borderId="23" xfId="10" applyFont="1" applyBorder="1" applyAlignment="1">
      <alignment horizontal="center" vertical="center" wrapText="1"/>
    </xf>
    <xf numFmtId="49" fontId="62" fillId="9" borderId="30" xfId="12" applyFont="1" applyBorder="1" applyAlignment="1">
      <alignment horizontal="center" vertical="center"/>
    </xf>
    <xf numFmtId="49" fontId="62" fillId="9" borderId="31" xfId="12" applyFont="1" applyBorder="1" applyAlignment="1">
      <alignment horizontal="center" vertical="center"/>
    </xf>
    <xf numFmtId="49" fontId="62" fillId="9" borderId="25" xfId="12" applyFont="1" applyBorder="1" applyAlignment="1">
      <alignment horizontal="center" vertical="center"/>
    </xf>
    <xf numFmtId="49" fontId="62" fillId="9" borderId="26" xfId="12" applyFont="1" applyBorder="1" applyAlignment="1">
      <alignment horizontal="center" vertical="center"/>
    </xf>
    <xf numFmtId="49" fontId="62" fillId="9" borderId="26" xfId="12" applyFont="1" applyBorder="1">
      <alignment horizontal="center" vertical="center"/>
    </xf>
    <xf numFmtId="49" fontId="62" fillId="9" borderId="17" xfId="12" applyFont="1" applyBorder="1">
      <alignment horizontal="center" vertical="center"/>
    </xf>
    <xf numFmtId="49" fontId="57" fillId="8" borderId="32" xfId="10" applyFont="1" applyBorder="1" applyAlignment="1">
      <alignment horizontal="center" vertical="center" wrapText="1"/>
    </xf>
    <xf numFmtId="49" fontId="57" fillId="8" borderId="9" xfId="10" applyFont="1" applyBorder="1" applyAlignment="1">
      <alignment horizontal="center" vertical="center" wrapText="1"/>
    </xf>
    <xf numFmtId="49" fontId="57" fillId="8" borderId="25" xfId="10" applyFont="1" applyBorder="1" applyAlignment="1">
      <alignment horizontal="center" vertical="center" wrapText="1"/>
    </xf>
    <xf numFmtId="49" fontId="57" fillId="22" borderId="1" xfId="11" applyFont="1" applyFill="1" applyBorder="1">
      <alignment horizontal="left" vertical="center" wrapText="1"/>
    </xf>
    <xf numFmtId="49" fontId="15" fillId="8" borderId="1" xfId="10" applyFont="1" applyBorder="1">
      <alignment horizontal="left" vertical="center" wrapText="1"/>
    </xf>
    <xf numFmtId="49" fontId="57" fillId="6" borderId="1" xfId="11" applyFont="1" applyBorder="1" applyAlignment="1">
      <alignment horizontal="center" vertical="center" wrapText="1"/>
    </xf>
    <xf numFmtId="49" fontId="14" fillId="8" borderId="1" xfId="10" applyFont="1" applyBorder="1">
      <alignment horizontal="left" vertical="center" wrapText="1"/>
    </xf>
    <xf numFmtId="49" fontId="57" fillId="16" borderId="1" xfId="11" applyFont="1" applyFill="1" applyBorder="1" applyAlignment="1">
      <alignment horizontal="center" vertical="center" wrapText="1"/>
    </xf>
    <xf numFmtId="49" fontId="63" fillId="9" borderId="4" xfId="12" applyFont="1" applyBorder="1">
      <alignment horizontal="center" vertical="center"/>
    </xf>
    <xf numFmtId="49" fontId="63" fillId="9" borderId="9" xfId="12" applyFont="1" applyBorder="1">
      <alignment horizontal="center" vertical="center"/>
    </xf>
    <xf numFmtId="49" fontId="63" fillId="9" borderId="3" xfId="12" applyFont="1" applyBorder="1">
      <alignment horizontal="center" vertical="center"/>
    </xf>
    <xf numFmtId="49" fontId="57" fillId="16" borderId="4" xfId="11" applyFont="1" applyFill="1" applyBorder="1" applyAlignment="1">
      <alignment horizontal="center" vertical="center" wrapText="1"/>
    </xf>
    <xf numFmtId="49" fontId="57" fillId="16" borderId="3" xfId="11" applyFont="1" applyFill="1" applyBorder="1" applyAlignment="1">
      <alignment horizontal="center" vertical="center" wrapText="1"/>
    </xf>
    <xf numFmtId="49" fontId="57" fillId="10" borderId="1" xfId="13" applyBorder="1">
      <alignment horizontal="left" vertical="center" wrapText="1"/>
    </xf>
    <xf numFmtId="49" fontId="57" fillId="10" borderId="49" xfId="13" applyBorder="1">
      <alignment horizontal="left" vertical="center" wrapText="1"/>
    </xf>
    <xf numFmtId="49" fontId="57" fillId="15" borderId="1" xfId="13" applyFill="1" applyBorder="1">
      <alignment horizontal="left" vertical="center" wrapText="1"/>
    </xf>
    <xf numFmtId="49" fontId="57" fillId="15" borderId="49" xfId="13" applyFill="1" applyBorder="1">
      <alignment horizontal="left" vertical="center" wrapText="1"/>
    </xf>
    <xf numFmtId="49" fontId="61" fillId="13" borderId="17" xfId="10" applyFont="1" applyFill="1" applyBorder="1" applyAlignment="1">
      <alignment horizontal="center" vertical="center" wrapText="1"/>
    </xf>
    <xf numFmtId="49" fontId="61" fillId="13" borderId="50" xfId="10" applyFont="1" applyFill="1" applyBorder="1" applyAlignment="1">
      <alignment horizontal="center" vertical="center" wrapText="1"/>
    </xf>
    <xf numFmtId="49" fontId="26" fillId="8" borderId="11" xfId="10" applyBorder="1">
      <alignment horizontal="left" vertical="center" wrapText="1"/>
    </xf>
    <xf numFmtId="49" fontId="26" fillId="8" borderId="51" xfId="10" applyBorder="1">
      <alignment horizontal="left" vertical="center" wrapText="1"/>
    </xf>
    <xf numFmtId="49" fontId="61" fillId="14" borderId="17" xfId="10" applyFont="1" applyFill="1" applyBorder="1" applyAlignment="1">
      <alignment horizontal="center" vertical="center" wrapText="1"/>
    </xf>
    <xf numFmtId="49" fontId="61" fillId="14" borderId="50" xfId="10" applyFont="1" applyFill="1" applyBorder="1" applyAlignment="1">
      <alignment horizontal="center" vertical="center" wrapText="1"/>
    </xf>
    <xf numFmtId="49" fontId="57" fillId="10" borderId="1" xfId="13" applyBorder="1" applyAlignment="1">
      <alignment horizontal="center" vertical="center" wrapText="1"/>
    </xf>
    <xf numFmtId="49" fontId="57" fillId="10" borderId="49" xfId="13" applyBorder="1" applyAlignment="1">
      <alignment horizontal="center" vertical="center" wrapText="1"/>
    </xf>
    <xf numFmtId="49" fontId="61" fillId="12" borderId="17" xfId="10" applyFont="1" applyFill="1" applyBorder="1" applyAlignment="1">
      <alignment horizontal="center" vertical="center" wrapText="1"/>
    </xf>
    <xf numFmtId="49" fontId="61" fillId="12" borderId="50" xfId="10" applyFont="1" applyFill="1" applyBorder="1" applyAlignment="1">
      <alignment horizontal="center" vertical="center" wrapText="1"/>
    </xf>
    <xf numFmtId="49" fontId="61" fillId="11" borderId="17" xfId="10" applyFont="1" applyFill="1" applyBorder="1" applyAlignment="1">
      <alignment horizontal="center" vertical="center" wrapText="1"/>
    </xf>
    <xf numFmtId="49" fontId="61" fillId="11" borderId="50" xfId="10" applyFont="1" applyFill="1" applyBorder="1" applyAlignment="1">
      <alignment horizontal="center" vertical="center" wrapText="1"/>
    </xf>
    <xf numFmtId="49" fontId="3" fillId="8" borderId="1" xfId="10" applyFont="1" applyBorder="1">
      <alignment horizontal="left" vertical="center" wrapText="1"/>
    </xf>
    <xf numFmtId="164" fontId="58" fillId="17" borderId="63" xfId="5" applyFont="1" applyBorder="1" applyAlignment="1">
      <alignment horizontal="right" vertical="center"/>
    </xf>
    <xf numFmtId="164" fontId="58" fillId="17" borderId="64" xfId="5" applyFont="1" applyBorder="1" applyAlignment="1">
      <alignment horizontal="right" vertical="center"/>
    </xf>
    <xf numFmtId="164" fontId="58" fillId="17" borderId="65" xfId="5" applyFont="1" applyBorder="1" applyAlignment="1">
      <alignment horizontal="right" vertical="center"/>
    </xf>
    <xf numFmtId="49" fontId="13" fillId="8" borderId="1" xfId="10" applyFont="1" applyBorder="1">
      <alignment horizontal="left" vertical="center" wrapText="1"/>
    </xf>
    <xf numFmtId="49" fontId="61" fillId="14" borderId="4" xfId="10" applyFont="1" applyFill="1" applyBorder="1" applyAlignment="1">
      <alignment horizontal="center" vertical="center" wrapText="1"/>
    </xf>
    <xf numFmtId="49" fontId="61" fillId="14" borderId="9" xfId="10" applyFont="1" applyFill="1" applyBorder="1" applyAlignment="1">
      <alignment horizontal="center" vertical="center" wrapText="1"/>
    </xf>
    <xf numFmtId="49" fontId="61" fillId="14" borderId="3" xfId="10" applyFont="1" applyFill="1" applyBorder="1" applyAlignment="1">
      <alignment horizontal="center" vertical="center" wrapText="1"/>
    </xf>
    <xf numFmtId="49" fontId="61" fillId="13" borderId="4" xfId="10" applyFont="1" applyFill="1" applyBorder="1" applyAlignment="1">
      <alignment horizontal="center" vertical="center" wrapText="1"/>
    </xf>
    <xf numFmtId="49" fontId="61" fillId="13" borderId="9" xfId="10" applyFont="1" applyFill="1" applyBorder="1" applyAlignment="1">
      <alignment horizontal="center" vertical="center" wrapText="1"/>
    </xf>
    <xf numFmtId="49" fontId="61" fillId="13" borderId="3" xfId="10" applyFont="1" applyFill="1" applyBorder="1" applyAlignment="1">
      <alignment horizontal="center" vertical="center" wrapText="1"/>
    </xf>
    <xf numFmtId="49" fontId="57" fillId="6" borderId="4" xfId="11" applyFont="1" applyBorder="1" applyAlignment="1">
      <alignment vertical="center" wrapText="1"/>
    </xf>
    <xf numFmtId="49" fontId="57" fillId="6" borderId="9" xfId="11" applyFont="1" applyBorder="1" applyAlignment="1">
      <alignment vertical="center" wrapText="1"/>
    </xf>
    <xf numFmtId="49" fontId="57" fillId="6" borderId="3" xfId="11" applyFont="1" applyBorder="1" applyAlignment="1">
      <alignment vertical="center" wrapText="1"/>
    </xf>
    <xf numFmtId="49" fontId="62" fillId="9" borderId="1" xfId="12" applyFont="1" applyAlignment="1">
      <alignment horizontal="center" vertical="center" wrapText="1"/>
    </xf>
    <xf numFmtId="49" fontId="57" fillId="8" borderId="1" xfId="10" applyFont="1" applyBorder="1" applyAlignment="1">
      <alignment horizontal="center" vertical="center" wrapText="1"/>
    </xf>
    <xf numFmtId="49" fontId="57" fillId="8" borderId="17" xfId="10" applyFont="1" applyBorder="1" applyAlignment="1">
      <alignment horizontal="center" vertical="center" wrapText="1"/>
    </xf>
    <xf numFmtId="49" fontId="57" fillId="8" borderId="2" xfId="10" applyFont="1" applyBorder="1" applyAlignment="1">
      <alignment horizontal="center" vertical="center" wrapText="1"/>
    </xf>
    <xf numFmtId="49" fontId="57" fillId="8" borderId="40" xfId="10" applyFont="1" applyBorder="1" applyAlignment="1">
      <alignment horizontal="center" vertical="center" wrapText="1"/>
    </xf>
    <xf numFmtId="49" fontId="61" fillId="8" borderId="38" xfId="10" applyFont="1" applyBorder="1" applyAlignment="1">
      <alignment horizontal="center" vertical="center" wrapText="1"/>
    </xf>
    <xf numFmtId="49" fontId="61" fillId="8" borderId="24" xfId="10" applyFont="1" applyBorder="1" applyAlignment="1">
      <alignment horizontal="center" vertical="center" wrapText="1"/>
    </xf>
    <xf numFmtId="49" fontId="61" fillId="8" borderId="39" xfId="10" applyFont="1" applyBorder="1" applyAlignment="1">
      <alignment horizontal="center" vertical="center" wrapText="1"/>
    </xf>
    <xf numFmtId="49" fontId="61" fillId="11" borderId="4" xfId="10" applyFont="1" applyFill="1" applyBorder="1" applyAlignment="1">
      <alignment horizontal="center" vertical="center" wrapText="1"/>
    </xf>
    <xf numFmtId="49" fontId="61" fillId="11" borderId="9" xfId="10" applyFont="1" applyFill="1" applyBorder="1" applyAlignment="1">
      <alignment horizontal="center" vertical="center" wrapText="1"/>
    </xf>
    <xf numFmtId="49" fontId="61" fillId="11" borderId="3" xfId="10" applyFont="1" applyFill="1" applyBorder="1" applyAlignment="1">
      <alignment horizontal="center" vertical="center" wrapText="1"/>
    </xf>
    <xf numFmtId="49" fontId="57" fillId="8" borderId="15" xfId="10" applyFont="1" applyBorder="1" applyAlignment="1">
      <alignment horizontal="center" vertical="center" wrapText="1"/>
    </xf>
    <xf numFmtId="49" fontId="57" fillId="8" borderId="26" xfId="10" applyFont="1" applyBorder="1" applyAlignment="1">
      <alignment horizontal="center" vertical="center" wrapText="1"/>
    </xf>
    <xf numFmtId="49" fontId="61" fillId="12" borderId="15" xfId="10" applyFont="1" applyFill="1" applyBorder="1" applyAlignment="1">
      <alignment horizontal="center" vertical="center" wrapText="1"/>
    </xf>
    <xf numFmtId="49" fontId="61" fillId="12" borderId="25" xfId="10" applyFont="1" applyFill="1" applyBorder="1" applyAlignment="1">
      <alignment horizontal="center" vertical="center" wrapText="1"/>
    </xf>
    <xf numFmtId="49" fontId="61" fillId="12" borderId="26" xfId="10" applyFont="1" applyFill="1" applyBorder="1" applyAlignment="1">
      <alignment horizontal="center" vertical="center" wrapText="1"/>
    </xf>
    <xf numFmtId="49" fontId="26" fillId="8" borderId="4" xfId="10" applyBorder="1" applyAlignment="1">
      <alignment horizontal="center" vertical="center" wrapText="1"/>
    </xf>
    <xf numFmtId="49" fontId="26" fillId="8" borderId="3" xfId="10" applyBorder="1" applyAlignment="1">
      <alignment horizontal="center" vertical="center" wrapText="1"/>
    </xf>
    <xf numFmtId="49" fontId="57" fillId="10" borderId="4" xfId="13" applyBorder="1" applyAlignment="1">
      <alignment horizontal="center" vertical="center" wrapText="1"/>
    </xf>
    <xf numFmtId="49" fontId="57" fillId="10" borderId="9" xfId="13" applyBorder="1" applyAlignment="1">
      <alignment horizontal="center" vertical="center" wrapText="1"/>
    </xf>
    <xf numFmtId="49" fontId="57" fillId="10" borderId="3" xfId="13" applyBorder="1" applyAlignment="1">
      <alignment horizontal="center" vertical="center" wrapText="1"/>
    </xf>
    <xf numFmtId="49" fontId="59" fillId="15" borderId="1" xfId="10" applyFont="1" applyFill="1" applyBorder="1">
      <alignment horizontal="left" vertical="center" wrapText="1"/>
    </xf>
    <xf numFmtId="49" fontId="64" fillId="9" borderId="2" xfId="12" applyFont="1" applyBorder="1" applyAlignment="1">
      <alignment horizontal="center" vertical="center" wrapText="1"/>
    </xf>
    <xf numFmtId="49" fontId="64" fillId="9" borderId="11" xfId="12" applyFont="1" applyBorder="1" applyAlignment="1">
      <alignment horizontal="center" vertical="center" wrapText="1"/>
    </xf>
    <xf numFmtId="49" fontId="64" fillId="9" borderId="2" xfId="12" applyFont="1" applyBorder="1" applyAlignment="1">
      <alignment horizontal="center" vertical="center"/>
    </xf>
    <xf numFmtId="49" fontId="64" fillId="9" borderId="11" xfId="12" applyFont="1" applyBorder="1" applyAlignment="1">
      <alignment horizontal="center" vertical="center"/>
    </xf>
    <xf numFmtId="49" fontId="62" fillId="13" borderId="17" xfId="12" applyFont="1" applyFill="1" applyBorder="1">
      <alignment horizontal="center" vertical="center"/>
    </xf>
    <xf numFmtId="49" fontId="62" fillId="13" borderId="50" xfId="12" applyFont="1" applyFill="1" applyBorder="1">
      <alignment horizontal="center" vertical="center"/>
    </xf>
    <xf numFmtId="49" fontId="62" fillId="9" borderId="35" xfId="12" applyFont="1" applyBorder="1" applyAlignment="1">
      <alignment horizontal="center" vertical="center"/>
    </xf>
    <xf numFmtId="49" fontId="62" fillId="9" borderId="36" xfId="12" applyFont="1" applyBorder="1" applyAlignment="1">
      <alignment horizontal="center" vertical="center"/>
    </xf>
    <xf numFmtId="49" fontId="62" fillId="9" borderId="37" xfId="12" applyFont="1" applyBorder="1" applyAlignment="1">
      <alignment horizontal="center" vertical="center"/>
    </xf>
    <xf numFmtId="49" fontId="62" fillId="9" borderId="38" xfId="12" applyFont="1" applyBorder="1" applyAlignment="1">
      <alignment horizontal="center" vertical="center"/>
    </xf>
    <xf numFmtId="49" fontId="62" fillId="9" borderId="24" xfId="12" applyFont="1" applyBorder="1" applyAlignment="1">
      <alignment horizontal="center" vertical="center"/>
    </xf>
    <xf numFmtId="49" fontId="62" fillId="9" borderId="39" xfId="12" applyFont="1" applyBorder="1" applyAlignment="1">
      <alignment horizontal="center" vertical="center"/>
    </xf>
    <xf numFmtId="49" fontId="62" fillId="11" borderId="17" xfId="12" applyFont="1" applyFill="1" applyBorder="1">
      <alignment horizontal="center" vertical="center"/>
    </xf>
    <xf numFmtId="49" fontId="62" fillId="11" borderId="50" xfId="12" applyFont="1" applyFill="1" applyBorder="1">
      <alignment horizontal="center" vertical="center"/>
    </xf>
    <xf numFmtId="49" fontId="62" fillId="12" borderId="17" xfId="12" applyFont="1" applyFill="1" applyBorder="1">
      <alignment horizontal="center" vertical="center"/>
    </xf>
    <xf numFmtId="49" fontId="62" fillId="12" borderId="50" xfId="12" applyFont="1" applyFill="1" applyBorder="1">
      <alignment horizontal="center" vertical="center"/>
    </xf>
    <xf numFmtId="49" fontId="62" fillId="14" borderId="17" xfId="12" applyFont="1" applyFill="1" applyBorder="1">
      <alignment horizontal="center" vertical="center"/>
    </xf>
    <xf numFmtId="49" fontId="62" fillId="14" borderId="50" xfId="12" applyFont="1" applyFill="1" applyBorder="1">
      <alignment horizontal="center" vertical="center"/>
    </xf>
    <xf numFmtId="49" fontId="61" fillId="9" borderId="1" xfId="12" applyFont="1">
      <alignment horizontal="center" vertical="center"/>
    </xf>
    <xf numFmtId="49" fontId="57" fillId="10" borderId="14" xfId="13" applyBorder="1">
      <alignment horizontal="left" vertical="center" wrapText="1"/>
    </xf>
    <xf numFmtId="49" fontId="57" fillId="10" borderId="9" xfId="13" applyBorder="1">
      <alignment horizontal="left" vertical="center" wrapText="1"/>
    </xf>
    <xf numFmtId="49" fontId="26" fillId="8" borderId="4" xfId="10" applyBorder="1">
      <alignment horizontal="left" vertical="center" wrapText="1"/>
    </xf>
    <xf numFmtId="49" fontId="26" fillId="8" borderId="3" xfId="10" applyBorder="1">
      <alignment horizontal="left" vertical="center" wrapText="1"/>
    </xf>
    <xf numFmtId="0" fontId="61" fillId="13" borderId="4" xfId="1" applyFont="1" applyFill="1" applyBorder="1" applyAlignment="1">
      <alignment horizontal="center" vertical="center" wrapText="1"/>
    </xf>
    <xf numFmtId="0" fontId="61" fillId="13" borderId="9" xfId="1" applyFont="1" applyFill="1" applyBorder="1" applyAlignment="1">
      <alignment horizontal="center" vertical="center" wrapText="1"/>
    </xf>
    <xf numFmtId="0" fontId="61" fillId="13" borderId="3" xfId="1" applyFont="1" applyFill="1" applyBorder="1" applyAlignment="1">
      <alignment horizontal="center" vertical="center" wrapText="1"/>
    </xf>
    <xf numFmtId="49" fontId="16" fillId="8" borderId="1" xfId="10" applyFont="1" applyBorder="1">
      <alignment horizontal="left" vertical="center" wrapText="1"/>
    </xf>
    <xf numFmtId="49" fontId="8" fillId="8" borderId="1" xfId="10" applyFont="1" applyBorder="1">
      <alignment horizontal="left" vertical="center" wrapText="1"/>
    </xf>
    <xf numFmtId="49" fontId="57" fillId="8" borderId="4" xfId="10" applyFont="1" applyBorder="1" applyAlignment="1">
      <alignment horizontal="left" vertical="center" wrapText="1"/>
    </xf>
    <xf numFmtId="49" fontId="57" fillId="8" borderId="9" xfId="10" applyFont="1" applyBorder="1" applyAlignment="1">
      <alignment horizontal="left" vertical="center" wrapText="1"/>
    </xf>
    <xf numFmtId="49" fontId="57" fillId="8" borderId="3" xfId="10" applyFont="1" applyBorder="1" applyAlignment="1">
      <alignment horizontal="left" vertical="center" wrapText="1"/>
    </xf>
    <xf numFmtId="49" fontId="61" fillId="12" borderId="1" xfId="10" applyFont="1" applyFill="1" applyBorder="1" applyAlignment="1">
      <alignment horizontal="center" vertical="center" wrapText="1"/>
    </xf>
    <xf numFmtId="49" fontId="16" fillId="8" borderId="4" xfId="10" applyFont="1" applyBorder="1">
      <alignment horizontal="left" vertical="center" wrapText="1"/>
    </xf>
    <xf numFmtId="0" fontId="61" fillId="14" borderId="1" xfId="2" applyFont="1" applyFill="1" applyBorder="1" applyAlignment="1">
      <alignment horizontal="center" vertical="center"/>
    </xf>
    <xf numFmtId="49" fontId="62" fillId="9" borderId="35" xfId="12" applyFont="1" applyBorder="1">
      <alignment horizontal="center" vertical="center"/>
    </xf>
    <xf numFmtId="49" fontId="62" fillId="9" borderId="36" xfId="12" applyFont="1" applyBorder="1">
      <alignment horizontal="center" vertical="center"/>
    </xf>
    <xf numFmtId="49" fontId="62" fillId="9" borderId="37" xfId="12" applyFont="1" applyBorder="1">
      <alignment horizontal="center" vertical="center"/>
    </xf>
    <xf numFmtId="49" fontId="62" fillId="9" borderId="38" xfId="12" applyFont="1" applyBorder="1">
      <alignment horizontal="center" vertical="center"/>
    </xf>
    <xf numFmtId="49" fontId="62" fillId="9" borderId="24" xfId="12" applyFont="1" applyBorder="1">
      <alignment horizontal="center" vertical="center"/>
    </xf>
    <xf numFmtId="49" fontId="62" fillId="9" borderId="39" xfId="12" applyFont="1" applyBorder="1">
      <alignment horizontal="center" vertical="center"/>
    </xf>
    <xf numFmtId="49" fontId="62" fillId="8" borderId="1" xfId="10" applyFont="1" applyBorder="1" applyAlignment="1">
      <alignment horizontal="center" vertical="center" wrapText="1"/>
    </xf>
    <xf numFmtId="49" fontId="62" fillId="8" borderId="4" xfId="10" applyFont="1" applyBorder="1" applyAlignment="1">
      <alignment horizontal="center" vertical="center" wrapText="1"/>
    </xf>
    <xf numFmtId="49" fontId="62" fillId="8" borderId="3" xfId="10" applyFont="1" applyBorder="1" applyAlignment="1">
      <alignment horizontal="center" vertical="center" wrapText="1"/>
    </xf>
    <xf numFmtId="49" fontId="64" fillId="8" borderId="1" xfId="10" applyFont="1" applyBorder="1" applyAlignment="1">
      <alignment horizontal="center" vertical="center" wrapText="1"/>
    </xf>
    <xf numFmtId="49" fontId="62" fillId="9" borderId="27" xfId="12" applyFont="1" applyBorder="1" applyAlignment="1">
      <alignment horizontal="center" vertical="center"/>
    </xf>
    <xf numFmtId="49" fontId="62" fillId="9" borderId="0" xfId="12" applyFont="1" applyBorder="1" applyAlignment="1">
      <alignment horizontal="center" vertical="center"/>
    </xf>
    <xf numFmtId="49" fontId="1" fillId="8" borderId="1" xfId="10" applyFont="1" applyBorder="1">
      <alignment horizontal="left" vertical="center" wrapText="1"/>
    </xf>
    <xf numFmtId="49" fontId="57" fillId="6" borderId="4" xfId="11" applyFont="1" applyBorder="1" applyAlignment="1">
      <alignment horizontal="left" vertical="center" wrapText="1"/>
    </xf>
    <xf numFmtId="49" fontId="57" fillId="6" borderId="3" xfId="11" applyFont="1" applyBorder="1" applyAlignment="1">
      <alignment horizontal="left" vertical="center" wrapText="1"/>
    </xf>
    <xf numFmtId="49" fontId="63" fillId="9" borderId="4" xfId="12" applyFont="1" applyBorder="1" applyAlignment="1">
      <alignment horizontal="center" vertical="center" wrapText="1"/>
    </xf>
    <xf numFmtId="49" fontId="63" fillId="9" borderId="9" xfId="12" applyFont="1" applyBorder="1" applyAlignment="1">
      <alignment horizontal="center" vertical="center" wrapText="1"/>
    </xf>
  </cellXfs>
  <cellStyles count="15">
    <cellStyle name="20% - 3. jelölőszín" xfId="1" builtinId="38"/>
    <cellStyle name="20% - 5. jelölőszín" xfId="2" builtinId="46"/>
    <cellStyle name="Bevitel" xfId="3" builtinId="20" customBuiltin="1"/>
    <cellStyle name="Ellenőrzőcella" xfId="4" builtinId="23" customBuiltin="1"/>
    <cellStyle name="Ezres" xfId="14" builtinId="3"/>
    <cellStyle name="Fő címek" xfId="12" xr:uid="{00000000-0005-0000-0000-000005000000}"/>
    <cellStyle name="Fő összegző sorok" xfId="13" xr:uid="{00000000-0005-0000-0000-000006000000}"/>
    <cellStyle name="Hivatkozott cella" xfId="5" builtinId="24" customBuiltin="1"/>
    <cellStyle name="Jegyzet" xfId="6" builtinId="10"/>
    <cellStyle name="Jó" xfId="7" builtinId="26"/>
    <cellStyle name="Normál" xfId="0" builtinId="0"/>
    <cellStyle name="Normál 2" xfId="8" xr:uid="{00000000-0005-0000-0000-00000B000000}"/>
    <cellStyle name="összegző sorok szövege" xfId="11" xr:uid="{00000000-0005-0000-0000-00000C000000}"/>
    <cellStyle name="Számítás" xfId="9" builtinId="22" customBuiltin="1"/>
    <cellStyle name="szöveges részek" xfId="10" xr:uid="{00000000-0005-0000-0000-00000E000000}"/>
  </cellStyles>
  <dxfs count="0"/>
  <tableStyles count="0" defaultTableStyle="TableStyleMedium9" defaultPivotStyle="PivotStyleLight16"/>
  <colors>
    <mruColors>
      <color rgb="FFFFCC66"/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8">
    <pageSetUpPr fitToPage="1"/>
  </sheetPr>
  <dimension ref="A1:J41"/>
  <sheetViews>
    <sheetView topLeftCell="A16" zoomScale="70" zoomScaleNormal="70" workbookViewId="0">
      <selection activeCell="Q34" sqref="Q34"/>
    </sheetView>
  </sheetViews>
  <sheetFormatPr defaultRowHeight="13.2" x14ac:dyDescent="0.25"/>
  <cols>
    <col min="1" max="1" width="6" style="159" bestFit="1" customWidth="1"/>
    <col min="2" max="2" width="12.77734375" customWidth="1"/>
    <col min="3" max="3" width="10.5546875" customWidth="1"/>
    <col min="4" max="4" width="29" customWidth="1"/>
    <col min="5" max="5" width="16.88671875" style="162" bestFit="1" customWidth="1"/>
    <col min="6" max="6" width="18.6640625" style="162" customWidth="1"/>
    <col min="7" max="8" width="17.5546875" style="162" bestFit="1" customWidth="1"/>
    <col min="9" max="9" width="17.33203125" style="162" customWidth="1"/>
    <col min="10" max="10" width="11.33203125" customWidth="1"/>
  </cols>
  <sheetData>
    <row r="1" spans="1:9" ht="18" x14ac:dyDescent="0.25">
      <c r="A1" s="477" t="s">
        <v>508</v>
      </c>
      <c r="B1" s="477"/>
      <c r="C1" s="477"/>
      <c r="D1" s="477"/>
      <c r="E1" s="477"/>
      <c r="F1" s="477"/>
      <c r="G1" s="477"/>
      <c r="H1" s="477"/>
      <c r="I1" s="477"/>
    </row>
    <row r="2" spans="1:9" s="239" customFormat="1" ht="15.6" x14ac:dyDescent="0.25">
      <c r="A2" s="167"/>
      <c r="B2" s="47"/>
      <c r="C2" s="167"/>
      <c r="D2" s="167"/>
      <c r="E2" s="167"/>
      <c r="F2" s="167"/>
    </row>
    <row r="3" spans="1:9" s="1" customFormat="1" ht="36.6" thickBot="1" x14ac:dyDescent="0.3">
      <c r="A3" s="483" t="s">
        <v>414</v>
      </c>
      <c r="B3" s="484"/>
      <c r="C3" s="484"/>
      <c r="D3" s="445" t="s">
        <v>507</v>
      </c>
      <c r="E3" s="479" t="s">
        <v>509</v>
      </c>
      <c r="F3" s="481" t="s">
        <v>489</v>
      </c>
      <c r="G3" s="481" t="s">
        <v>465</v>
      </c>
      <c r="H3" s="481" t="s">
        <v>466</v>
      </c>
      <c r="I3" s="481" t="s">
        <v>467</v>
      </c>
    </row>
    <row r="4" spans="1:9" s="1" customFormat="1" ht="37.799999999999997" customHeight="1" thickBot="1" x14ac:dyDescent="0.3">
      <c r="A4" s="485" t="s">
        <v>410</v>
      </c>
      <c r="B4" s="486"/>
      <c r="C4" s="487"/>
      <c r="D4" s="445" t="s">
        <v>415</v>
      </c>
      <c r="E4" s="480"/>
      <c r="F4" s="482"/>
      <c r="G4" s="482"/>
      <c r="H4" s="482"/>
      <c r="I4" s="482"/>
    </row>
    <row r="5" spans="1:9" ht="30" customHeight="1" x14ac:dyDescent="0.25">
      <c r="A5" s="422"/>
      <c r="B5" s="422"/>
      <c r="C5" s="393" t="s">
        <v>555</v>
      </c>
      <c r="D5" s="394" t="s">
        <v>561</v>
      </c>
      <c r="E5" s="254">
        <v>71214039</v>
      </c>
      <c r="F5" s="254">
        <f>'2).Bevétel intézmény'!F5</f>
        <v>71214039</v>
      </c>
      <c r="G5" s="413"/>
      <c r="H5" s="413"/>
      <c r="I5" s="413"/>
    </row>
    <row r="6" spans="1:9" ht="43.2" x14ac:dyDescent="0.25">
      <c r="A6" s="422"/>
      <c r="B6" s="422"/>
      <c r="C6" s="393" t="s">
        <v>556</v>
      </c>
      <c r="D6" s="394" t="s">
        <v>562</v>
      </c>
      <c r="E6" s="254">
        <v>47714500</v>
      </c>
      <c r="F6" s="254">
        <f>'2).Bevétel intézmény'!F6</f>
        <v>47681442</v>
      </c>
      <c r="G6" s="413"/>
      <c r="H6" s="413"/>
      <c r="I6" s="413"/>
    </row>
    <row r="7" spans="1:9" ht="28.8" x14ac:dyDescent="0.25">
      <c r="A7" s="422"/>
      <c r="B7" s="422"/>
      <c r="C7" s="393" t="s">
        <v>557</v>
      </c>
      <c r="D7" s="394" t="s">
        <v>563</v>
      </c>
      <c r="E7" s="254">
        <v>57562760</v>
      </c>
      <c r="F7" s="254">
        <f>'2).Bevétel intézmény'!F7</f>
        <v>56092060</v>
      </c>
      <c r="G7" s="413"/>
      <c r="H7" s="413"/>
      <c r="I7" s="413"/>
    </row>
    <row r="8" spans="1:9" ht="28.8" x14ac:dyDescent="0.25">
      <c r="A8" s="422"/>
      <c r="B8" s="422"/>
      <c r="C8" s="393" t="s">
        <v>558</v>
      </c>
      <c r="D8" s="394" t="s">
        <v>564</v>
      </c>
      <c r="E8" s="254">
        <v>3960514</v>
      </c>
      <c r="F8" s="254">
        <f>'2).Bevétel intézmény'!F8</f>
        <v>3960514</v>
      </c>
      <c r="G8" s="413"/>
      <c r="H8" s="413"/>
      <c r="I8" s="413"/>
    </row>
    <row r="9" spans="1:9" ht="28.8" x14ac:dyDescent="0.25">
      <c r="A9" s="422"/>
      <c r="B9" s="422"/>
      <c r="C9" s="393" t="s">
        <v>559</v>
      </c>
      <c r="D9" s="394" t="s">
        <v>565</v>
      </c>
      <c r="E9" s="254">
        <v>0</v>
      </c>
      <c r="F9" s="254">
        <f>'2).Bevétel intézmény'!F9</f>
        <v>0</v>
      </c>
      <c r="G9" s="413"/>
      <c r="H9" s="413"/>
      <c r="I9" s="413"/>
    </row>
    <row r="10" spans="1:9" ht="28.8" x14ac:dyDescent="0.25">
      <c r="A10" s="131"/>
      <c r="B10" s="422"/>
      <c r="C10" s="393" t="s">
        <v>560</v>
      </c>
      <c r="D10" s="394" t="s">
        <v>566</v>
      </c>
      <c r="E10" s="254">
        <v>0</v>
      </c>
      <c r="F10" s="254">
        <f>'2).Bevétel intézmény'!F10</f>
        <v>49056</v>
      </c>
      <c r="G10" s="413"/>
      <c r="H10" s="413"/>
      <c r="I10" s="413"/>
    </row>
    <row r="11" spans="1:9" ht="15.6" x14ac:dyDescent="0.25">
      <c r="A11" s="131"/>
      <c r="B11" s="395" t="s">
        <v>567</v>
      </c>
      <c r="C11" s="471" t="s">
        <v>146</v>
      </c>
      <c r="D11" s="472"/>
      <c r="E11" s="257">
        <v>180451813</v>
      </c>
      <c r="F11" s="257">
        <f>SUM(F5:F10)</f>
        <v>178997111</v>
      </c>
      <c r="G11" s="257"/>
      <c r="H11" s="257"/>
      <c r="I11" s="257"/>
    </row>
    <row r="12" spans="1:9" ht="15.6" x14ac:dyDescent="0.25">
      <c r="A12" s="190"/>
      <c r="B12" s="421" t="s">
        <v>301</v>
      </c>
      <c r="C12" s="469" t="s">
        <v>302</v>
      </c>
      <c r="D12" s="470"/>
      <c r="E12" s="458">
        <v>52721775</v>
      </c>
      <c r="F12" s="255">
        <f>'2).Bevétel intézmény'!F12</f>
        <v>45534329</v>
      </c>
      <c r="G12" s="414"/>
      <c r="H12" s="414"/>
      <c r="I12" s="414"/>
    </row>
    <row r="13" spans="1:9" s="1" customFormat="1" ht="15.6" x14ac:dyDescent="0.25">
      <c r="A13" s="425" t="s">
        <v>144</v>
      </c>
      <c r="B13" s="467" t="s">
        <v>145</v>
      </c>
      <c r="C13" s="467"/>
      <c r="D13" s="468"/>
      <c r="E13" s="401">
        <f>E11+E12</f>
        <v>233173588</v>
      </c>
      <c r="F13" s="257">
        <f>SUM(F11:F12)</f>
        <v>224531440</v>
      </c>
      <c r="G13" s="365"/>
      <c r="H13" s="365"/>
      <c r="I13" s="365"/>
    </row>
    <row r="14" spans="1:9" ht="15.6" x14ac:dyDescent="0.25">
      <c r="A14" s="190"/>
      <c r="B14" s="188" t="s">
        <v>360</v>
      </c>
      <c r="C14" s="478" t="s">
        <v>65</v>
      </c>
      <c r="D14" s="470"/>
      <c r="E14" s="267">
        <v>0</v>
      </c>
      <c r="F14" s="267">
        <f>('2).Bevétel intézmény'!F14)</f>
        <v>0</v>
      </c>
      <c r="G14" s="267"/>
      <c r="H14" s="256"/>
      <c r="I14" s="256"/>
    </row>
    <row r="15" spans="1:9" s="3" customFormat="1" ht="15.6" x14ac:dyDescent="0.25">
      <c r="A15" s="190"/>
      <c r="B15" s="188" t="s">
        <v>362</v>
      </c>
      <c r="C15" s="469" t="s">
        <v>169</v>
      </c>
      <c r="D15" s="470"/>
      <c r="E15" s="267">
        <v>71903307</v>
      </c>
      <c r="F15" s="267">
        <f>('2).Bevétel intézmény'!F15)</f>
        <v>88856049</v>
      </c>
      <c r="G15" s="267"/>
      <c r="H15" s="256"/>
      <c r="I15" s="256"/>
    </row>
    <row r="16" spans="1:9" s="1" customFormat="1" ht="15.6" x14ac:dyDescent="0.25">
      <c r="A16" s="425" t="s">
        <v>147</v>
      </c>
      <c r="B16" s="467" t="s">
        <v>148</v>
      </c>
      <c r="C16" s="467"/>
      <c r="D16" s="468"/>
      <c r="E16" s="268">
        <f>SUM(E14:E15)+('2).Bevétel intézmény'!E39)+('2).Bevétel intézmény'!E53)+('2).Bevétel intézmény'!E67)</f>
        <v>71903307</v>
      </c>
      <c r="F16" s="258">
        <f>SUM(F14:F15)</f>
        <v>88856049</v>
      </c>
      <c r="G16" s="258"/>
      <c r="H16" s="258"/>
      <c r="I16" s="258"/>
    </row>
    <row r="17" spans="1:10" s="3" customFormat="1" ht="15.6" x14ac:dyDescent="0.25">
      <c r="A17" s="190"/>
      <c r="B17" s="188"/>
      <c r="C17" s="188" t="s">
        <v>152</v>
      </c>
      <c r="D17" s="192" t="s">
        <v>153</v>
      </c>
      <c r="E17" s="267">
        <v>60000000</v>
      </c>
      <c r="F17" s="267">
        <f>('2).Bevétel intézmény'!F17)</f>
        <v>55000000</v>
      </c>
      <c r="G17" s="267"/>
      <c r="H17" s="256"/>
      <c r="I17" s="256"/>
    </row>
    <row r="18" spans="1:10" s="3" customFormat="1" ht="15.6" x14ac:dyDescent="0.25">
      <c r="A18" s="190"/>
      <c r="B18" s="188"/>
      <c r="C18" s="188" t="s">
        <v>154</v>
      </c>
      <c r="D18" s="192" t="s">
        <v>155</v>
      </c>
      <c r="E18" s="267">
        <v>8500000</v>
      </c>
      <c r="F18" s="267">
        <f>('2).Bevétel intézmény'!F18)</f>
        <v>351596</v>
      </c>
      <c r="G18" s="267"/>
      <c r="H18" s="256"/>
      <c r="I18" s="256"/>
    </row>
    <row r="19" spans="1:10" s="3" customFormat="1" ht="15.6" x14ac:dyDescent="0.25">
      <c r="A19" s="121"/>
      <c r="B19" s="189" t="s">
        <v>150</v>
      </c>
      <c r="C19" s="471" t="s">
        <v>151</v>
      </c>
      <c r="D19" s="472"/>
      <c r="E19" s="268">
        <f>SUM(E17:E18)</f>
        <v>68500000</v>
      </c>
      <c r="F19" s="258">
        <f>SUM(F17:F18)</f>
        <v>55351596</v>
      </c>
      <c r="G19" s="258"/>
      <c r="H19" s="258"/>
      <c r="I19" s="258"/>
    </row>
    <row r="20" spans="1:10" s="3" customFormat="1" ht="15.6" x14ac:dyDescent="0.25">
      <c r="A20" s="190"/>
      <c r="B20" s="188" t="s">
        <v>156</v>
      </c>
      <c r="C20" s="469" t="s">
        <v>157</v>
      </c>
      <c r="D20" s="470"/>
      <c r="E20" s="267">
        <v>100000</v>
      </c>
      <c r="F20" s="267">
        <f>('2).Bevétel intézmény'!F20)</f>
        <v>100000</v>
      </c>
      <c r="G20" s="267"/>
      <c r="H20" s="256"/>
      <c r="I20" s="256"/>
    </row>
    <row r="21" spans="1:10" s="1" customFormat="1" ht="15.6" x14ac:dyDescent="0.25">
      <c r="A21" s="425" t="s">
        <v>149</v>
      </c>
      <c r="B21" s="467" t="s">
        <v>56</v>
      </c>
      <c r="C21" s="467"/>
      <c r="D21" s="468"/>
      <c r="E21" s="268">
        <f>SUM(E19:E20)+('2).Bevétel intézmény'!E40)+('2).Bevétel intézmény'!E54)+('2).Bevétel intézmény'!E68)</f>
        <v>68600000</v>
      </c>
      <c r="F21" s="268">
        <f>SUM(F19:F20)+('2).Bevétel intézmény'!F40)+('2).Bevétel intézmény'!F54)+('2).Bevétel intézmény'!F68)</f>
        <v>55451596</v>
      </c>
      <c r="G21" s="268"/>
      <c r="H21" s="258"/>
      <c r="I21" s="258"/>
    </row>
    <row r="22" spans="1:10" s="1" customFormat="1" ht="15.6" x14ac:dyDescent="0.25">
      <c r="A22" s="425" t="s">
        <v>158</v>
      </c>
      <c r="B22" s="467" t="s">
        <v>28</v>
      </c>
      <c r="C22" s="467"/>
      <c r="D22" s="468"/>
      <c r="E22" s="269">
        <f>('2).Bevétel intézmény'!E22)+('2).Bevétel intézmény'!E41)+('2).Bevétel intézmény'!E55)+('2).Bevétel intézmény'!E69)</f>
        <v>25266000</v>
      </c>
      <c r="F22" s="269">
        <f>('2).Bevétel intézmény'!F22)+('2).Bevétel intézmény'!F41)+('2).Bevétel intézmény'!F55)+('2).Bevétel intézmény'!F69)</f>
        <v>24638000</v>
      </c>
      <c r="G22" s="269"/>
      <c r="H22" s="270"/>
      <c r="I22" s="270"/>
      <c r="J22" s="186"/>
    </row>
    <row r="23" spans="1:10" ht="15.6" x14ac:dyDescent="0.25">
      <c r="A23" s="190"/>
      <c r="B23" s="188" t="s">
        <v>161</v>
      </c>
      <c r="C23" s="469" t="s">
        <v>162</v>
      </c>
      <c r="D23" s="470"/>
      <c r="E23" s="267">
        <v>4138000</v>
      </c>
      <c r="F23" s="267">
        <f>('2).Bevétel intézmény'!F23)</f>
        <v>4138000</v>
      </c>
      <c r="G23" s="267"/>
      <c r="H23" s="256"/>
      <c r="I23" s="256"/>
    </row>
    <row r="24" spans="1:10" s="3" customFormat="1" ht="15.6" x14ac:dyDescent="0.25">
      <c r="A24" s="190"/>
      <c r="B24" s="188" t="s">
        <v>346</v>
      </c>
      <c r="C24" s="469" t="s">
        <v>347</v>
      </c>
      <c r="D24" s="470"/>
      <c r="E24" s="267">
        <v>0</v>
      </c>
      <c r="F24" s="267">
        <f>('2).Bevétel intézmény'!F24)</f>
        <v>0</v>
      </c>
      <c r="G24" s="267"/>
      <c r="H24" s="256"/>
      <c r="I24" s="256"/>
    </row>
    <row r="25" spans="1:10" s="1" customFormat="1" ht="15.6" x14ac:dyDescent="0.25">
      <c r="A25" s="425" t="s">
        <v>159</v>
      </c>
      <c r="B25" s="467" t="s">
        <v>160</v>
      </c>
      <c r="C25" s="467"/>
      <c r="D25" s="468"/>
      <c r="E25" s="268">
        <f>SUM(E23:E24)+('2).Bevétel intézmény'!E42)+('2).Bevétel intézmény'!E56)+('2).Bevétel intézmény'!E70)</f>
        <v>4138000</v>
      </c>
      <c r="F25" s="258">
        <f>SUM(F23:F24)</f>
        <v>4138000</v>
      </c>
      <c r="G25" s="258"/>
      <c r="H25" s="258"/>
      <c r="I25" s="258"/>
    </row>
    <row r="26" spans="1:10" s="6" customFormat="1" ht="15.6" x14ac:dyDescent="0.25">
      <c r="A26" s="190"/>
      <c r="B26" s="188" t="s">
        <v>416</v>
      </c>
      <c r="C26" s="469" t="s">
        <v>417</v>
      </c>
      <c r="D26" s="470"/>
      <c r="E26" s="267">
        <v>0</v>
      </c>
      <c r="F26" s="267">
        <f>('2).Bevétel intézmény'!F26)</f>
        <v>0</v>
      </c>
      <c r="G26" s="267"/>
      <c r="H26" s="256"/>
      <c r="I26" s="256"/>
    </row>
    <row r="27" spans="1:10" s="6" customFormat="1" ht="15.6" x14ac:dyDescent="0.25">
      <c r="A27" s="190"/>
      <c r="B27" s="188" t="s">
        <v>363</v>
      </c>
      <c r="C27" s="469" t="s">
        <v>165</v>
      </c>
      <c r="D27" s="470"/>
      <c r="E27" s="267">
        <v>0</v>
      </c>
      <c r="F27" s="267">
        <f>('2).Bevétel intézmény'!F27)</f>
        <v>500000</v>
      </c>
      <c r="G27" s="267"/>
      <c r="H27" s="256"/>
      <c r="I27" s="256"/>
    </row>
    <row r="28" spans="1:10" s="2" customFormat="1" ht="15.6" x14ac:dyDescent="0.3">
      <c r="A28" s="425" t="s">
        <v>163</v>
      </c>
      <c r="B28" s="467" t="s">
        <v>164</v>
      </c>
      <c r="C28" s="467"/>
      <c r="D28" s="468"/>
      <c r="E28" s="268">
        <f>SUM(E26:E27)+('2).Bevétel intézmény'!E43)+('2).Bevétel intézmény'!E57)+('2).Bevétel intézmény'!E71)</f>
        <v>0</v>
      </c>
      <c r="F28" s="258">
        <f>SUM(F26:F27)</f>
        <v>500000</v>
      </c>
      <c r="G28" s="258"/>
      <c r="H28" s="258"/>
      <c r="I28" s="258"/>
    </row>
    <row r="29" spans="1:10" s="3" customFormat="1" ht="15.6" x14ac:dyDescent="0.25">
      <c r="A29" s="190"/>
      <c r="B29" s="188" t="s">
        <v>389</v>
      </c>
      <c r="C29" s="469" t="s">
        <v>170</v>
      </c>
      <c r="D29" s="470"/>
      <c r="E29" s="267">
        <v>35213088</v>
      </c>
      <c r="F29" s="267">
        <f>('2).Bevétel intézmény'!F30)+('2).Bevétel intézmény'!F44)+('2).Bevétel intézmény'!F58)+('2).Bevétel intézmény'!F72)</f>
        <v>35213088</v>
      </c>
      <c r="G29" s="267"/>
      <c r="H29" s="256"/>
      <c r="I29" s="256"/>
    </row>
    <row r="30" spans="1:10" s="1" customFormat="1" ht="15.6" x14ac:dyDescent="0.25">
      <c r="A30" s="425" t="s">
        <v>166</v>
      </c>
      <c r="B30" s="467" t="s">
        <v>167</v>
      </c>
      <c r="C30" s="467"/>
      <c r="D30" s="468"/>
      <c r="E30" s="268">
        <f>SUM(E29)</f>
        <v>35213088</v>
      </c>
      <c r="F30" s="258">
        <f>SUM(F29)</f>
        <v>35213088</v>
      </c>
      <c r="G30" s="258"/>
      <c r="H30" s="258"/>
      <c r="I30" s="258"/>
    </row>
    <row r="31" spans="1:10" s="7" customFormat="1" ht="16.8" x14ac:dyDescent="0.3">
      <c r="A31" s="187" t="s">
        <v>175</v>
      </c>
      <c r="B31" s="475" t="s">
        <v>176</v>
      </c>
      <c r="C31" s="475"/>
      <c r="D31" s="476"/>
      <c r="E31" s="271">
        <f>E13+E16+E21+E22+E25+E28+E30</f>
        <v>438293983</v>
      </c>
      <c r="F31" s="271">
        <f>F13+F16+F21+F22+F25+F28+F30</f>
        <v>433328173</v>
      </c>
      <c r="G31" s="271"/>
      <c r="H31" s="263"/>
      <c r="I31" s="263"/>
    </row>
    <row r="32" spans="1:10" s="3" customFormat="1" ht="15.6" x14ac:dyDescent="0.25">
      <c r="A32" s="190"/>
      <c r="B32" s="188" t="s">
        <v>173</v>
      </c>
      <c r="C32" s="469" t="s">
        <v>174</v>
      </c>
      <c r="D32" s="470"/>
      <c r="E32" s="267">
        <v>98584469</v>
      </c>
      <c r="F32" s="267">
        <f>('2).Bevétel intézmény'!F32)+('2).Bevétel intézmény'!F46)+('2).Bevétel intézmény'!F60)+('2).Bevétel intézmény'!F74)</f>
        <v>99226040</v>
      </c>
      <c r="G32" s="267"/>
      <c r="H32" s="256"/>
      <c r="I32" s="256"/>
    </row>
    <row r="33" spans="1:9" s="3" customFormat="1" ht="15.6" x14ac:dyDescent="0.25">
      <c r="A33" s="190"/>
      <c r="B33" s="188" t="s">
        <v>339</v>
      </c>
      <c r="C33" s="469" t="s">
        <v>340</v>
      </c>
      <c r="D33" s="470"/>
      <c r="E33" s="267">
        <v>6778442</v>
      </c>
      <c r="F33" s="267">
        <f>('2).Bevétel intézmény'!F33)</f>
        <v>6778442</v>
      </c>
      <c r="G33" s="267"/>
      <c r="H33" s="256"/>
      <c r="I33" s="256"/>
    </row>
    <row r="34" spans="1:9" s="1" customFormat="1" ht="15.6" x14ac:dyDescent="0.25">
      <c r="A34" s="425" t="s">
        <v>171</v>
      </c>
      <c r="B34" s="467" t="s">
        <v>172</v>
      </c>
      <c r="C34" s="467"/>
      <c r="D34" s="468"/>
      <c r="E34" s="268">
        <f>SUM(E32:E33)</f>
        <v>105362911</v>
      </c>
      <c r="F34" s="258">
        <f>SUM(F32:F33)</f>
        <v>106004482</v>
      </c>
      <c r="G34" s="258"/>
      <c r="H34" s="258"/>
      <c r="I34" s="258"/>
    </row>
    <row r="35" spans="1:9" s="8" customFormat="1" ht="18" x14ac:dyDescent="0.3">
      <c r="A35" s="473" t="s">
        <v>343</v>
      </c>
      <c r="B35" s="473"/>
      <c r="C35" s="473"/>
      <c r="D35" s="474"/>
      <c r="E35" s="443">
        <f>E31+E34</f>
        <v>543656894</v>
      </c>
      <c r="F35" s="443">
        <f>F31+F34</f>
        <v>539332655</v>
      </c>
      <c r="G35" s="443"/>
      <c r="H35" s="160"/>
      <c r="I35" s="160"/>
    </row>
    <row r="36" spans="1:9" s="3" customFormat="1" ht="15.6" x14ac:dyDescent="0.25">
      <c r="A36" s="190"/>
      <c r="B36" s="188" t="s">
        <v>342</v>
      </c>
      <c r="C36" s="469" t="s">
        <v>344</v>
      </c>
      <c r="D36" s="470"/>
      <c r="E36" s="267">
        <v>159633951</v>
      </c>
      <c r="F36" s="267">
        <f>('2).Bevétel intézmény'!F47)+('2).Bevétel intézmény'!F61)+('2).Bevétel intézmény'!F75)</f>
        <v>159633951</v>
      </c>
      <c r="G36" s="267"/>
      <c r="H36" s="256"/>
      <c r="I36" s="256"/>
    </row>
    <row r="37" spans="1:9" s="444" customFormat="1" ht="18" x14ac:dyDescent="0.3">
      <c r="A37" s="473" t="s">
        <v>34</v>
      </c>
      <c r="B37" s="473"/>
      <c r="C37" s="473"/>
      <c r="D37" s="474"/>
      <c r="E37" s="443">
        <f>SUM(E35:E36)</f>
        <v>703290845</v>
      </c>
      <c r="F37" s="443">
        <f>SUM(F35:F36)</f>
        <v>698966606</v>
      </c>
      <c r="G37" s="443"/>
      <c r="H37" s="160"/>
      <c r="I37" s="160"/>
    </row>
    <row r="41" spans="1:9" x14ac:dyDescent="0.25">
      <c r="F41" s="163"/>
    </row>
  </sheetData>
  <mergeCells count="33">
    <mergeCell ref="A1:I1"/>
    <mergeCell ref="B16:D16"/>
    <mergeCell ref="C15:D15"/>
    <mergeCell ref="C14:D14"/>
    <mergeCell ref="C11:D11"/>
    <mergeCell ref="C12:D12"/>
    <mergeCell ref="B13:D13"/>
    <mergeCell ref="E3:E4"/>
    <mergeCell ref="F3:F4"/>
    <mergeCell ref="G3:G4"/>
    <mergeCell ref="H3:H4"/>
    <mergeCell ref="I3:I4"/>
    <mergeCell ref="A3:C3"/>
    <mergeCell ref="A4:C4"/>
    <mergeCell ref="A37:D37"/>
    <mergeCell ref="B28:D28"/>
    <mergeCell ref="C29:D29"/>
    <mergeCell ref="B30:D30"/>
    <mergeCell ref="B31:D31"/>
    <mergeCell ref="C32:D32"/>
    <mergeCell ref="A35:D35"/>
    <mergeCell ref="C33:D33"/>
    <mergeCell ref="B34:D34"/>
    <mergeCell ref="C36:D36"/>
    <mergeCell ref="B25:D25"/>
    <mergeCell ref="C23:D23"/>
    <mergeCell ref="C26:D26"/>
    <mergeCell ref="C27:D27"/>
    <mergeCell ref="C19:D19"/>
    <mergeCell ref="C20:D20"/>
    <mergeCell ref="B21:D21"/>
    <mergeCell ref="B22:D22"/>
    <mergeCell ref="C24:D24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72" orientation="landscape" r:id="rId1"/>
  <headerFooter>
    <oddHeader>&amp;R1. sz. melléklet
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20">
    <pageSetUpPr fitToPage="1"/>
  </sheetPr>
  <dimension ref="A1:V28"/>
  <sheetViews>
    <sheetView zoomScale="70" zoomScaleNormal="70" zoomScalePageLayoutView="70" workbookViewId="0">
      <pane xSplit="2" ySplit="4" topLeftCell="C5" activePane="bottomRight" state="frozen"/>
      <selection activeCell="J74" sqref="J74"/>
      <selection pane="topRight" activeCell="J74" sqref="J74"/>
      <selection pane="bottomLeft" activeCell="J74" sqref="J74"/>
      <selection pane="bottomRight" activeCell="D18" sqref="D18"/>
    </sheetView>
  </sheetViews>
  <sheetFormatPr defaultColWidth="1.6640625" defaultRowHeight="13.2" x14ac:dyDescent="0.25"/>
  <cols>
    <col min="1" max="1" width="5.6640625" style="5" bestFit="1" customWidth="1"/>
    <col min="2" max="2" width="21.6640625" style="275" customWidth="1"/>
    <col min="3" max="4" width="12.33203125" style="4" bestFit="1" customWidth="1"/>
    <col min="5" max="5" width="8.6640625" style="4" bestFit="1" customWidth="1"/>
    <col min="6" max="6" width="10.5546875" style="4" bestFit="1" customWidth="1"/>
    <col min="7" max="7" width="11.109375" style="4" bestFit="1" customWidth="1"/>
    <col min="8" max="8" width="10.5546875" style="4" customWidth="1"/>
    <col min="9" max="9" width="11.6640625" style="4" customWidth="1"/>
    <col min="10" max="10" width="13.44140625" style="4" bestFit="1" customWidth="1"/>
    <col min="11" max="11" width="11.109375" style="4" bestFit="1" customWidth="1"/>
    <col min="12" max="12" width="12.33203125" style="4" bestFit="1" customWidth="1"/>
    <col min="13" max="13" width="12.21875" style="4" bestFit="1" customWidth="1"/>
    <col min="14" max="14" width="12.33203125" style="4" bestFit="1" customWidth="1"/>
    <col min="15" max="15" width="13.5546875" style="4" bestFit="1" customWidth="1"/>
    <col min="16" max="17" width="12.33203125" style="4" bestFit="1" customWidth="1"/>
    <col min="18" max="18" width="10.21875" style="4" bestFit="1" customWidth="1"/>
    <col min="19" max="19" width="9.44140625" style="4" customWidth="1"/>
    <col min="20" max="21" width="13.44140625" style="4" bestFit="1" customWidth="1"/>
    <col min="22" max="22" width="16.109375" style="4" hidden="1" customWidth="1"/>
    <col min="23" max="16384" width="1.6640625" style="4"/>
  </cols>
  <sheetData>
    <row r="1" spans="1:22" ht="18" x14ac:dyDescent="0.25">
      <c r="A1" s="627" t="s">
        <v>542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7"/>
      <c r="R1" s="627"/>
      <c r="S1" s="627"/>
      <c r="T1" s="627"/>
      <c r="U1" s="627"/>
      <c r="V1" s="276"/>
    </row>
    <row r="2" spans="1:22" customFormat="1" x14ac:dyDescent="0.25">
      <c r="A2" s="304"/>
      <c r="B2" s="360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</row>
    <row r="3" spans="1:22" s="122" customFormat="1" ht="31.2" x14ac:dyDescent="0.25">
      <c r="A3" s="277"/>
      <c r="B3" s="278" t="s">
        <v>314</v>
      </c>
      <c r="C3" s="278" t="s">
        <v>315</v>
      </c>
      <c r="D3" s="278" t="s">
        <v>317</v>
      </c>
      <c r="E3" s="278" t="s">
        <v>316</v>
      </c>
      <c r="F3" s="278" t="s">
        <v>404</v>
      </c>
      <c r="G3" s="278" t="s">
        <v>402</v>
      </c>
      <c r="H3" s="278" t="s">
        <v>318</v>
      </c>
      <c r="I3" s="278" t="s">
        <v>326</v>
      </c>
      <c r="J3" s="278" t="s">
        <v>582</v>
      </c>
      <c r="K3" s="278" t="s">
        <v>319</v>
      </c>
      <c r="L3" s="278" t="s">
        <v>320</v>
      </c>
      <c r="M3" s="278" t="s">
        <v>321</v>
      </c>
      <c r="N3" s="278" t="s">
        <v>322</v>
      </c>
      <c r="O3" s="278" t="s">
        <v>323</v>
      </c>
      <c r="P3" s="278" t="s">
        <v>316</v>
      </c>
      <c r="Q3" s="278" t="s">
        <v>324</v>
      </c>
      <c r="R3" s="278" t="s">
        <v>328</v>
      </c>
      <c r="S3" s="278" t="s">
        <v>316</v>
      </c>
      <c r="T3" s="278" t="s">
        <v>325</v>
      </c>
      <c r="U3" s="278"/>
      <c r="V3" s="279"/>
    </row>
    <row r="4" spans="1:22" s="123" customFormat="1" ht="47.4" thickBot="1" x14ac:dyDescent="0.3">
      <c r="A4" s="465"/>
      <c r="B4" s="466" t="s">
        <v>55</v>
      </c>
      <c r="C4" s="466" t="s">
        <v>286</v>
      </c>
      <c r="D4" s="466" t="s">
        <v>293</v>
      </c>
      <c r="E4" s="466" t="s">
        <v>287</v>
      </c>
      <c r="F4" s="466" t="s">
        <v>541</v>
      </c>
      <c r="G4" s="466" t="s">
        <v>357</v>
      </c>
      <c r="H4" s="466" t="s">
        <v>288</v>
      </c>
      <c r="I4" s="466" t="s">
        <v>540</v>
      </c>
      <c r="J4" s="466" t="s">
        <v>403</v>
      </c>
      <c r="K4" s="466" t="s">
        <v>290</v>
      </c>
      <c r="L4" s="466" t="s">
        <v>291</v>
      </c>
      <c r="M4" s="466" t="s">
        <v>292</v>
      </c>
      <c r="N4" s="466" t="s">
        <v>100</v>
      </c>
      <c r="O4" s="466" t="s">
        <v>294</v>
      </c>
      <c r="P4" s="466" t="s">
        <v>295</v>
      </c>
      <c r="Q4" s="466" t="s">
        <v>299</v>
      </c>
      <c r="R4" s="466" t="s">
        <v>329</v>
      </c>
      <c r="S4" s="466" t="s">
        <v>296</v>
      </c>
      <c r="T4" s="466" t="s">
        <v>297</v>
      </c>
      <c r="U4" s="466" t="s">
        <v>20</v>
      </c>
      <c r="V4" s="281" t="s">
        <v>492</v>
      </c>
    </row>
    <row r="5" spans="1:22" s="273" customFormat="1" ht="31.2" x14ac:dyDescent="0.25">
      <c r="A5" s="463" t="s">
        <v>243</v>
      </c>
      <c r="B5" s="463" t="s">
        <v>244</v>
      </c>
      <c r="C5" s="363">
        <v>145000</v>
      </c>
      <c r="D5" s="363"/>
      <c r="E5" s="363"/>
      <c r="F5" s="363"/>
      <c r="G5" s="363"/>
      <c r="H5" s="363"/>
      <c r="I5" s="363">
        <v>55000</v>
      </c>
      <c r="J5" s="363"/>
      <c r="K5" s="363"/>
      <c r="L5" s="363">
        <v>100000</v>
      </c>
      <c r="M5" s="363"/>
      <c r="N5" s="363"/>
      <c r="O5" s="363"/>
      <c r="P5" s="363"/>
      <c r="Q5" s="363"/>
      <c r="R5" s="363"/>
      <c r="S5" s="363"/>
      <c r="T5" s="363"/>
      <c r="U5" s="464">
        <f t="shared" ref="U5:U25" si="0">SUM(C5:T5)</f>
        <v>300000</v>
      </c>
      <c r="V5" s="256">
        <f>'3b).Dologi kiad intézmény'!D5+'3b).Dologi kiad intézmény'!D29+'3b).Dologi kiad intézmény'!D52+'3b).Dologi kiad intézmény'!D75</f>
        <v>300000</v>
      </c>
    </row>
    <row r="6" spans="1:22" s="273" customFormat="1" ht="31.2" x14ac:dyDescent="0.25">
      <c r="A6" s="280" t="s">
        <v>245</v>
      </c>
      <c r="B6" s="280" t="s">
        <v>246</v>
      </c>
      <c r="C6" s="284">
        <f>5142000-377568</f>
        <v>4764432</v>
      </c>
      <c r="D6" s="284">
        <v>10000</v>
      </c>
      <c r="E6" s="284"/>
      <c r="F6" s="284"/>
      <c r="G6" s="284"/>
      <c r="H6" s="284">
        <v>98000</v>
      </c>
      <c r="I6" s="284"/>
      <c r="J6" s="284">
        <v>15238740</v>
      </c>
      <c r="K6" s="284"/>
      <c r="L6" s="284">
        <v>800000</v>
      </c>
      <c r="M6" s="284"/>
      <c r="N6" s="284"/>
      <c r="O6" s="284">
        <v>500000</v>
      </c>
      <c r="P6" s="284">
        <v>150000</v>
      </c>
      <c r="Q6" s="284">
        <v>31000</v>
      </c>
      <c r="R6" s="284"/>
      <c r="S6" s="284"/>
      <c r="T6" s="284">
        <f>7676260+154000-3000000</f>
        <v>4830260</v>
      </c>
      <c r="U6" s="258">
        <f t="shared" si="0"/>
        <v>26422432</v>
      </c>
      <c r="V6" s="256">
        <f>'3b).Dologi kiad intézmény'!D6+'3b).Dologi kiad intézmény'!D30+'3b).Dologi kiad intézmény'!D53+'3b).Dologi kiad intézmény'!D76</f>
        <v>26422432</v>
      </c>
    </row>
    <row r="7" spans="1:22" s="273" customFormat="1" ht="17.399999999999999" x14ac:dyDescent="0.25">
      <c r="A7" s="460" t="s">
        <v>247</v>
      </c>
      <c r="B7" s="460" t="s">
        <v>0</v>
      </c>
      <c r="C7" s="365">
        <f t="shared" ref="C7:T7" si="1">SUM(C5:C6)</f>
        <v>4909432</v>
      </c>
      <c r="D7" s="365">
        <f t="shared" si="1"/>
        <v>10000</v>
      </c>
      <c r="E7" s="365">
        <f t="shared" si="1"/>
        <v>0</v>
      </c>
      <c r="F7" s="365">
        <f t="shared" si="1"/>
        <v>0</v>
      </c>
      <c r="G7" s="365">
        <f t="shared" si="1"/>
        <v>0</v>
      </c>
      <c r="H7" s="365">
        <f t="shared" si="1"/>
        <v>98000</v>
      </c>
      <c r="I7" s="365">
        <f t="shared" si="1"/>
        <v>55000</v>
      </c>
      <c r="J7" s="365">
        <f t="shared" si="1"/>
        <v>15238740</v>
      </c>
      <c r="K7" s="365">
        <f t="shared" si="1"/>
        <v>0</v>
      </c>
      <c r="L7" s="365">
        <f t="shared" si="1"/>
        <v>900000</v>
      </c>
      <c r="M7" s="365">
        <f t="shared" si="1"/>
        <v>0</v>
      </c>
      <c r="N7" s="365">
        <f t="shared" si="1"/>
        <v>0</v>
      </c>
      <c r="O7" s="365">
        <f t="shared" si="1"/>
        <v>500000</v>
      </c>
      <c r="P7" s="365">
        <f t="shared" si="1"/>
        <v>150000</v>
      </c>
      <c r="Q7" s="365">
        <f t="shared" si="1"/>
        <v>31000</v>
      </c>
      <c r="R7" s="365">
        <f t="shared" si="1"/>
        <v>0</v>
      </c>
      <c r="S7" s="365">
        <f t="shared" si="1"/>
        <v>0</v>
      </c>
      <c r="T7" s="365">
        <f t="shared" si="1"/>
        <v>4830260</v>
      </c>
      <c r="U7" s="258">
        <f t="shared" si="0"/>
        <v>26722432</v>
      </c>
      <c r="V7" s="256">
        <f>'3b).Dologi kiad intézmény'!D7+'3b).Dologi kiad intézmény'!D31+'3b).Dologi kiad intézmény'!D54+'3b).Dologi kiad intézmény'!D77</f>
        <v>26722432</v>
      </c>
    </row>
    <row r="8" spans="1:22" s="273" customFormat="1" ht="46.8" x14ac:dyDescent="0.25">
      <c r="A8" s="280" t="s">
        <v>248</v>
      </c>
      <c r="B8" s="280" t="s">
        <v>285</v>
      </c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>
        <f>599000+13000</f>
        <v>612000</v>
      </c>
      <c r="P8" s="284"/>
      <c r="Q8" s="284"/>
      <c r="R8" s="284"/>
      <c r="S8" s="284"/>
      <c r="T8" s="284">
        <v>668000</v>
      </c>
      <c r="U8" s="258">
        <f t="shared" si="0"/>
        <v>1280000</v>
      </c>
      <c r="V8" s="256">
        <f>'3b).Dologi kiad intézmény'!D8+'3b).Dologi kiad intézmény'!D32+'3b).Dologi kiad intézmény'!D55+'3b).Dologi kiad intézmény'!D78</f>
        <v>1280000</v>
      </c>
    </row>
    <row r="9" spans="1:22" s="273" customFormat="1" ht="46.8" x14ac:dyDescent="0.25">
      <c r="A9" s="280" t="s">
        <v>249</v>
      </c>
      <c r="B9" s="280" t="s">
        <v>3</v>
      </c>
      <c r="C9" s="284"/>
      <c r="D9" s="284">
        <v>40000</v>
      </c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>
        <v>40000</v>
      </c>
      <c r="Q9" s="284"/>
      <c r="R9" s="284"/>
      <c r="S9" s="284"/>
      <c r="T9" s="284">
        <v>595000</v>
      </c>
      <c r="U9" s="258">
        <f t="shared" si="0"/>
        <v>675000</v>
      </c>
      <c r="V9" s="256">
        <f>'3b).Dologi kiad intézmény'!D9+'3b).Dologi kiad intézmény'!D33+'3b).Dologi kiad intézmény'!D56+'3b).Dologi kiad intézmény'!D79</f>
        <v>675000</v>
      </c>
    </row>
    <row r="10" spans="1:22" s="273" customFormat="1" ht="31.2" x14ac:dyDescent="0.25">
      <c r="A10" s="460" t="s">
        <v>250</v>
      </c>
      <c r="B10" s="460" t="s">
        <v>2</v>
      </c>
      <c r="C10" s="365">
        <f t="shared" ref="C10:T10" si="2">SUM(C8:C9)</f>
        <v>0</v>
      </c>
      <c r="D10" s="365">
        <f t="shared" si="2"/>
        <v>40000</v>
      </c>
      <c r="E10" s="365">
        <f t="shared" si="2"/>
        <v>0</v>
      </c>
      <c r="F10" s="365">
        <f t="shared" si="2"/>
        <v>0</v>
      </c>
      <c r="G10" s="365">
        <f t="shared" si="2"/>
        <v>0</v>
      </c>
      <c r="H10" s="365">
        <f t="shared" si="2"/>
        <v>0</v>
      </c>
      <c r="I10" s="365">
        <f t="shared" si="2"/>
        <v>0</v>
      </c>
      <c r="J10" s="365">
        <f t="shared" si="2"/>
        <v>0</v>
      </c>
      <c r="K10" s="365">
        <f t="shared" si="2"/>
        <v>0</v>
      </c>
      <c r="L10" s="365">
        <f t="shared" si="2"/>
        <v>0</v>
      </c>
      <c r="M10" s="365">
        <f t="shared" si="2"/>
        <v>0</v>
      </c>
      <c r="N10" s="365">
        <f t="shared" si="2"/>
        <v>0</v>
      </c>
      <c r="O10" s="365">
        <f t="shared" si="2"/>
        <v>612000</v>
      </c>
      <c r="P10" s="365">
        <f t="shared" si="2"/>
        <v>40000</v>
      </c>
      <c r="Q10" s="365">
        <f t="shared" si="2"/>
        <v>0</v>
      </c>
      <c r="R10" s="365">
        <f t="shared" si="2"/>
        <v>0</v>
      </c>
      <c r="S10" s="365">
        <f t="shared" si="2"/>
        <v>0</v>
      </c>
      <c r="T10" s="365">
        <f t="shared" si="2"/>
        <v>1263000</v>
      </c>
      <c r="U10" s="258">
        <f t="shared" si="0"/>
        <v>1955000</v>
      </c>
      <c r="V10" s="256">
        <f>'3b).Dologi kiad intézmény'!D10+'3b).Dologi kiad intézmény'!D34+'3b).Dologi kiad intézmény'!D57+'3b).Dologi kiad intézmény'!D80</f>
        <v>1955000</v>
      </c>
    </row>
    <row r="11" spans="1:22" s="273" customFormat="1" ht="17.399999999999999" x14ac:dyDescent="0.25">
      <c r="A11" s="280" t="s">
        <v>251</v>
      </c>
      <c r="B11" s="280" t="s">
        <v>252</v>
      </c>
      <c r="C11" s="284"/>
      <c r="D11" s="284">
        <v>550000</v>
      </c>
      <c r="E11" s="284">
        <v>3000</v>
      </c>
      <c r="F11" s="284"/>
      <c r="G11" s="284">
        <v>300000</v>
      </c>
      <c r="H11" s="284">
        <v>150000</v>
      </c>
      <c r="I11" s="284"/>
      <c r="J11" s="284">
        <v>1000</v>
      </c>
      <c r="K11" s="284">
        <v>10000</v>
      </c>
      <c r="L11" s="284">
        <v>3000</v>
      </c>
      <c r="M11" s="284">
        <v>7000</v>
      </c>
      <c r="N11" s="284">
        <v>3300000</v>
      </c>
      <c r="O11" s="284">
        <v>910000</v>
      </c>
      <c r="P11" s="284">
        <v>800000</v>
      </c>
      <c r="Q11" s="284">
        <v>1310000</v>
      </c>
      <c r="R11" s="284"/>
      <c r="S11" s="284"/>
      <c r="T11" s="284">
        <v>3656000</v>
      </c>
      <c r="U11" s="258">
        <f>SUM(C11:T11)</f>
        <v>11000000</v>
      </c>
      <c r="V11" s="256">
        <f>'3b).Dologi kiad intézmény'!D11+'3b).Dologi kiad intézmény'!D35+'3b).Dologi kiad intézmény'!D58+'3b).Dologi kiad intézmény'!D81</f>
        <v>11000000</v>
      </c>
    </row>
    <row r="12" spans="1:22" s="273" customFormat="1" ht="17.399999999999999" x14ac:dyDescent="0.25">
      <c r="A12" s="280" t="s">
        <v>253</v>
      </c>
      <c r="B12" s="280" t="s">
        <v>4</v>
      </c>
      <c r="C12" s="284">
        <v>16000</v>
      </c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>
        <v>2000</v>
      </c>
      <c r="P12" s="284"/>
      <c r="Q12" s="284"/>
      <c r="R12" s="284"/>
      <c r="S12" s="284"/>
      <c r="T12" s="284">
        <v>37000</v>
      </c>
      <c r="U12" s="258">
        <f t="shared" ref="U12:U17" si="3">SUM(C12:T12)</f>
        <v>55000</v>
      </c>
      <c r="V12" s="256">
        <f>'3b).Dologi kiad intézmény'!D12+'3b).Dologi kiad intézmény'!D36+'3b).Dologi kiad intézmény'!D59+'3b).Dologi kiad intézmény'!D82</f>
        <v>55000</v>
      </c>
    </row>
    <row r="13" spans="1:22" s="273" customFormat="1" ht="17.399999999999999" x14ac:dyDescent="0.25">
      <c r="A13" s="280" t="s">
        <v>254</v>
      </c>
      <c r="B13" s="280" t="s">
        <v>5</v>
      </c>
      <c r="C13" s="284"/>
      <c r="D13" s="284"/>
      <c r="E13" s="284"/>
      <c r="F13" s="284">
        <v>52000</v>
      </c>
      <c r="G13" s="284"/>
      <c r="H13" s="284"/>
      <c r="I13" s="284"/>
      <c r="J13" s="284"/>
      <c r="K13" s="284"/>
      <c r="L13" s="284"/>
      <c r="M13" s="284"/>
      <c r="N13" s="284"/>
      <c r="O13" s="284">
        <v>320000</v>
      </c>
      <c r="P13" s="284"/>
      <c r="Q13" s="284"/>
      <c r="R13" s="284"/>
      <c r="S13" s="284"/>
      <c r="T13" s="284">
        <f>178000+30000</f>
        <v>208000</v>
      </c>
      <c r="U13" s="258">
        <f t="shared" si="3"/>
        <v>580000</v>
      </c>
      <c r="V13" s="256">
        <f>'3b).Dologi kiad intézmény'!D13+'3b).Dologi kiad intézmény'!D37+'3b).Dologi kiad intézmény'!D60+'3b).Dologi kiad intézmény'!D83</f>
        <v>580000</v>
      </c>
    </row>
    <row r="14" spans="1:22" s="273" customFormat="1" ht="46.8" x14ac:dyDescent="0.25">
      <c r="A14" s="280" t="s">
        <v>255</v>
      </c>
      <c r="B14" s="280" t="s">
        <v>257</v>
      </c>
      <c r="C14" s="284"/>
      <c r="D14" s="284">
        <v>86000</v>
      </c>
      <c r="E14" s="284"/>
      <c r="F14" s="284"/>
      <c r="G14" s="284"/>
      <c r="H14" s="284"/>
      <c r="I14" s="284"/>
      <c r="J14" s="284"/>
      <c r="K14" s="284"/>
      <c r="L14" s="284">
        <v>120000</v>
      </c>
      <c r="M14" s="284"/>
      <c r="N14" s="284"/>
      <c r="O14" s="284">
        <v>50000</v>
      </c>
      <c r="P14" s="284">
        <v>189000</v>
      </c>
      <c r="Q14" s="284"/>
      <c r="R14" s="284"/>
      <c r="S14" s="284"/>
      <c r="T14" s="284">
        <f>1215000+20000-500000-120000</f>
        <v>615000</v>
      </c>
      <c r="U14" s="258">
        <f t="shared" si="3"/>
        <v>1060000</v>
      </c>
      <c r="V14" s="256">
        <f>'3b).Dologi kiad intézmény'!D14+'3b).Dologi kiad intézmény'!D38+'3b).Dologi kiad intézmény'!D61+'3b).Dologi kiad intézmény'!D84</f>
        <v>1060000</v>
      </c>
    </row>
    <row r="15" spans="1:22" s="273" customFormat="1" ht="31.2" x14ac:dyDescent="0.25">
      <c r="A15" s="280" t="s">
        <v>256</v>
      </c>
      <c r="B15" s="280" t="s">
        <v>258</v>
      </c>
      <c r="C15" s="284"/>
      <c r="D15" s="284">
        <v>2450000</v>
      </c>
      <c r="E15" s="284"/>
      <c r="F15" s="284"/>
      <c r="G15" s="284"/>
      <c r="H15" s="284">
        <v>25000</v>
      </c>
      <c r="I15" s="284"/>
      <c r="J15" s="284"/>
      <c r="K15" s="284"/>
      <c r="L15" s="284"/>
      <c r="M15" s="284"/>
      <c r="N15" s="284"/>
      <c r="O15" s="284"/>
      <c r="P15" s="284">
        <v>25000</v>
      </c>
      <c r="Q15" s="284"/>
      <c r="R15" s="284"/>
      <c r="S15" s="284"/>
      <c r="T15" s="284"/>
      <c r="U15" s="258">
        <f t="shared" si="3"/>
        <v>2500000</v>
      </c>
      <c r="V15" s="256">
        <f>'3b).Dologi kiad intézmény'!D15</f>
        <v>2500000</v>
      </c>
    </row>
    <row r="16" spans="1:22" s="273" customFormat="1" ht="46.8" x14ac:dyDescent="0.25">
      <c r="A16" s="280" t="s">
        <v>259</v>
      </c>
      <c r="B16" s="280" t="s">
        <v>260</v>
      </c>
      <c r="C16" s="284">
        <v>10000</v>
      </c>
      <c r="D16" s="284"/>
      <c r="E16" s="284"/>
      <c r="F16" s="284"/>
      <c r="G16" s="284"/>
      <c r="H16" s="284"/>
      <c r="I16" s="284"/>
      <c r="J16" s="284"/>
      <c r="K16" s="284"/>
      <c r="L16" s="284">
        <v>510000</v>
      </c>
      <c r="M16" s="284"/>
      <c r="N16" s="284"/>
      <c r="O16" s="284">
        <v>15000</v>
      </c>
      <c r="P16" s="284"/>
      <c r="Q16" s="284"/>
      <c r="R16" s="284"/>
      <c r="S16" s="284"/>
      <c r="T16" s="284">
        <v>1865000</v>
      </c>
      <c r="U16" s="258">
        <f t="shared" si="3"/>
        <v>2400000</v>
      </c>
      <c r="V16" s="256">
        <f>'3b).Dologi kiad intézmény'!D16+'3b).Dologi kiad intézmény'!D39+'3b).Dologi kiad intézmény'!D62+'3b).Dologi kiad intézmény'!D85</f>
        <v>2400000</v>
      </c>
    </row>
    <row r="17" spans="1:22" s="273" customFormat="1" ht="17.399999999999999" x14ac:dyDescent="0.25">
      <c r="A17" s="280" t="s">
        <v>261</v>
      </c>
      <c r="B17" s="280" t="s">
        <v>262</v>
      </c>
      <c r="C17" s="284">
        <v>9000</v>
      </c>
      <c r="D17" s="284">
        <v>155000</v>
      </c>
      <c r="E17" s="284"/>
      <c r="F17" s="284">
        <v>300000</v>
      </c>
      <c r="G17" s="284"/>
      <c r="H17" s="284">
        <v>8000</v>
      </c>
      <c r="I17" s="284"/>
      <c r="J17" s="284">
        <v>733000</v>
      </c>
      <c r="K17" s="284">
        <v>125000</v>
      </c>
      <c r="L17" s="284">
        <v>132000</v>
      </c>
      <c r="M17" s="284">
        <v>1160000</v>
      </c>
      <c r="N17" s="284"/>
      <c r="O17" s="284">
        <v>1851000</v>
      </c>
      <c r="P17" s="284">
        <v>488000</v>
      </c>
      <c r="Q17" s="284">
        <v>33000</v>
      </c>
      <c r="R17" s="284"/>
      <c r="S17" s="284"/>
      <c r="T17" s="284">
        <f>548000+7108000-2000000</f>
        <v>5656000</v>
      </c>
      <c r="U17" s="258">
        <f t="shared" si="3"/>
        <v>10650000</v>
      </c>
      <c r="V17" s="256">
        <f>'3b).Dologi kiad intézmény'!D17+'3b).Dologi kiad intézmény'!D40+'3b).Dologi kiad intézmény'!D63+'3b).Dologi kiad intézmény'!D86</f>
        <v>10650000</v>
      </c>
    </row>
    <row r="18" spans="1:22" s="273" customFormat="1" ht="31.2" x14ac:dyDescent="0.25">
      <c r="A18" s="460" t="s">
        <v>263</v>
      </c>
      <c r="B18" s="460" t="s">
        <v>264</v>
      </c>
      <c r="C18" s="365">
        <f>SUM(C11:C17)</f>
        <v>35000</v>
      </c>
      <c r="D18" s="365">
        <f t="shared" ref="D18:S18" si="4">SUM(D11:D17)</f>
        <v>3241000</v>
      </c>
      <c r="E18" s="365">
        <f t="shared" si="4"/>
        <v>3000</v>
      </c>
      <c r="F18" s="365">
        <f t="shared" si="4"/>
        <v>352000</v>
      </c>
      <c r="G18" s="365">
        <f t="shared" si="4"/>
        <v>300000</v>
      </c>
      <c r="H18" s="365">
        <f t="shared" si="4"/>
        <v>183000</v>
      </c>
      <c r="I18" s="365">
        <f t="shared" si="4"/>
        <v>0</v>
      </c>
      <c r="J18" s="365">
        <f t="shared" si="4"/>
        <v>734000</v>
      </c>
      <c r="K18" s="365">
        <f t="shared" si="4"/>
        <v>135000</v>
      </c>
      <c r="L18" s="365">
        <f t="shared" si="4"/>
        <v>765000</v>
      </c>
      <c r="M18" s="365">
        <f t="shared" si="4"/>
        <v>1167000</v>
      </c>
      <c r="N18" s="365">
        <f t="shared" si="4"/>
        <v>3300000</v>
      </c>
      <c r="O18" s="365">
        <f t="shared" si="4"/>
        <v>3148000</v>
      </c>
      <c r="P18" s="365">
        <f t="shared" si="4"/>
        <v>1502000</v>
      </c>
      <c r="Q18" s="365">
        <f t="shared" si="4"/>
        <v>1343000</v>
      </c>
      <c r="R18" s="365">
        <f t="shared" si="4"/>
        <v>0</v>
      </c>
      <c r="S18" s="365">
        <f t="shared" si="4"/>
        <v>0</v>
      </c>
      <c r="T18" s="365">
        <f>SUM(T11:T17)</f>
        <v>12037000</v>
      </c>
      <c r="U18" s="258">
        <f>SUM(C18:T18)</f>
        <v>28245000</v>
      </c>
      <c r="V18" s="256">
        <f>'3b).Dologi kiad intézmény'!D18+'3b).Dologi kiad intézmény'!D41+'3b).Dologi kiad intézmény'!D64+'3b).Dologi kiad intézmény'!D87</f>
        <v>28245000</v>
      </c>
    </row>
    <row r="19" spans="1:22" s="273" customFormat="1" ht="17.399999999999999" x14ac:dyDescent="0.25">
      <c r="A19" s="280" t="s">
        <v>265</v>
      </c>
      <c r="B19" s="280" t="s">
        <v>266</v>
      </c>
      <c r="C19" s="284">
        <v>45000</v>
      </c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>
        <v>55000</v>
      </c>
      <c r="P19" s="284"/>
      <c r="Q19" s="284"/>
      <c r="R19" s="284"/>
      <c r="S19" s="284"/>
      <c r="T19" s="284">
        <v>530000</v>
      </c>
      <c r="U19" s="258">
        <f t="shared" si="0"/>
        <v>630000</v>
      </c>
      <c r="V19" s="256">
        <f>'3b).Dologi kiad intézmény'!D19+'3b).Dologi kiad intézmény'!D42+'3b).Dologi kiad intézmény'!D65+'3b).Dologi kiad intézmény'!D88</f>
        <v>630000</v>
      </c>
    </row>
    <row r="20" spans="1:22" s="273" customFormat="1" ht="46.8" x14ac:dyDescent="0.25">
      <c r="A20" s="460" t="s">
        <v>267</v>
      </c>
      <c r="B20" s="460" t="s">
        <v>268</v>
      </c>
      <c r="C20" s="365">
        <f t="shared" ref="C20:T20" si="5">SUM(C19:C19)</f>
        <v>45000</v>
      </c>
      <c r="D20" s="365">
        <f t="shared" si="5"/>
        <v>0</v>
      </c>
      <c r="E20" s="365">
        <f t="shared" si="5"/>
        <v>0</v>
      </c>
      <c r="F20" s="365">
        <f t="shared" si="5"/>
        <v>0</v>
      </c>
      <c r="G20" s="365">
        <f t="shared" si="5"/>
        <v>0</v>
      </c>
      <c r="H20" s="365">
        <f t="shared" si="5"/>
        <v>0</v>
      </c>
      <c r="I20" s="365">
        <f t="shared" si="5"/>
        <v>0</v>
      </c>
      <c r="J20" s="365">
        <f t="shared" si="5"/>
        <v>0</v>
      </c>
      <c r="K20" s="365">
        <f t="shared" si="5"/>
        <v>0</v>
      </c>
      <c r="L20" s="365">
        <f t="shared" si="5"/>
        <v>0</v>
      </c>
      <c r="M20" s="365">
        <f t="shared" si="5"/>
        <v>0</v>
      </c>
      <c r="N20" s="365">
        <f t="shared" si="5"/>
        <v>0</v>
      </c>
      <c r="O20" s="365">
        <f t="shared" si="5"/>
        <v>55000</v>
      </c>
      <c r="P20" s="365">
        <f t="shared" si="5"/>
        <v>0</v>
      </c>
      <c r="Q20" s="365">
        <f t="shared" si="5"/>
        <v>0</v>
      </c>
      <c r="R20" s="365">
        <f t="shared" si="5"/>
        <v>0</v>
      </c>
      <c r="S20" s="365">
        <f t="shared" si="5"/>
        <v>0</v>
      </c>
      <c r="T20" s="365">
        <f t="shared" si="5"/>
        <v>530000</v>
      </c>
      <c r="U20" s="258">
        <f t="shared" si="0"/>
        <v>630000</v>
      </c>
      <c r="V20" s="256">
        <f>'3b).Dologi kiad intézmény'!D20+'3b).Dologi kiad intézmény'!D43+'3b).Dologi kiad intézmény'!D66+'3b).Dologi kiad intézmény'!D89</f>
        <v>630000</v>
      </c>
    </row>
    <row r="21" spans="1:22" s="273" customFormat="1" ht="46.8" x14ac:dyDescent="0.25">
      <c r="A21" s="280" t="s">
        <v>269</v>
      </c>
      <c r="B21" s="280" t="s">
        <v>270</v>
      </c>
      <c r="C21" s="284">
        <v>1750000</v>
      </c>
      <c r="D21" s="284">
        <v>270000</v>
      </c>
      <c r="E21" s="284"/>
      <c r="F21" s="284">
        <v>95000</v>
      </c>
      <c r="G21" s="284"/>
      <c r="H21" s="284">
        <v>160000</v>
      </c>
      <c r="I21" s="284"/>
      <c r="J21" s="284">
        <v>5000</v>
      </c>
      <c r="K21" s="284">
        <v>36000</v>
      </c>
      <c r="L21" s="284">
        <v>500000</v>
      </c>
      <c r="M21" s="284">
        <v>5000</v>
      </c>
      <c r="N21" s="284">
        <v>515000</v>
      </c>
      <c r="O21" s="284">
        <v>3140000</v>
      </c>
      <c r="P21" s="284">
        <v>435000</v>
      </c>
      <c r="Q21" s="284">
        <v>105000</v>
      </c>
      <c r="R21" s="284"/>
      <c r="S21" s="284"/>
      <c r="T21" s="284">
        <v>6044000</v>
      </c>
      <c r="U21" s="258">
        <f t="shared" si="0"/>
        <v>13060000</v>
      </c>
      <c r="V21" s="256">
        <f>'3b).Dologi kiad intézmény'!D21+'3b).Dologi kiad intézmény'!D44+'3b).Dologi kiad intézmény'!D67+'3b).Dologi kiad intézmény'!D90</f>
        <v>13060000</v>
      </c>
    </row>
    <row r="22" spans="1:22" s="273" customFormat="1" ht="17.399999999999999" x14ac:dyDescent="0.25">
      <c r="A22" s="280" t="s">
        <v>271</v>
      </c>
      <c r="B22" s="280" t="s">
        <v>272</v>
      </c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>
        <v>5800000</v>
      </c>
      <c r="U22" s="258">
        <f t="shared" si="0"/>
        <v>5800000</v>
      </c>
      <c r="V22" s="256">
        <f>'3b).Dologi kiad intézmény'!D22+'3b).Dologi kiad intézmény'!D45+'3b).Dologi kiad intézmény'!D68+'3b).Dologi kiad intézmény'!D91</f>
        <v>5800000</v>
      </c>
    </row>
    <row r="23" spans="1:22" s="273" customFormat="1" ht="17.399999999999999" x14ac:dyDescent="0.25">
      <c r="A23" s="280" t="s">
        <v>273</v>
      </c>
      <c r="B23" s="280" t="s">
        <v>274</v>
      </c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58">
        <f t="shared" si="0"/>
        <v>0</v>
      </c>
      <c r="V23" s="256">
        <f>'3b).Dologi kiad intézmény'!D23+'3b).Dologi kiad intézmény'!D46+'3b).Dologi kiad intézmény'!D69+'3b).Dologi kiad intézmény'!D92</f>
        <v>0</v>
      </c>
    </row>
    <row r="24" spans="1:22" s="273" customFormat="1" ht="31.2" x14ac:dyDescent="0.25">
      <c r="A24" s="280" t="s">
        <v>275</v>
      </c>
      <c r="B24" s="280" t="s">
        <v>276</v>
      </c>
      <c r="C24" s="284"/>
      <c r="D24" s="284"/>
      <c r="E24" s="284"/>
      <c r="F24" s="284"/>
      <c r="G24" s="284"/>
      <c r="H24" s="284"/>
      <c r="I24" s="284"/>
      <c r="J24" s="284"/>
      <c r="K24" s="284"/>
      <c r="L24" s="284">
        <v>35000</v>
      </c>
      <c r="M24" s="284"/>
      <c r="N24" s="284"/>
      <c r="O24" s="284">
        <v>10000</v>
      </c>
      <c r="P24" s="284"/>
      <c r="Q24" s="284"/>
      <c r="R24" s="284"/>
      <c r="S24" s="284"/>
      <c r="T24" s="284">
        <v>615000</v>
      </c>
      <c r="U24" s="258">
        <f t="shared" si="0"/>
        <v>660000</v>
      </c>
      <c r="V24" s="256">
        <f>'3b).Dologi kiad intézmény'!D24+'3b).Dologi kiad intézmény'!D47+'3b).Dologi kiad intézmény'!D70+'3b).Dologi kiad intézmény'!D93</f>
        <v>660000</v>
      </c>
    </row>
    <row r="25" spans="1:22" s="273" customFormat="1" ht="46.8" x14ac:dyDescent="0.25">
      <c r="A25" s="461" t="s">
        <v>277</v>
      </c>
      <c r="B25" s="461" t="s">
        <v>278</v>
      </c>
      <c r="C25" s="365">
        <f t="shared" ref="C25:T25" si="6">SUM(C21:C24)</f>
        <v>1750000</v>
      </c>
      <c r="D25" s="365">
        <f t="shared" si="6"/>
        <v>270000</v>
      </c>
      <c r="E25" s="365">
        <f t="shared" si="6"/>
        <v>0</v>
      </c>
      <c r="F25" s="365">
        <f t="shared" si="6"/>
        <v>95000</v>
      </c>
      <c r="G25" s="365">
        <f t="shared" si="6"/>
        <v>0</v>
      </c>
      <c r="H25" s="365">
        <f t="shared" si="6"/>
        <v>160000</v>
      </c>
      <c r="I25" s="365">
        <f t="shared" si="6"/>
        <v>0</v>
      </c>
      <c r="J25" s="365">
        <f t="shared" si="6"/>
        <v>5000</v>
      </c>
      <c r="K25" s="365">
        <f t="shared" si="6"/>
        <v>36000</v>
      </c>
      <c r="L25" s="365">
        <f t="shared" si="6"/>
        <v>535000</v>
      </c>
      <c r="M25" s="365">
        <f t="shared" si="6"/>
        <v>5000</v>
      </c>
      <c r="N25" s="365">
        <f t="shared" si="6"/>
        <v>515000</v>
      </c>
      <c r="O25" s="365">
        <f t="shared" si="6"/>
        <v>3150000</v>
      </c>
      <c r="P25" s="365">
        <f t="shared" si="6"/>
        <v>435000</v>
      </c>
      <c r="Q25" s="365">
        <f t="shared" si="6"/>
        <v>105000</v>
      </c>
      <c r="R25" s="365">
        <f t="shared" si="6"/>
        <v>0</v>
      </c>
      <c r="S25" s="365">
        <f t="shared" si="6"/>
        <v>0</v>
      </c>
      <c r="T25" s="365">
        <f t="shared" si="6"/>
        <v>12459000</v>
      </c>
      <c r="U25" s="258">
        <f t="shared" si="0"/>
        <v>19520000</v>
      </c>
      <c r="V25" s="256">
        <f>'3b).Dologi kiad intézmény'!D25+'3b).Dologi kiad intézmény'!D48+'3b).Dologi kiad intézmény'!D71+'3b).Dologi kiad intézmény'!D94</f>
        <v>19520000</v>
      </c>
    </row>
    <row r="26" spans="1:22" s="274" customFormat="1" ht="15.6" x14ac:dyDescent="0.25">
      <c r="A26" s="462" t="s">
        <v>279</v>
      </c>
      <c r="B26" s="462" t="s">
        <v>37</v>
      </c>
      <c r="C26" s="263">
        <f t="shared" ref="C26:U26" si="7">(C7+C10+C18+C20+C25)</f>
        <v>6739432</v>
      </c>
      <c r="D26" s="263">
        <f t="shared" si="7"/>
        <v>3561000</v>
      </c>
      <c r="E26" s="263">
        <f t="shared" si="7"/>
        <v>3000</v>
      </c>
      <c r="F26" s="263">
        <f t="shared" si="7"/>
        <v>447000</v>
      </c>
      <c r="G26" s="263">
        <f t="shared" si="7"/>
        <v>300000</v>
      </c>
      <c r="H26" s="263">
        <f t="shared" si="7"/>
        <v>441000</v>
      </c>
      <c r="I26" s="263">
        <f t="shared" si="7"/>
        <v>55000</v>
      </c>
      <c r="J26" s="263">
        <f t="shared" si="7"/>
        <v>15977740</v>
      </c>
      <c r="K26" s="263">
        <f t="shared" si="7"/>
        <v>171000</v>
      </c>
      <c r="L26" s="263">
        <f t="shared" si="7"/>
        <v>2200000</v>
      </c>
      <c r="M26" s="263">
        <f t="shared" si="7"/>
        <v>1172000</v>
      </c>
      <c r="N26" s="263">
        <f t="shared" si="7"/>
        <v>3815000</v>
      </c>
      <c r="O26" s="263">
        <f t="shared" si="7"/>
        <v>7465000</v>
      </c>
      <c r="P26" s="263">
        <f t="shared" si="7"/>
        <v>2127000</v>
      </c>
      <c r="Q26" s="263">
        <f t="shared" si="7"/>
        <v>1479000</v>
      </c>
      <c r="R26" s="263">
        <f t="shared" si="7"/>
        <v>0</v>
      </c>
      <c r="S26" s="263">
        <f t="shared" si="7"/>
        <v>0</v>
      </c>
      <c r="T26" s="263">
        <f t="shared" si="7"/>
        <v>31119260</v>
      </c>
      <c r="U26" s="263">
        <f t="shared" si="7"/>
        <v>77072432</v>
      </c>
      <c r="V26" s="256">
        <f>'3b).Dologi kiad intézmény'!D97</f>
        <v>77072432</v>
      </c>
    </row>
    <row r="27" spans="1:22" ht="15.6" x14ac:dyDescent="0.25">
      <c r="U27" s="459">
        <f>V26</f>
        <v>77072432</v>
      </c>
      <c r="V27" s="276">
        <f>V26-U26</f>
        <v>0</v>
      </c>
    </row>
    <row r="28" spans="1:22" x14ac:dyDescent="0.25">
      <c r="U28" s="70">
        <f>U26-U27</f>
        <v>0</v>
      </c>
    </row>
  </sheetData>
  <mergeCells count="1">
    <mergeCell ref="A1:U1"/>
  </mergeCells>
  <printOptions horizontalCentered="1"/>
  <pageMargins left="7.874015748031496E-2" right="7.874015748031496E-2" top="0.62992125984251968" bottom="7.874015748031496E-2" header="0.31496062992125984" footer="0.31496062992125984"/>
  <pageSetup paperSize="9" scale="58" orientation="landscape" r:id="rId1"/>
  <headerFooter>
    <oddHeader>&amp;R3./c sz. melléklet
Ft-ban</oddHeader>
  </headerFooter>
  <ignoredErrors>
    <ignoredError sqref="F3:I3 K3:T3 D3:E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6">
    <pageSetUpPr fitToPage="1"/>
  </sheetPr>
  <dimension ref="A1:G69"/>
  <sheetViews>
    <sheetView zoomScale="90" zoomScaleNormal="90" workbookViewId="0">
      <selection activeCell="K62" sqref="K62"/>
    </sheetView>
  </sheetViews>
  <sheetFormatPr defaultColWidth="9.109375" defaultRowHeight="13.2" x14ac:dyDescent="0.25"/>
  <cols>
    <col min="1" max="1" width="9.44140625" style="21" bestFit="1" customWidth="1"/>
    <col min="2" max="2" width="56.109375" style="21" bestFit="1" customWidth="1"/>
    <col min="3" max="3" width="17.77734375" style="3" customWidth="1"/>
    <col min="4" max="4" width="16.6640625" style="3" customWidth="1"/>
    <col min="5" max="5" width="11.6640625" style="3" bestFit="1" customWidth="1"/>
    <col min="6" max="6" width="10.33203125" style="3" bestFit="1" customWidth="1"/>
    <col min="7" max="7" width="13.88671875" style="3" bestFit="1" customWidth="1"/>
    <col min="8" max="16384" width="9.109375" style="21"/>
  </cols>
  <sheetData>
    <row r="1" spans="1:7" customFormat="1" ht="18" x14ac:dyDescent="0.25">
      <c r="A1" s="615" t="s">
        <v>517</v>
      </c>
      <c r="B1" s="616"/>
      <c r="C1" s="616"/>
      <c r="D1" s="616"/>
      <c r="E1" s="616"/>
      <c r="F1" s="616"/>
      <c r="G1" s="617"/>
    </row>
    <row r="2" spans="1:7" customFormat="1" ht="18" x14ac:dyDescent="0.25">
      <c r="A2" s="618" t="s">
        <v>510</v>
      </c>
      <c r="B2" s="619"/>
      <c r="C2" s="619"/>
      <c r="D2" s="619"/>
      <c r="E2" s="619"/>
      <c r="F2" s="619"/>
      <c r="G2" s="620"/>
    </row>
    <row r="3" spans="1:7" s="3" customFormat="1" ht="15.6" x14ac:dyDescent="0.25">
      <c r="A3" s="127"/>
    </row>
    <row r="4" spans="1:7" s="198" customFormat="1" ht="31.8" thickBot="1" x14ac:dyDescent="0.3">
      <c r="A4" s="621" t="s">
        <v>414</v>
      </c>
      <c r="B4" s="622"/>
      <c r="C4" s="384" t="s">
        <v>509</v>
      </c>
      <c r="D4" s="200" t="s">
        <v>489</v>
      </c>
      <c r="E4" s="200" t="s">
        <v>465</v>
      </c>
      <c r="F4" s="200" t="s">
        <v>466</v>
      </c>
      <c r="G4" s="200" t="s">
        <v>467</v>
      </c>
    </row>
    <row r="5" spans="1:7" ht="14.4" x14ac:dyDescent="0.25">
      <c r="A5" s="139" t="s">
        <v>122</v>
      </c>
      <c r="B5" s="333" t="s">
        <v>36</v>
      </c>
      <c r="C5" s="399">
        <v>59370333</v>
      </c>
      <c r="D5" s="201">
        <f>'3a).Személyi jutt intézmény'!D17</f>
        <v>59895238</v>
      </c>
      <c r="E5" s="399"/>
      <c r="F5" s="399"/>
      <c r="G5" s="399"/>
    </row>
    <row r="6" spans="1:7" ht="14.4" x14ac:dyDescent="0.25">
      <c r="A6" s="191" t="s">
        <v>121</v>
      </c>
      <c r="B6" s="334" t="s">
        <v>123</v>
      </c>
      <c r="C6" s="400">
        <v>9785720</v>
      </c>
      <c r="D6" s="202">
        <f>'3a).Személyi jutt intézmény'!D22</f>
        <v>6874761</v>
      </c>
      <c r="E6" s="400"/>
      <c r="F6" s="400"/>
      <c r="G6" s="400"/>
    </row>
    <row r="7" spans="1:7" ht="14.4" x14ac:dyDescent="0.25">
      <c r="A7" s="191" t="s">
        <v>124</v>
      </c>
      <c r="B7" s="334" t="s">
        <v>37</v>
      </c>
      <c r="C7" s="400">
        <v>56800000</v>
      </c>
      <c r="D7" s="202">
        <f>'3b).Dologi kiad intézmény'!D26</f>
        <v>42630000</v>
      </c>
      <c r="E7" s="400"/>
      <c r="F7" s="400"/>
      <c r="G7" s="400"/>
    </row>
    <row r="8" spans="1:7" ht="14.4" x14ac:dyDescent="0.25">
      <c r="A8" s="288" t="s">
        <v>127</v>
      </c>
      <c r="B8" s="199" t="s">
        <v>476</v>
      </c>
      <c r="C8" s="233">
        <v>0</v>
      </c>
      <c r="D8" s="203">
        <v>0</v>
      </c>
      <c r="E8" s="233"/>
      <c r="F8" s="233"/>
      <c r="G8" s="233"/>
    </row>
    <row r="9" spans="1:7" ht="14.4" x14ac:dyDescent="0.25">
      <c r="A9" s="288" t="s">
        <v>129</v>
      </c>
      <c r="B9" s="287" t="s">
        <v>130</v>
      </c>
      <c r="C9" s="233">
        <v>0</v>
      </c>
      <c r="D9" s="203">
        <v>0</v>
      </c>
      <c r="E9" s="233"/>
      <c r="F9" s="233"/>
      <c r="G9" s="233"/>
    </row>
    <row r="10" spans="1:7" ht="14.4" x14ac:dyDescent="0.25">
      <c r="A10" s="288" t="s">
        <v>131</v>
      </c>
      <c r="B10" s="287" t="s">
        <v>179</v>
      </c>
      <c r="C10" s="233">
        <v>0</v>
      </c>
      <c r="D10" s="203">
        <v>0</v>
      </c>
      <c r="E10" s="233"/>
      <c r="F10" s="233"/>
      <c r="G10" s="233"/>
    </row>
    <row r="11" spans="1:7" ht="14.4" x14ac:dyDescent="0.25">
      <c r="A11" s="288" t="s">
        <v>133</v>
      </c>
      <c r="B11" s="287" t="s">
        <v>134</v>
      </c>
      <c r="C11" s="233">
        <v>2800000</v>
      </c>
      <c r="D11" s="203">
        <v>2800000</v>
      </c>
      <c r="E11" s="233"/>
      <c r="F11" s="233"/>
      <c r="G11" s="233"/>
    </row>
    <row r="12" spans="1:7" s="1" customFormat="1" ht="14.4" x14ac:dyDescent="0.25">
      <c r="A12" s="289" t="s">
        <v>125</v>
      </c>
      <c r="B12" s="290" t="s">
        <v>126</v>
      </c>
      <c r="C12" s="401">
        <f>SUM(C8:C11)</f>
        <v>2800000</v>
      </c>
      <c r="D12" s="401">
        <f>SUM(D8:D11)</f>
        <v>2800000</v>
      </c>
      <c r="E12" s="401"/>
      <c r="F12" s="401"/>
      <c r="G12" s="401"/>
    </row>
    <row r="13" spans="1:7" ht="14.4" x14ac:dyDescent="0.25">
      <c r="A13" s="288" t="s">
        <v>351</v>
      </c>
      <c r="B13" s="287" t="s">
        <v>352</v>
      </c>
      <c r="C13" s="233">
        <v>0</v>
      </c>
      <c r="D13" s="233">
        <v>2540</v>
      </c>
      <c r="E13" s="233"/>
      <c r="F13" s="233"/>
      <c r="G13" s="233"/>
    </row>
    <row r="14" spans="1:7" ht="14.4" x14ac:dyDescent="0.25">
      <c r="A14" s="288" t="s">
        <v>391</v>
      </c>
      <c r="B14" s="287" t="s">
        <v>392</v>
      </c>
      <c r="C14" s="400">
        <f>('9).Több éves kihat. döntések'!$C3)</f>
        <v>520000</v>
      </c>
      <c r="D14" s="202">
        <f>('9).Több éves kihat. döntések'!$C3)</f>
        <v>520000</v>
      </c>
      <c r="E14" s="400"/>
      <c r="F14" s="400"/>
      <c r="G14" s="400"/>
    </row>
    <row r="15" spans="1:7" ht="14.4" x14ac:dyDescent="0.25">
      <c r="A15" s="298" t="s">
        <v>353</v>
      </c>
      <c r="B15" s="287" t="s">
        <v>354</v>
      </c>
      <c r="C15" s="233">
        <v>0</v>
      </c>
      <c r="D15" s="233">
        <v>0</v>
      </c>
      <c r="E15" s="233"/>
      <c r="F15" s="233"/>
      <c r="G15" s="233"/>
    </row>
    <row r="16" spans="1:7" ht="14.4" x14ac:dyDescent="0.25">
      <c r="A16" s="298" t="s">
        <v>518</v>
      </c>
      <c r="B16" s="287" t="s">
        <v>190</v>
      </c>
      <c r="C16" s="400">
        <f>('10).Adott támogatások'!$B15)</f>
        <v>3360000</v>
      </c>
      <c r="D16" s="202">
        <f>('10).Adott támogatások'!$C15)</f>
        <v>490000</v>
      </c>
      <c r="E16" s="400"/>
      <c r="F16" s="400"/>
      <c r="G16" s="400"/>
    </row>
    <row r="17" spans="1:7" ht="14.4" x14ac:dyDescent="0.25">
      <c r="A17" s="298" t="s">
        <v>519</v>
      </c>
      <c r="B17" s="287" t="s">
        <v>281</v>
      </c>
      <c r="C17" s="233">
        <v>0</v>
      </c>
      <c r="D17" s="233">
        <v>0</v>
      </c>
      <c r="E17" s="233"/>
      <c r="F17" s="233"/>
      <c r="G17" s="233"/>
    </row>
    <row r="18" spans="1:7" s="1" customFormat="1" ht="14.4" x14ac:dyDescent="0.25">
      <c r="A18" s="289" t="s">
        <v>377</v>
      </c>
      <c r="B18" s="290" t="s">
        <v>475</v>
      </c>
      <c r="C18" s="401">
        <f>SUM(C16:C17)</f>
        <v>3360000</v>
      </c>
      <c r="D18" s="204">
        <f>SUM(D16:D17)</f>
        <v>490000</v>
      </c>
      <c r="E18" s="401"/>
      <c r="F18" s="401"/>
      <c r="G18" s="401"/>
    </row>
    <row r="19" spans="1:7" ht="14.4" x14ac:dyDescent="0.25">
      <c r="A19" s="206" t="s">
        <v>378</v>
      </c>
      <c r="B19" s="207" t="s">
        <v>345</v>
      </c>
      <c r="C19" s="402">
        <v>69637249</v>
      </c>
      <c r="D19" s="208">
        <v>61256463</v>
      </c>
      <c r="E19" s="402"/>
      <c r="F19" s="402"/>
      <c r="G19" s="402">
        <f>('7). Ktg. vet. mérleg'!$H17)</f>
        <v>0</v>
      </c>
    </row>
    <row r="20" spans="1:7" s="1" customFormat="1" ht="14.4" x14ac:dyDescent="0.25">
      <c r="A20" s="289" t="s">
        <v>135</v>
      </c>
      <c r="B20" s="290" t="s">
        <v>136</v>
      </c>
      <c r="C20" s="401">
        <f>(C13+C14+C15+C18+C19)</f>
        <v>73517249</v>
      </c>
      <c r="D20" s="204">
        <f>(D13+D14+D15+D18+D19)</f>
        <v>62269003</v>
      </c>
      <c r="E20" s="401"/>
      <c r="F20" s="401"/>
      <c r="G20" s="401"/>
    </row>
    <row r="21" spans="1:7" ht="14.4" x14ac:dyDescent="0.25">
      <c r="A21" s="191" t="s">
        <v>137</v>
      </c>
      <c r="B21" s="334" t="s">
        <v>39</v>
      </c>
      <c r="C21" s="400">
        <f>('1c).Beruházás felújítás'!$H74)</f>
        <v>9729784</v>
      </c>
      <c r="D21" s="202">
        <f>('1c).Beruházás felújítás'!$H74)</f>
        <v>9729784</v>
      </c>
      <c r="E21" s="400"/>
      <c r="F21" s="400"/>
      <c r="G21" s="400"/>
    </row>
    <row r="22" spans="1:7" ht="14.4" x14ac:dyDescent="0.25">
      <c r="A22" s="191" t="s">
        <v>138</v>
      </c>
      <c r="B22" s="334" t="s">
        <v>38</v>
      </c>
      <c r="C22" s="400">
        <f>('1c).Beruházás felújítás'!$H78)</f>
        <v>177609703</v>
      </c>
      <c r="D22" s="202">
        <f>('1c).Beruházás felújítás'!$H78)</f>
        <v>177609703</v>
      </c>
      <c r="E22" s="400"/>
      <c r="F22" s="400"/>
      <c r="G22" s="400"/>
    </row>
    <row r="23" spans="1:7" ht="14.4" x14ac:dyDescent="0.25">
      <c r="A23" s="288" t="s">
        <v>393</v>
      </c>
      <c r="B23" s="287" t="s">
        <v>394</v>
      </c>
      <c r="C23" s="233">
        <v>0</v>
      </c>
      <c r="D23" s="233">
        <v>0</v>
      </c>
      <c r="E23" s="233"/>
      <c r="F23" s="233"/>
      <c r="G23" s="233"/>
    </row>
    <row r="24" spans="1:7" s="1" customFormat="1" ht="14.4" x14ac:dyDescent="0.25">
      <c r="A24" s="289" t="s">
        <v>139</v>
      </c>
      <c r="B24" s="290" t="s">
        <v>140</v>
      </c>
      <c r="C24" s="401">
        <f>C23</f>
        <v>0</v>
      </c>
      <c r="D24" s="401">
        <f>SUM(D23)</f>
        <v>0</v>
      </c>
      <c r="E24" s="401"/>
      <c r="F24" s="401"/>
      <c r="G24" s="401"/>
    </row>
    <row r="25" spans="1:7" s="22" customFormat="1" ht="15.6" x14ac:dyDescent="0.3">
      <c r="A25" s="296" t="s">
        <v>336</v>
      </c>
      <c r="B25" s="297" t="s">
        <v>335</v>
      </c>
      <c r="C25" s="403">
        <f>(C5+C6+C7+C12+C20+C21+C22+C24)</f>
        <v>389612789</v>
      </c>
      <c r="D25" s="205">
        <f>(D5+D6+D7+D12+D20+D21+D22+D24)</f>
        <v>361808489</v>
      </c>
      <c r="E25" s="403"/>
      <c r="F25" s="403"/>
      <c r="G25" s="403"/>
    </row>
    <row r="26" spans="1:7" ht="14.4" x14ac:dyDescent="0.25">
      <c r="A26" s="288" t="s">
        <v>333</v>
      </c>
      <c r="B26" s="287" t="s">
        <v>334</v>
      </c>
      <c r="C26" s="400">
        <f>('2).Bevétel intézmény'!E33)</f>
        <v>6778442</v>
      </c>
      <c r="D26" s="202">
        <f>('2).Bevétel intézmény'!F33)</f>
        <v>6778442</v>
      </c>
      <c r="E26" s="400"/>
      <c r="F26" s="400"/>
      <c r="G26" s="400"/>
    </row>
    <row r="27" spans="1:7" ht="14.4" x14ac:dyDescent="0.25">
      <c r="A27" s="55" t="s">
        <v>338</v>
      </c>
      <c r="B27" s="287" t="s">
        <v>311</v>
      </c>
      <c r="C27" s="400">
        <f>('1).Bevételek összesen'!E36)</f>
        <v>159633951</v>
      </c>
      <c r="D27" s="202">
        <f>('1).Bevételek összesen'!F36)</f>
        <v>159633951</v>
      </c>
      <c r="E27" s="400"/>
      <c r="F27" s="400"/>
      <c r="G27" s="400"/>
    </row>
    <row r="28" spans="1:7" s="1" customFormat="1" ht="14.4" x14ac:dyDescent="0.25">
      <c r="A28" s="289" t="s">
        <v>142</v>
      </c>
      <c r="B28" s="290" t="s">
        <v>143</v>
      </c>
      <c r="C28" s="401">
        <f>SUM(C26:C27)</f>
        <v>166412393</v>
      </c>
      <c r="D28" s="401">
        <f>SUM(D26:D27)</f>
        <v>166412393</v>
      </c>
      <c r="E28" s="401"/>
      <c r="F28" s="401"/>
      <c r="G28" s="401"/>
    </row>
    <row r="29" spans="1:7" ht="14.25" customHeight="1" x14ac:dyDescent="0.25">
      <c r="A29" s="296" t="s">
        <v>337</v>
      </c>
      <c r="B29" s="297" t="s">
        <v>398</v>
      </c>
      <c r="C29" s="403">
        <f>C25+C28</f>
        <v>556025182</v>
      </c>
      <c r="D29" s="205">
        <f>D25+D28</f>
        <v>528220882</v>
      </c>
      <c r="E29" s="403"/>
      <c r="F29" s="403"/>
      <c r="G29" s="403"/>
    </row>
    <row r="30" spans="1:7" x14ac:dyDescent="0.25">
      <c r="B30" s="23"/>
      <c r="C30" s="1"/>
      <c r="E30" s="404"/>
    </row>
    <row r="31" spans="1:7" s="198" customFormat="1" ht="31.8" thickBot="1" x14ac:dyDescent="0.3">
      <c r="A31" s="623" t="s">
        <v>507</v>
      </c>
      <c r="B31" s="624"/>
      <c r="C31" s="384" t="s">
        <v>509</v>
      </c>
      <c r="D31" s="200" t="s">
        <v>487</v>
      </c>
      <c r="E31" s="200" t="s">
        <v>465</v>
      </c>
      <c r="F31" s="200" t="s">
        <v>466</v>
      </c>
      <c r="G31" s="200" t="s">
        <v>467</v>
      </c>
    </row>
    <row r="32" spans="1:7" ht="14.4" x14ac:dyDescent="0.25">
      <c r="A32" s="299" t="s">
        <v>122</v>
      </c>
      <c r="B32" s="300" t="s">
        <v>36</v>
      </c>
      <c r="C32" s="399">
        <v>44882400</v>
      </c>
      <c r="D32" s="201">
        <f>'3a).Személyi jutt intézmény'!D35</f>
        <v>43882400</v>
      </c>
      <c r="E32" s="399"/>
      <c r="F32" s="399"/>
      <c r="G32" s="399"/>
    </row>
    <row r="33" spans="1:7" ht="14.4" x14ac:dyDescent="0.25">
      <c r="A33" s="288" t="s">
        <v>121</v>
      </c>
      <c r="B33" s="287" t="s">
        <v>123</v>
      </c>
      <c r="C33" s="400">
        <v>7140432</v>
      </c>
      <c r="D33" s="202">
        <f>'3a).Személyi jutt intézmény'!D38</f>
        <v>7000000</v>
      </c>
      <c r="E33" s="400"/>
      <c r="F33" s="400"/>
      <c r="G33" s="400"/>
    </row>
    <row r="34" spans="1:7" ht="14.4" x14ac:dyDescent="0.25">
      <c r="A34" s="288" t="s">
        <v>124</v>
      </c>
      <c r="B34" s="287" t="s">
        <v>37</v>
      </c>
      <c r="C34" s="400">
        <v>26505000</v>
      </c>
      <c r="D34" s="202">
        <f>'3b).Dologi kiad intézmény'!D49</f>
        <v>26922432</v>
      </c>
      <c r="E34" s="400"/>
      <c r="F34" s="400"/>
      <c r="G34" s="400"/>
    </row>
    <row r="35" spans="1:7" ht="13.5" customHeight="1" x14ac:dyDescent="0.25">
      <c r="A35" s="288" t="s">
        <v>125</v>
      </c>
      <c r="B35" s="287" t="s">
        <v>126</v>
      </c>
      <c r="C35" s="233"/>
      <c r="D35" s="203"/>
      <c r="E35" s="233"/>
      <c r="F35" s="233"/>
      <c r="G35" s="233"/>
    </row>
    <row r="36" spans="1:7" ht="14.4" x14ac:dyDescent="0.25">
      <c r="A36" s="288" t="s">
        <v>135</v>
      </c>
      <c r="B36" s="287" t="s">
        <v>136</v>
      </c>
      <c r="C36" s="233"/>
      <c r="D36" s="203"/>
      <c r="E36" s="233"/>
      <c r="F36" s="233"/>
      <c r="G36" s="233"/>
    </row>
    <row r="37" spans="1:7" ht="14.4" x14ac:dyDescent="0.25">
      <c r="A37" s="288" t="s">
        <v>137</v>
      </c>
      <c r="B37" s="287" t="s">
        <v>39</v>
      </c>
      <c r="C37" s="233">
        <v>540000</v>
      </c>
      <c r="D37" s="203">
        <v>540000</v>
      </c>
      <c r="E37" s="233"/>
      <c r="F37" s="233"/>
      <c r="G37" s="233"/>
    </row>
    <row r="38" spans="1:7" ht="14.4" x14ac:dyDescent="0.25">
      <c r="A38" s="288" t="s">
        <v>138</v>
      </c>
      <c r="B38" s="287" t="s">
        <v>38</v>
      </c>
      <c r="C38" s="233"/>
      <c r="D38" s="203"/>
      <c r="E38" s="233"/>
      <c r="F38" s="233"/>
      <c r="G38" s="233"/>
    </row>
    <row r="39" spans="1:7" ht="14.4" x14ac:dyDescent="0.25">
      <c r="A39" s="288" t="s">
        <v>139</v>
      </c>
      <c r="B39" s="287" t="s">
        <v>140</v>
      </c>
      <c r="C39" s="233"/>
      <c r="D39" s="203"/>
      <c r="E39" s="233"/>
      <c r="F39" s="233"/>
      <c r="G39" s="233"/>
    </row>
    <row r="40" spans="1:7" ht="14.4" x14ac:dyDescent="0.25">
      <c r="A40" s="288" t="s">
        <v>142</v>
      </c>
      <c r="B40" s="287" t="s">
        <v>143</v>
      </c>
      <c r="C40" s="233"/>
      <c r="D40" s="203"/>
      <c r="E40" s="233"/>
      <c r="F40" s="233"/>
      <c r="G40" s="233"/>
    </row>
    <row r="41" spans="1:7" ht="14.4" x14ac:dyDescent="0.25">
      <c r="A41" s="557" t="s">
        <v>40</v>
      </c>
      <c r="B41" s="558"/>
      <c r="C41" s="401">
        <f>SUM(C32:C40)</f>
        <v>79067832</v>
      </c>
      <c r="D41" s="401">
        <f t="shared" ref="D41:G41" si="0">SUM(D32:D40)</f>
        <v>78344832</v>
      </c>
      <c r="E41" s="401">
        <f t="shared" si="0"/>
        <v>0</v>
      </c>
      <c r="F41" s="401">
        <f t="shared" si="0"/>
        <v>0</v>
      </c>
      <c r="G41" s="401">
        <f t="shared" si="0"/>
        <v>0</v>
      </c>
    </row>
    <row r="42" spans="1:7" ht="14.4" x14ac:dyDescent="0.25">
      <c r="A42" s="557" t="s">
        <v>573</v>
      </c>
      <c r="B42" s="558"/>
      <c r="C42" s="401">
        <f>'2).Bevétel intézmény'!E49</f>
        <v>79067832</v>
      </c>
      <c r="D42" s="401">
        <f>'2).Bevétel intézmény'!F49</f>
        <v>78344832</v>
      </c>
      <c r="E42" s="401"/>
      <c r="F42" s="401"/>
      <c r="G42" s="401"/>
    </row>
    <row r="43" spans="1:7" x14ac:dyDescent="0.25">
      <c r="D43" s="16">
        <f>D41-D42</f>
        <v>0</v>
      </c>
    </row>
    <row r="44" spans="1:7" s="198" customFormat="1" ht="31.8" thickBot="1" x14ac:dyDescent="0.3">
      <c r="A44" s="625" t="s">
        <v>415</v>
      </c>
      <c r="B44" s="626"/>
      <c r="C44" s="384" t="s">
        <v>509</v>
      </c>
      <c r="D44" s="200" t="s">
        <v>487</v>
      </c>
      <c r="E44" s="200" t="s">
        <v>465</v>
      </c>
      <c r="F44" s="200" t="s">
        <v>466</v>
      </c>
      <c r="G44" s="200" t="s">
        <v>467</v>
      </c>
    </row>
    <row r="45" spans="1:7" ht="14.4" x14ac:dyDescent="0.25">
      <c r="A45" s="299" t="s">
        <v>122</v>
      </c>
      <c r="B45" s="300" t="s">
        <v>36</v>
      </c>
      <c r="C45" s="399">
        <v>23832268</v>
      </c>
      <c r="D45" s="201">
        <f>'3a).Személyi jutt intézmény'!D51</f>
        <v>23812268</v>
      </c>
      <c r="E45" s="399"/>
      <c r="F45" s="399"/>
      <c r="G45" s="399"/>
    </row>
    <row r="46" spans="1:7" ht="14.4" x14ac:dyDescent="0.25">
      <c r="A46" s="288" t="s">
        <v>121</v>
      </c>
      <c r="B46" s="287" t="s">
        <v>123</v>
      </c>
      <c r="C46" s="400">
        <v>4100664</v>
      </c>
      <c r="D46" s="202">
        <f>'3a).Személyi jutt intézmény'!D54</f>
        <v>3900000</v>
      </c>
      <c r="E46" s="400"/>
      <c r="F46" s="400"/>
      <c r="G46" s="400"/>
    </row>
    <row r="47" spans="1:7" ht="14.4" x14ac:dyDescent="0.25">
      <c r="A47" s="288" t="s">
        <v>124</v>
      </c>
      <c r="B47" s="287" t="s">
        <v>37</v>
      </c>
      <c r="C47" s="400">
        <v>2735000</v>
      </c>
      <c r="D47" s="202">
        <f>'3b).Dologi kiad intézmény'!D72</f>
        <v>3055000</v>
      </c>
      <c r="E47" s="400"/>
      <c r="F47" s="400"/>
      <c r="G47" s="400"/>
    </row>
    <row r="48" spans="1:7" ht="14.4" x14ac:dyDescent="0.25">
      <c r="A48" s="288" t="s">
        <v>125</v>
      </c>
      <c r="B48" s="287" t="s">
        <v>126</v>
      </c>
      <c r="C48" s="233"/>
      <c r="D48" s="203"/>
      <c r="E48" s="233"/>
      <c r="F48" s="233"/>
      <c r="G48" s="233"/>
    </row>
    <row r="49" spans="1:7" ht="14.4" x14ac:dyDescent="0.25">
      <c r="A49" s="288" t="s">
        <v>135</v>
      </c>
      <c r="B49" s="287" t="s">
        <v>136</v>
      </c>
      <c r="C49" s="233"/>
      <c r="D49" s="203"/>
      <c r="E49" s="233"/>
      <c r="F49" s="233"/>
      <c r="G49" s="233"/>
    </row>
    <row r="50" spans="1:7" ht="14.4" x14ac:dyDescent="0.25">
      <c r="A50" s="288" t="s">
        <v>137</v>
      </c>
      <c r="B50" s="287" t="s">
        <v>39</v>
      </c>
      <c r="C50" s="233"/>
      <c r="D50" s="203"/>
      <c r="E50" s="233"/>
      <c r="F50" s="233"/>
      <c r="G50" s="233"/>
    </row>
    <row r="51" spans="1:7" ht="14.4" x14ac:dyDescent="0.25">
      <c r="A51" s="288" t="s">
        <v>138</v>
      </c>
      <c r="B51" s="287" t="s">
        <v>38</v>
      </c>
      <c r="C51" s="233"/>
      <c r="D51" s="203"/>
      <c r="E51" s="233"/>
      <c r="F51" s="233"/>
      <c r="G51" s="233"/>
    </row>
    <row r="52" spans="1:7" ht="14.4" x14ac:dyDescent="0.25">
      <c r="A52" s="288" t="s">
        <v>139</v>
      </c>
      <c r="B52" s="287" t="s">
        <v>140</v>
      </c>
      <c r="C52" s="233"/>
      <c r="D52" s="203"/>
      <c r="E52" s="233"/>
      <c r="F52" s="233"/>
      <c r="G52" s="233"/>
    </row>
    <row r="53" spans="1:7" ht="14.4" x14ac:dyDescent="0.25">
      <c r="A53" s="288" t="s">
        <v>142</v>
      </c>
      <c r="B53" s="287" t="s">
        <v>143</v>
      </c>
      <c r="C53" s="233"/>
      <c r="D53" s="203"/>
      <c r="E53" s="233"/>
      <c r="F53" s="233"/>
      <c r="G53" s="233"/>
    </row>
    <row r="54" spans="1:7" ht="14.4" x14ac:dyDescent="0.25">
      <c r="A54" s="557" t="s">
        <v>40</v>
      </c>
      <c r="B54" s="558"/>
      <c r="C54" s="401">
        <f>SUM(C45:C53)</f>
        <v>30667932</v>
      </c>
      <c r="D54" s="401">
        <f t="shared" ref="D54" si="1">SUM(D45:D53)</f>
        <v>30767268</v>
      </c>
      <c r="E54" s="401">
        <f t="shared" ref="E54" si="2">SUM(E45:E53)</f>
        <v>0</v>
      </c>
      <c r="F54" s="401">
        <f t="shared" ref="F54" si="3">SUM(F45:F53)</f>
        <v>0</v>
      </c>
      <c r="G54" s="401">
        <f t="shared" ref="G54" si="4">SUM(G45:G53)</f>
        <v>0</v>
      </c>
    </row>
    <row r="55" spans="1:7" ht="14.4" x14ac:dyDescent="0.25">
      <c r="A55" s="557" t="s">
        <v>572</v>
      </c>
      <c r="B55" s="558"/>
      <c r="C55" s="401">
        <f>'2).Bevétel intézmény'!E63</f>
        <v>30667932</v>
      </c>
      <c r="D55" s="401">
        <f>'2).Bevétel intézmény'!F63</f>
        <v>30767268</v>
      </c>
      <c r="E55" s="401"/>
      <c r="F55" s="401"/>
      <c r="G55" s="401"/>
    </row>
    <row r="56" spans="1:7" x14ac:dyDescent="0.25">
      <c r="D56" s="16"/>
    </row>
    <row r="57" spans="1:7" s="198" customFormat="1" ht="31.8" thickBot="1" x14ac:dyDescent="0.3">
      <c r="A57" s="613" t="s">
        <v>410</v>
      </c>
      <c r="B57" s="614"/>
      <c r="C57" s="384" t="s">
        <v>509</v>
      </c>
      <c r="D57" s="200" t="s">
        <v>487</v>
      </c>
      <c r="E57" s="200" t="s">
        <v>465</v>
      </c>
      <c r="F57" s="200" t="s">
        <v>466</v>
      </c>
      <c r="G57" s="200" t="s">
        <v>467</v>
      </c>
    </row>
    <row r="58" spans="1:7" ht="14.4" x14ac:dyDescent="0.25">
      <c r="A58" s="299" t="s">
        <v>122</v>
      </c>
      <c r="B58" s="300" t="s">
        <v>36</v>
      </c>
      <c r="C58" s="399">
        <v>49607960</v>
      </c>
      <c r="D58" s="201">
        <f>'3a).Személyi jutt intézmény'!D67</f>
        <v>49608624</v>
      </c>
      <c r="E58" s="399"/>
      <c r="F58" s="399"/>
      <c r="G58" s="399"/>
    </row>
    <row r="59" spans="1:7" ht="14.4" x14ac:dyDescent="0.25">
      <c r="A59" s="288" t="s">
        <v>121</v>
      </c>
      <c r="B59" s="287" t="s">
        <v>123</v>
      </c>
      <c r="C59" s="400">
        <v>8500000</v>
      </c>
      <c r="D59" s="202">
        <f>'3a).Személyi jutt intézmény'!D70</f>
        <v>8100000</v>
      </c>
      <c r="E59" s="400"/>
      <c r="F59" s="400"/>
      <c r="G59" s="400"/>
    </row>
    <row r="60" spans="1:7" ht="14.4" x14ac:dyDescent="0.25">
      <c r="A60" s="288" t="s">
        <v>124</v>
      </c>
      <c r="B60" s="287" t="s">
        <v>37</v>
      </c>
      <c r="C60" s="400">
        <v>4465000</v>
      </c>
      <c r="D60" s="202">
        <f>'3b).Dologi kiad intézmény'!D95</f>
        <v>4465000</v>
      </c>
      <c r="E60" s="400"/>
      <c r="F60" s="400"/>
      <c r="G60" s="400"/>
    </row>
    <row r="61" spans="1:7" ht="14.4" x14ac:dyDescent="0.25">
      <c r="A61" s="288" t="s">
        <v>125</v>
      </c>
      <c r="B61" s="287" t="s">
        <v>126</v>
      </c>
      <c r="C61" s="233"/>
      <c r="D61" s="203"/>
      <c r="E61" s="233"/>
      <c r="F61" s="233"/>
      <c r="G61" s="233"/>
    </row>
    <row r="62" spans="1:7" ht="14.4" x14ac:dyDescent="0.25">
      <c r="A62" s="288" t="s">
        <v>135</v>
      </c>
      <c r="B62" s="287" t="s">
        <v>136</v>
      </c>
      <c r="C62" s="233"/>
      <c r="D62" s="203"/>
      <c r="E62" s="233"/>
      <c r="F62" s="233"/>
      <c r="G62" s="233"/>
    </row>
    <row r="63" spans="1:7" ht="14.4" x14ac:dyDescent="0.25">
      <c r="A63" s="288" t="s">
        <v>137</v>
      </c>
      <c r="B63" s="287" t="s">
        <v>39</v>
      </c>
      <c r="C63" s="233">
        <v>500000</v>
      </c>
      <c r="D63" s="203">
        <v>500000</v>
      </c>
      <c r="E63" s="233"/>
      <c r="F63" s="233"/>
      <c r="G63" s="233"/>
    </row>
    <row r="64" spans="1:7" ht="14.4" x14ac:dyDescent="0.25">
      <c r="A64" s="288" t="s">
        <v>138</v>
      </c>
      <c r="B64" s="287" t="s">
        <v>38</v>
      </c>
      <c r="C64" s="233"/>
      <c r="D64" s="203"/>
      <c r="E64" s="233"/>
      <c r="F64" s="233"/>
      <c r="G64" s="233"/>
    </row>
    <row r="65" spans="1:7" ht="14.4" x14ac:dyDescent="0.25">
      <c r="A65" s="288" t="s">
        <v>139</v>
      </c>
      <c r="B65" s="287" t="s">
        <v>140</v>
      </c>
      <c r="C65" s="233"/>
      <c r="D65" s="203"/>
      <c r="E65" s="233"/>
      <c r="F65" s="233"/>
      <c r="G65" s="233"/>
    </row>
    <row r="66" spans="1:7" ht="14.4" x14ac:dyDescent="0.25">
      <c r="A66" s="288" t="s">
        <v>142</v>
      </c>
      <c r="B66" s="287" t="s">
        <v>143</v>
      </c>
      <c r="C66" s="233"/>
      <c r="D66" s="203"/>
      <c r="E66" s="233"/>
      <c r="F66" s="233"/>
      <c r="G66" s="233"/>
    </row>
    <row r="67" spans="1:7" ht="14.4" x14ac:dyDescent="0.25">
      <c r="A67" s="557" t="s">
        <v>40</v>
      </c>
      <c r="B67" s="558"/>
      <c r="C67" s="401">
        <f>SUM(C58:C66)</f>
        <v>63072960</v>
      </c>
      <c r="D67" s="401">
        <f t="shared" ref="D67" si="5">SUM(D58:D66)</f>
        <v>62673624</v>
      </c>
      <c r="E67" s="401">
        <f t="shared" ref="E67" si="6">SUM(E58:E66)</f>
        <v>0</v>
      </c>
      <c r="F67" s="401">
        <f t="shared" ref="F67" si="7">SUM(F58:F66)</f>
        <v>0</v>
      </c>
      <c r="G67" s="401">
        <f t="shared" ref="G67" si="8">SUM(G58:G66)</f>
        <v>0</v>
      </c>
    </row>
    <row r="68" spans="1:7" ht="14.4" x14ac:dyDescent="0.25">
      <c r="A68" s="557" t="s">
        <v>572</v>
      </c>
      <c r="B68" s="558"/>
      <c r="C68" s="401">
        <f>'2).Bevétel intézmény'!E77</f>
        <v>63072960</v>
      </c>
      <c r="D68" s="401">
        <f>'2).Bevétel intézmény'!F77</f>
        <v>62673624</v>
      </c>
      <c r="E68" s="401"/>
      <c r="F68" s="401"/>
      <c r="G68" s="401"/>
    </row>
    <row r="69" spans="1:7" x14ac:dyDescent="0.25">
      <c r="D69" s="16"/>
    </row>
  </sheetData>
  <mergeCells count="12">
    <mergeCell ref="A68:B68"/>
    <mergeCell ref="A1:G1"/>
    <mergeCell ref="A2:G2"/>
    <mergeCell ref="A41:B41"/>
    <mergeCell ref="A54:B54"/>
    <mergeCell ref="A67:B67"/>
    <mergeCell ref="A57:B57"/>
    <mergeCell ref="A4:B4"/>
    <mergeCell ref="A31:B31"/>
    <mergeCell ref="A44:B44"/>
    <mergeCell ref="A55:B55"/>
    <mergeCell ref="A42:B42"/>
  </mergeCells>
  <phoneticPr fontId="28" type="noConversion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74" orientation="portrait" r:id="rId1"/>
  <headerFooter>
    <oddHeader>&amp;R4. sz. melléklet
Ft-ban</oddHeader>
  </headerFooter>
  <ignoredErrors>
    <ignoredError sqref="C12 C18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7">
    <pageSetUpPr fitToPage="1"/>
  </sheetPr>
  <dimension ref="A1:M71"/>
  <sheetViews>
    <sheetView zoomScaleNormal="100" zoomScalePageLayoutView="90" workbookViewId="0">
      <selection activeCell="K12" sqref="K12"/>
    </sheetView>
  </sheetViews>
  <sheetFormatPr defaultColWidth="9.109375" defaultRowHeight="13.2" x14ac:dyDescent="0.25"/>
  <cols>
    <col min="1" max="1" width="8.109375" style="5" customWidth="1"/>
    <col min="2" max="2" width="34.33203125" style="4" customWidth="1"/>
    <col min="3" max="3" width="8.44140625" style="4" customWidth="1"/>
    <col min="4" max="5" width="12.88671875" style="4" bestFit="1" customWidth="1"/>
    <col min="6" max="6" width="11.88671875" style="4" bestFit="1" customWidth="1"/>
    <col min="7" max="7" width="14.44140625" style="4" bestFit="1" customWidth="1"/>
    <col min="8" max="8" width="12.88671875" style="4" bestFit="1" customWidth="1"/>
    <col min="9" max="9" width="9.109375" style="4"/>
    <col min="10" max="13" width="12.33203125" style="4" bestFit="1" customWidth="1"/>
    <col min="14" max="16384" width="9.109375" style="4"/>
  </cols>
  <sheetData>
    <row r="1" spans="1:13" ht="18" x14ac:dyDescent="0.25">
      <c r="A1" s="491" t="s">
        <v>539</v>
      </c>
      <c r="B1" s="491"/>
      <c r="C1" s="491"/>
      <c r="D1" s="491"/>
      <c r="E1" s="491"/>
      <c r="F1" s="491"/>
      <c r="G1" s="491"/>
      <c r="H1" s="491"/>
    </row>
    <row r="2" spans="1:13" ht="18" x14ac:dyDescent="0.25">
      <c r="A2" s="492" t="s">
        <v>82</v>
      </c>
      <c r="B2" s="492"/>
      <c r="C2" s="492"/>
      <c r="D2" s="492"/>
      <c r="E2" s="492"/>
      <c r="F2" s="492"/>
      <c r="G2" s="492"/>
      <c r="H2" s="492"/>
    </row>
    <row r="3" spans="1:13" ht="43.2" x14ac:dyDescent="0.25">
      <c r="A3" s="331" t="s">
        <v>448</v>
      </c>
      <c r="B3" s="302" t="s">
        <v>55</v>
      </c>
      <c r="C3" s="302" t="s">
        <v>449</v>
      </c>
      <c r="D3" s="302" t="s">
        <v>36</v>
      </c>
      <c r="E3" s="302" t="s">
        <v>552</v>
      </c>
      <c r="F3" s="302" t="s">
        <v>37</v>
      </c>
      <c r="G3" s="302" t="s">
        <v>450</v>
      </c>
      <c r="H3" s="302" t="s">
        <v>83</v>
      </c>
    </row>
    <row r="4" spans="1:13" ht="18" x14ac:dyDescent="0.25">
      <c r="A4" s="592" t="s">
        <v>84</v>
      </c>
      <c r="B4" s="593"/>
      <c r="C4" s="593"/>
      <c r="D4" s="593"/>
      <c r="E4" s="593"/>
      <c r="F4" s="593"/>
      <c r="G4" s="593"/>
      <c r="H4" s="594"/>
    </row>
    <row r="5" spans="1:13" ht="18" x14ac:dyDescent="0.25">
      <c r="A5" s="595" t="s">
        <v>506</v>
      </c>
      <c r="B5" s="596"/>
      <c r="C5" s="596"/>
      <c r="D5" s="596"/>
      <c r="E5" s="596"/>
      <c r="F5" s="596"/>
      <c r="G5" s="596"/>
      <c r="H5" s="597"/>
    </row>
    <row r="6" spans="1:13" s="5" customFormat="1" ht="14.4" x14ac:dyDescent="0.25">
      <c r="A6" s="331"/>
      <c r="B6" s="637" t="s">
        <v>85</v>
      </c>
      <c r="C6" s="638"/>
      <c r="D6" s="638"/>
      <c r="E6" s="638"/>
      <c r="F6" s="638"/>
      <c r="G6" s="638"/>
      <c r="H6" s="639"/>
    </row>
    <row r="7" spans="1:13" ht="14.4" x14ac:dyDescent="0.25">
      <c r="A7" s="331" t="s">
        <v>7</v>
      </c>
      <c r="B7" s="288" t="s">
        <v>99</v>
      </c>
      <c r="C7" s="335">
        <v>1</v>
      </c>
      <c r="D7" s="332">
        <f>'3a).Személyi jutt intézmény'!D13</f>
        <v>11212800</v>
      </c>
      <c r="E7" s="332">
        <f>'3a).Személyi jutt intézmény'!D19</f>
        <v>1850112</v>
      </c>
      <c r="F7" s="332"/>
      <c r="G7" s="332"/>
      <c r="H7" s="62">
        <f>SUM(D7:G7)</f>
        <v>13062912</v>
      </c>
    </row>
    <row r="8" spans="1:13" ht="14.4" x14ac:dyDescent="0.25">
      <c r="A8" s="356" t="s">
        <v>8</v>
      </c>
      <c r="B8" s="288" t="s">
        <v>182</v>
      </c>
      <c r="C8" s="335">
        <v>17</v>
      </c>
      <c r="D8" s="332">
        <f>'3a).Személyi jutt intézmény'!D5-3776689</f>
        <v>11633711</v>
      </c>
      <c r="E8" s="332">
        <f>'3a).Személyi jutt intézmény'!D18-585387-174660-374660</f>
        <v>1408009</v>
      </c>
      <c r="F8" s="332">
        <v>8501491</v>
      </c>
      <c r="G8" s="332"/>
      <c r="H8" s="62">
        <f t="shared" ref="H8:H19" si="0">SUM(D8:G8)</f>
        <v>21543211</v>
      </c>
      <c r="J8" s="11"/>
    </row>
    <row r="9" spans="1:13" ht="14.4" x14ac:dyDescent="0.25">
      <c r="A9" s="356" t="s">
        <v>10</v>
      </c>
      <c r="B9" s="288" t="s">
        <v>307</v>
      </c>
      <c r="C9" s="335"/>
      <c r="D9" s="332"/>
      <c r="E9" s="332"/>
      <c r="F9" s="332">
        <v>2148509</v>
      </c>
      <c r="G9" s="332"/>
      <c r="H9" s="62">
        <f t="shared" si="0"/>
        <v>2148509</v>
      </c>
      <c r="J9" s="11"/>
    </row>
    <row r="10" spans="1:13" ht="14.4" x14ac:dyDescent="0.25">
      <c r="A10" s="356" t="s">
        <v>309</v>
      </c>
      <c r="B10" s="288" t="s">
        <v>358</v>
      </c>
      <c r="C10" s="335"/>
      <c r="D10" s="332"/>
      <c r="E10" s="332"/>
      <c r="F10" s="332">
        <v>3000000</v>
      </c>
      <c r="G10" s="332"/>
      <c r="H10" s="62">
        <f t="shared" si="0"/>
        <v>3000000</v>
      </c>
      <c r="J10" s="11"/>
      <c r="K10" s="70"/>
      <c r="L10" s="70"/>
    </row>
    <row r="11" spans="1:13" ht="14.4" x14ac:dyDescent="0.25">
      <c r="A11" s="356" t="s">
        <v>12</v>
      </c>
      <c r="B11" s="69" t="s">
        <v>437</v>
      </c>
      <c r="C11" s="335"/>
      <c r="D11" s="332"/>
      <c r="E11" s="332"/>
      <c r="F11" s="332">
        <v>3500000</v>
      </c>
      <c r="G11" s="332"/>
      <c r="H11" s="62">
        <f t="shared" si="0"/>
        <v>3500000</v>
      </c>
      <c r="M11" s="70"/>
    </row>
    <row r="12" spans="1:13" ht="14.4" x14ac:dyDescent="0.25">
      <c r="A12" s="356" t="s">
        <v>13</v>
      </c>
      <c r="B12" s="288" t="s">
        <v>86</v>
      </c>
      <c r="C12" s="335"/>
      <c r="D12" s="332"/>
      <c r="E12" s="332"/>
      <c r="F12" s="332">
        <v>5700000</v>
      </c>
      <c r="G12" s="332"/>
      <c r="H12" s="62">
        <f t="shared" si="0"/>
        <v>5700000</v>
      </c>
    </row>
    <row r="13" spans="1:13" ht="14.4" x14ac:dyDescent="0.25">
      <c r="A13" s="356" t="s">
        <v>14</v>
      </c>
      <c r="B13" s="288" t="s">
        <v>100</v>
      </c>
      <c r="C13" s="335"/>
      <c r="D13" s="332"/>
      <c r="E13" s="332"/>
      <c r="F13" s="332">
        <v>3300000</v>
      </c>
      <c r="G13" s="332"/>
      <c r="H13" s="62">
        <f t="shared" si="0"/>
        <v>3300000</v>
      </c>
    </row>
    <row r="14" spans="1:13" ht="14.4" x14ac:dyDescent="0.25">
      <c r="A14" s="356" t="s">
        <v>15</v>
      </c>
      <c r="B14" s="288" t="s">
        <v>88</v>
      </c>
      <c r="C14" s="335">
        <v>3</v>
      </c>
      <c r="D14" s="332">
        <v>3776689</v>
      </c>
      <c r="E14" s="332">
        <v>585387</v>
      </c>
      <c r="F14" s="332">
        <v>2500000</v>
      </c>
      <c r="G14" s="332"/>
      <c r="H14" s="62">
        <f t="shared" si="0"/>
        <v>6862076</v>
      </c>
    </row>
    <row r="15" spans="1:13" ht="14.4" x14ac:dyDescent="0.25">
      <c r="A15" s="356" t="s">
        <v>16</v>
      </c>
      <c r="B15" s="288" t="s">
        <v>181</v>
      </c>
      <c r="C15" s="335" t="s">
        <v>592</v>
      </c>
      <c r="D15" s="332">
        <f>772000+199288</f>
        <v>971288</v>
      </c>
      <c r="E15" s="332">
        <v>174660</v>
      </c>
      <c r="F15" s="332">
        <v>50000</v>
      </c>
      <c r="G15" s="332"/>
      <c r="H15" s="62">
        <f t="shared" si="0"/>
        <v>1195948</v>
      </c>
      <c r="J15" s="70"/>
    </row>
    <row r="16" spans="1:13" ht="14.4" x14ac:dyDescent="0.25">
      <c r="A16" s="356" t="s">
        <v>17</v>
      </c>
      <c r="B16" s="288" t="s">
        <v>89</v>
      </c>
      <c r="C16" s="335"/>
      <c r="D16" s="332"/>
      <c r="E16" s="332"/>
      <c r="F16" s="332">
        <v>1000000</v>
      </c>
      <c r="G16" s="332"/>
      <c r="H16" s="62">
        <f t="shared" si="0"/>
        <v>1000000</v>
      </c>
    </row>
    <row r="17" spans="1:12" ht="14.4" x14ac:dyDescent="0.25">
      <c r="A17" s="356" t="s">
        <v>18</v>
      </c>
      <c r="B17" s="55" t="s">
        <v>421</v>
      </c>
      <c r="C17" s="335"/>
      <c r="D17" s="332"/>
      <c r="E17" s="332"/>
      <c r="F17" s="332"/>
      <c r="G17" s="332"/>
      <c r="H17" s="62">
        <f t="shared" si="0"/>
        <v>0</v>
      </c>
    </row>
    <row r="18" spans="1:12" ht="14.4" x14ac:dyDescent="0.25">
      <c r="A18" s="356" t="s">
        <v>19</v>
      </c>
      <c r="B18" s="288" t="s">
        <v>331</v>
      </c>
      <c r="C18" s="335"/>
      <c r="D18" s="332"/>
      <c r="E18" s="332"/>
      <c r="F18" s="332">
        <v>1000000</v>
      </c>
      <c r="G18" s="332"/>
      <c r="H18" s="62">
        <f t="shared" si="0"/>
        <v>1000000</v>
      </c>
    </row>
    <row r="19" spans="1:12" ht="14.4" x14ac:dyDescent="0.25">
      <c r="A19" s="356" t="s">
        <v>186</v>
      </c>
      <c r="B19" s="288" t="s">
        <v>187</v>
      </c>
      <c r="C19" s="335"/>
      <c r="D19" s="332"/>
      <c r="E19" s="332"/>
      <c r="F19" s="332"/>
      <c r="G19" s="332"/>
      <c r="H19" s="62">
        <f t="shared" si="0"/>
        <v>0</v>
      </c>
      <c r="J19" s="70"/>
    </row>
    <row r="20" spans="1:12" s="5" customFormat="1" ht="14.4" x14ac:dyDescent="0.25">
      <c r="A20" s="179" t="s">
        <v>27</v>
      </c>
      <c r="B20" s="180" t="s">
        <v>90</v>
      </c>
      <c r="C20" s="181">
        <f>SUM(C7:C17)</f>
        <v>21</v>
      </c>
      <c r="D20" s="182">
        <f>SUM(D7:D19)</f>
        <v>27594488</v>
      </c>
      <c r="E20" s="182">
        <f>SUM(E7:E19)</f>
        <v>4018168</v>
      </c>
      <c r="F20" s="182">
        <f>SUM(F7:F19)</f>
        <v>30700000</v>
      </c>
      <c r="G20" s="182">
        <f>SUM(G7:G19)</f>
        <v>0</v>
      </c>
      <c r="H20" s="182">
        <f>SUM(D20:G20)</f>
        <v>62312656</v>
      </c>
    </row>
    <row r="21" spans="1:12" ht="14.4" x14ac:dyDescent="0.25">
      <c r="A21" s="331" t="s">
        <v>7</v>
      </c>
      <c r="B21" s="286" t="s">
        <v>504</v>
      </c>
      <c r="C21" s="335"/>
      <c r="D21" s="336"/>
      <c r="E21" s="336"/>
      <c r="F21" s="336"/>
      <c r="G21" s="337">
        <f>('10).Adott támogatások'!C15)</f>
        <v>490000</v>
      </c>
      <c r="H21" s="176">
        <f>SUM(D21:G21)</f>
        <v>490000</v>
      </c>
    </row>
    <row r="22" spans="1:12" ht="14.4" x14ac:dyDescent="0.25">
      <c r="A22" s="331" t="s">
        <v>8</v>
      </c>
      <c r="B22" s="288" t="s">
        <v>357</v>
      </c>
      <c r="C22" s="335"/>
      <c r="D22" s="332"/>
      <c r="E22" s="332"/>
      <c r="F22" s="332">
        <v>3050000</v>
      </c>
      <c r="G22" s="332"/>
      <c r="H22" s="62">
        <f>SUM(D22:G22)</f>
        <v>3050000</v>
      </c>
      <c r="L22" s="70"/>
    </row>
    <row r="23" spans="1:12" ht="14.4" x14ac:dyDescent="0.25">
      <c r="A23" s="331" t="s">
        <v>9</v>
      </c>
      <c r="B23" s="288" t="s">
        <v>183</v>
      </c>
      <c r="C23" s="335"/>
      <c r="D23" s="332"/>
      <c r="E23" s="332"/>
      <c r="F23" s="332">
        <v>1300000</v>
      </c>
      <c r="G23" s="332"/>
      <c r="H23" s="62">
        <f>SUM(D23:G23)</f>
        <v>1300000</v>
      </c>
    </row>
    <row r="24" spans="1:12" ht="14.4" x14ac:dyDescent="0.25">
      <c r="A24" s="331" t="s">
        <v>10</v>
      </c>
      <c r="B24" s="71" t="s">
        <v>97</v>
      </c>
      <c r="C24" s="335">
        <v>1</v>
      </c>
      <c r="D24" s="332">
        <v>1772000</v>
      </c>
      <c r="E24" s="332">
        <v>374660</v>
      </c>
      <c r="F24" s="332">
        <v>3000000</v>
      </c>
      <c r="G24" s="332"/>
      <c r="H24" s="62">
        <f>SUM(D24:G24)</f>
        <v>5146660</v>
      </c>
    </row>
    <row r="25" spans="1:12" ht="14.4" x14ac:dyDescent="0.25">
      <c r="A25" s="331" t="s">
        <v>11</v>
      </c>
      <c r="B25" s="288" t="s">
        <v>184</v>
      </c>
      <c r="C25" s="335"/>
      <c r="D25" s="332"/>
      <c r="E25" s="332"/>
      <c r="F25" s="332">
        <v>400000</v>
      </c>
      <c r="G25" s="332"/>
      <c r="H25" s="62">
        <f t="shared" ref="H25:H33" si="1">SUM(D25:G25)</f>
        <v>400000</v>
      </c>
    </row>
    <row r="26" spans="1:12" ht="14.4" x14ac:dyDescent="0.25">
      <c r="A26" s="331" t="s">
        <v>12</v>
      </c>
      <c r="B26" s="288" t="s">
        <v>87</v>
      </c>
      <c r="C26" s="335">
        <v>16</v>
      </c>
      <c r="D26" s="332">
        <f>'3a).Személyi jutt intézmény'!D6</f>
        <v>30528750</v>
      </c>
      <c r="E26" s="332">
        <f>'3a).Személyi jutt intézmény'!D20</f>
        <v>2481933</v>
      </c>
      <c r="F26" s="332">
        <f>4000000-420000</f>
        <v>3580000</v>
      </c>
      <c r="G26" s="332"/>
      <c r="H26" s="62">
        <f t="shared" si="1"/>
        <v>36590683</v>
      </c>
      <c r="K26" s="70"/>
    </row>
    <row r="27" spans="1:12" ht="14.4" x14ac:dyDescent="0.25">
      <c r="A27" s="331" t="s">
        <v>13</v>
      </c>
      <c r="B27" s="288" t="s">
        <v>308</v>
      </c>
      <c r="C27" s="335"/>
      <c r="D27" s="332"/>
      <c r="E27" s="332"/>
      <c r="F27" s="332"/>
      <c r="G27" s="332"/>
      <c r="H27" s="62">
        <f t="shared" si="1"/>
        <v>0</v>
      </c>
      <c r="K27" s="70"/>
    </row>
    <row r="28" spans="1:12" ht="14.4" x14ac:dyDescent="0.25">
      <c r="A28" s="331" t="s">
        <v>14</v>
      </c>
      <c r="B28" s="288" t="s">
        <v>310</v>
      </c>
      <c r="C28" s="335"/>
      <c r="D28" s="332"/>
      <c r="E28" s="332"/>
      <c r="F28" s="332">
        <v>300000</v>
      </c>
      <c r="G28" s="332"/>
      <c r="H28" s="62">
        <f t="shared" si="1"/>
        <v>300000</v>
      </c>
    </row>
    <row r="29" spans="1:12" ht="14.4" x14ac:dyDescent="0.25">
      <c r="A29" s="331" t="s">
        <v>15</v>
      </c>
      <c r="B29" s="288" t="s">
        <v>289</v>
      </c>
      <c r="C29" s="335"/>
      <c r="D29" s="332"/>
      <c r="E29" s="332"/>
      <c r="F29" s="332"/>
      <c r="G29" s="332"/>
      <c r="H29" s="62">
        <f t="shared" si="1"/>
        <v>0</v>
      </c>
    </row>
    <row r="30" spans="1:12" ht="14.4" x14ac:dyDescent="0.25">
      <c r="A30" s="331" t="s">
        <v>16</v>
      </c>
      <c r="B30" s="288" t="s">
        <v>305</v>
      </c>
      <c r="C30" s="335"/>
      <c r="D30" s="332"/>
      <c r="E30" s="332"/>
      <c r="F30" s="332">
        <v>300000</v>
      </c>
      <c r="G30" s="332"/>
      <c r="H30" s="62">
        <f t="shared" si="1"/>
        <v>300000</v>
      </c>
    </row>
    <row r="31" spans="1:12" ht="14.4" x14ac:dyDescent="0.25">
      <c r="A31" s="331" t="s">
        <v>17</v>
      </c>
      <c r="B31" s="288" t="s">
        <v>332</v>
      </c>
      <c r="C31" s="335"/>
      <c r="D31" s="332"/>
      <c r="E31" s="332"/>
      <c r="F31" s="332"/>
      <c r="G31" s="332"/>
      <c r="H31" s="62">
        <f t="shared" si="1"/>
        <v>0</v>
      </c>
    </row>
    <row r="32" spans="1:12" s="5" customFormat="1" ht="14.4" x14ac:dyDescent="0.25">
      <c r="A32" s="330" t="s">
        <v>31</v>
      </c>
      <c r="B32" s="289" t="s">
        <v>91</v>
      </c>
      <c r="C32" s="183">
        <f>SUM(C21:C31)</f>
        <v>17</v>
      </c>
      <c r="D32" s="88">
        <f>SUM(D21:D31)</f>
        <v>32300750</v>
      </c>
      <c r="E32" s="88">
        <f>SUM(E21:E31)</f>
        <v>2856593</v>
      </c>
      <c r="F32" s="88">
        <f>SUM(F21:F31)</f>
        <v>11930000</v>
      </c>
      <c r="G32" s="88">
        <f>SUM(G21:G31)</f>
        <v>490000</v>
      </c>
      <c r="H32" s="88">
        <f>SUM(D32:G32)</f>
        <v>47577343</v>
      </c>
    </row>
    <row r="33" spans="1:11" ht="14.4" x14ac:dyDescent="0.25">
      <c r="A33" s="331" t="s">
        <v>32</v>
      </c>
      <c r="B33" s="288" t="s">
        <v>92</v>
      </c>
      <c r="C33" s="175"/>
      <c r="D33" s="53"/>
      <c r="E33" s="53"/>
      <c r="F33" s="53"/>
      <c r="G33" s="53"/>
      <c r="H33" s="62">
        <f t="shared" si="1"/>
        <v>0</v>
      </c>
    </row>
    <row r="34" spans="1:11" ht="14.4" x14ac:dyDescent="0.25">
      <c r="A34" s="557" t="s">
        <v>422</v>
      </c>
      <c r="B34" s="557"/>
      <c r="C34" s="177">
        <f>C32+C20+C33</f>
        <v>38</v>
      </c>
      <c r="D34" s="98">
        <f>D32+D20+D33</f>
        <v>59895238</v>
      </c>
      <c r="E34" s="98">
        <f t="shared" ref="E34:H34" si="2">E32+E20+E33</f>
        <v>6874761</v>
      </c>
      <c r="F34" s="98">
        <f t="shared" si="2"/>
        <v>42630000</v>
      </c>
      <c r="G34" s="98">
        <f>G32+G20+G33</f>
        <v>490000</v>
      </c>
      <c r="H34" s="98">
        <f t="shared" si="2"/>
        <v>109889999</v>
      </c>
      <c r="J34" s="70"/>
    </row>
    <row r="35" spans="1:11" ht="14.4" x14ac:dyDescent="0.25">
      <c r="A35" s="635" t="s">
        <v>366</v>
      </c>
      <c r="B35" s="469"/>
      <c r="C35" s="178">
        <f>'3a).Személyi jutt intézmény'!C80</f>
        <v>38</v>
      </c>
      <c r="D35" s="96">
        <f>'3a).Személyi jutt intézmény'!D17</f>
        <v>59895238</v>
      </c>
      <c r="E35" s="96">
        <f>'3a).Személyi jutt intézmény'!D22</f>
        <v>6874761</v>
      </c>
      <c r="F35" s="96">
        <f>'3b).Dologi kiad intézmény'!D26</f>
        <v>42630000</v>
      </c>
      <c r="G35" s="62">
        <f>G34</f>
        <v>490000</v>
      </c>
      <c r="H35" s="62">
        <f>SUM(D35:G35)</f>
        <v>109889999</v>
      </c>
      <c r="K35" s="70"/>
    </row>
    <row r="36" spans="1:11" s="355" customFormat="1" ht="14.4" x14ac:dyDescent="0.25">
      <c r="A36" s="636" t="s">
        <v>551</v>
      </c>
      <c r="B36" s="636"/>
      <c r="C36" s="354">
        <f>C34-C35</f>
        <v>0</v>
      </c>
      <c r="D36" s="354">
        <f>D34-D35</f>
        <v>0</v>
      </c>
      <c r="E36" s="354">
        <f t="shared" ref="E36" si="3">E34-E35</f>
        <v>0</v>
      </c>
      <c r="F36" s="354">
        <f t="shared" ref="F36" si="4">F34-F35</f>
        <v>0</v>
      </c>
      <c r="G36" s="354">
        <f t="shared" ref="G36" si="5">G34-G35</f>
        <v>0</v>
      </c>
      <c r="H36" s="354">
        <f t="shared" ref="H36" si="6">H34-H35</f>
        <v>0</v>
      </c>
    </row>
    <row r="37" spans="1:11" x14ac:dyDescent="0.25">
      <c r="A37" s="25"/>
      <c r="B37" s="24"/>
      <c r="C37" s="25"/>
      <c r="D37" s="184"/>
      <c r="E37" s="184"/>
      <c r="F37" s="184"/>
      <c r="G37" s="13"/>
      <c r="H37" s="13"/>
      <c r="J37" s="70"/>
    </row>
    <row r="38" spans="1:11" ht="18" x14ac:dyDescent="0.25">
      <c r="A38" s="640" t="s">
        <v>505</v>
      </c>
      <c r="B38" s="640"/>
      <c r="C38" s="640"/>
      <c r="D38" s="640"/>
      <c r="E38" s="640"/>
      <c r="F38" s="640"/>
      <c r="G38" s="640"/>
      <c r="H38" s="640"/>
    </row>
    <row r="39" spans="1:11" ht="14.4" x14ac:dyDescent="0.25">
      <c r="A39" s="331" t="s">
        <v>7</v>
      </c>
      <c r="B39" s="288" t="s">
        <v>374</v>
      </c>
      <c r="C39" s="338">
        <v>10</v>
      </c>
      <c r="D39" s="339">
        <v>40419500</v>
      </c>
      <c r="E39" s="339">
        <f>6632417-140432</f>
        <v>6491985</v>
      </c>
      <c r="F39" s="339">
        <v>9329813</v>
      </c>
      <c r="G39" s="339"/>
      <c r="H39" s="49">
        <f>SUM(D39:G39)</f>
        <v>56241298</v>
      </c>
      <c r="J39" s="12"/>
    </row>
    <row r="40" spans="1:11" ht="14.4" x14ac:dyDescent="0.25">
      <c r="A40" s="331" t="s">
        <v>8</v>
      </c>
      <c r="B40" s="288" t="s">
        <v>375</v>
      </c>
      <c r="C40" s="338">
        <v>2</v>
      </c>
      <c r="D40" s="339">
        <f>3890900-428000</f>
        <v>3462900</v>
      </c>
      <c r="E40" s="339">
        <v>508015</v>
      </c>
      <c r="F40" s="339">
        <f>17747187-154568</f>
        <v>17592619</v>
      </c>
      <c r="G40" s="339"/>
      <c r="H40" s="49">
        <f>SUM(D40:G40)</f>
        <v>21563534</v>
      </c>
      <c r="J40" s="12"/>
    </row>
    <row r="41" spans="1:11" ht="14.4" x14ac:dyDescent="0.25">
      <c r="A41" s="330" t="s">
        <v>27</v>
      </c>
      <c r="B41" s="58" t="s">
        <v>85</v>
      </c>
      <c r="C41" s="59">
        <f>SUM(C39:C40)</f>
        <v>12</v>
      </c>
      <c r="D41" s="49">
        <f>SUM(D39:D40)</f>
        <v>43882400</v>
      </c>
      <c r="E41" s="49">
        <f t="shared" ref="E41:H41" si="7">SUM(E39:E40)</f>
        <v>7000000</v>
      </c>
      <c r="F41" s="49">
        <f t="shared" si="7"/>
        <v>26922432</v>
      </c>
      <c r="G41" s="49">
        <f t="shared" si="7"/>
        <v>0</v>
      </c>
      <c r="H41" s="49">
        <f t="shared" si="7"/>
        <v>77804832</v>
      </c>
      <c r="J41" s="168"/>
    </row>
    <row r="42" spans="1:11" ht="14.4" x14ac:dyDescent="0.25">
      <c r="A42" s="331" t="s">
        <v>31</v>
      </c>
      <c r="B42" s="303" t="s">
        <v>105</v>
      </c>
      <c r="C42" s="57"/>
      <c r="D42" s="51"/>
      <c r="E42" s="51"/>
      <c r="F42" s="51"/>
      <c r="G42" s="51"/>
      <c r="H42" s="49">
        <f>SUM(D42:G42)</f>
        <v>0</v>
      </c>
      <c r="J42" s="168"/>
    </row>
    <row r="43" spans="1:11" ht="14.4" x14ac:dyDescent="0.25">
      <c r="A43" s="331" t="s">
        <v>32</v>
      </c>
      <c r="B43" s="303" t="s">
        <v>185</v>
      </c>
      <c r="C43" s="57"/>
      <c r="D43" s="51"/>
      <c r="E43" s="51"/>
      <c r="F43" s="51"/>
      <c r="G43" s="51"/>
      <c r="H43" s="49">
        <f>SUM(D43:G43)</f>
        <v>0</v>
      </c>
      <c r="K43" s="70"/>
    </row>
    <row r="44" spans="1:11" ht="14.4" x14ac:dyDescent="0.25">
      <c r="A44" s="628" t="s">
        <v>373</v>
      </c>
      <c r="B44" s="629"/>
      <c r="C44" s="60">
        <f>C41+C42+C43</f>
        <v>12</v>
      </c>
      <c r="D44" s="50">
        <f>SUM(D41:D43)</f>
        <v>43882400</v>
      </c>
      <c r="E44" s="50">
        <f t="shared" ref="E44:H44" si="8">SUM(E41:E43)</f>
        <v>7000000</v>
      </c>
      <c r="F44" s="50">
        <f t="shared" si="8"/>
        <v>26922432</v>
      </c>
      <c r="G44" s="50">
        <f t="shared" si="8"/>
        <v>0</v>
      </c>
      <c r="H44" s="50">
        <f t="shared" si="8"/>
        <v>77804832</v>
      </c>
      <c r="K44" s="70"/>
    </row>
    <row r="45" spans="1:11" ht="14.4" x14ac:dyDescent="0.25">
      <c r="A45" s="630" t="s">
        <v>366</v>
      </c>
      <c r="B45" s="631"/>
      <c r="C45" s="56">
        <f>'3a).Személyi jutt intézmény'!D80</f>
        <v>12</v>
      </c>
      <c r="D45" s="48">
        <f>'3a).Személyi jutt intézmény'!D35</f>
        <v>43882400</v>
      </c>
      <c r="E45" s="48">
        <f>'3a).Személyi jutt intézmény'!D38</f>
        <v>7000000</v>
      </c>
      <c r="F45" s="48">
        <f>'3b).Dologi kiad intézmény'!D49</f>
        <v>26922432</v>
      </c>
      <c r="G45" s="37">
        <f>G44</f>
        <v>0</v>
      </c>
      <c r="H45" s="37">
        <f>SUM(D45:G45)</f>
        <v>77804832</v>
      </c>
    </row>
    <row r="46" spans="1:11" s="355" customFormat="1" ht="14.4" x14ac:dyDescent="0.25">
      <c r="A46" s="636" t="s">
        <v>551</v>
      </c>
      <c r="B46" s="636"/>
      <c r="C46" s="354">
        <f>C44-C45</f>
        <v>0</v>
      </c>
      <c r="D46" s="354">
        <f>D44-D45</f>
        <v>0</v>
      </c>
      <c r="E46" s="354">
        <f t="shared" ref="E46" si="9">E44-E45</f>
        <v>0</v>
      </c>
      <c r="F46" s="354">
        <f t="shared" ref="F46" si="10">F44-F45</f>
        <v>0</v>
      </c>
      <c r="G46" s="354">
        <f t="shared" ref="G46" si="11">G44-G45</f>
        <v>0</v>
      </c>
      <c r="H46" s="354">
        <f t="shared" ref="H46" si="12">H44-H45</f>
        <v>0</v>
      </c>
    </row>
    <row r="47" spans="1:11" x14ac:dyDescent="0.25">
      <c r="A47" s="25"/>
      <c r="B47" s="24"/>
      <c r="C47" s="25"/>
      <c r="D47" s="184"/>
      <c r="E47" s="184"/>
      <c r="F47" s="184"/>
      <c r="G47" s="13"/>
      <c r="H47" s="13"/>
    </row>
    <row r="48" spans="1:11" ht="18" x14ac:dyDescent="0.25">
      <c r="A48" s="632" t="s">
        <v>591</v>
      </c>
      <c r="B48" s="633"/>
      <c r="C48" s="633"/>
      <c r="D48" s="633"/>
      <c r="E48" s="633"/>
      <c r="F48" s="633"/>
      <c r="G48" s="633"/>
      <c r="H48" s="634"/>
    </row>
    <row r="49" spans="1:12" ht="14.4" x14ac:dyDescent="0.25">
      <c r="A49" s="331" t="s">
        <v>7</v>
      </c>
      <c r="B49" s="288" t="s">
        <v>93</v>
      </c>
      <c r="C49" s="340">
        <v>12</v>
      </c>
      <c r="D49" s="341">
        <f>34583548-18000+2000000</f>
        <v>36565548</v>
      </c>
      <c r="E49" s="341">
        <v>7036633</v>
      </c>
      <c r="F49" s="341">
        <f>5139255-1170300</f>
        <v>3968955</v>
      </c>
      <c r="G49" s="341"/>
      <c r="H49" s="37">
        <f>SUM(D49:G49)</f>
        <v>47571136</v>
      </c>
    </row>
    <row r="50" spans="1:12" ht="14.4" x14ac:dyDescent="0.25">
      <c r="A50" s="357" t="s">
        <v>27</v>
      </c>
      <c r="B50" s="41" t="s">
        <v>90</v>
      </c>
      <c r="C50" s="342">
        <f>C49</f>
        <v>12</v>
      </c>
      <c r="D50" s="343">
        <f>D49</f>
        <v>36565548</v>
      </c>
      <c r="E50" s="343">
        <f t="shared" ref="E50:G50" si="13">E49</f>
        <v>7036633</v>
      </c>
      <c r="F50" s="343">
        <f t="shared" si="13"/>
        <v>3968955</v>
      </c>
      <c r="G50" s="343">
        <f t="shared" si="13"/>
        <v>0</v>
      </c>
      <c r="H50" s="37">
        <f t="shared" ref="H50:H54" si="14">SUM(D50:G50)</f>
        <v>47571136</v>
      </c>
      <c r="J50" s="70"/>
    </row>
    <row r="51" spans="1:12" ht="14.4" x14ac:dyDescent="0.25">
      <c r="A51" s="331" t="s">
        <v>7</v>
      </c>
      <c r="B51" s="288" t="s">
        <v>376</v>
      </c>
      <c r="C51" s="340">
        <v>4</v>
      </c>
      <c r="D51" s="341">
        <f>12064452+1027960-50000</f>
        <v>13042412</v>
      </c>
      <c r="E51" s="341">
        <v>1063367</v>
      </c>
      <c r="F51" s="341">
        <v>496045</v>
      </c>
      <c r="G51" s="341"/>
      <c r="H51" s="37">
        <f t="shared" si="14"/>
        <v>14601824</v>
      </c>
      <c r="K51" s="70"/>
    </row>
    <row r="52" spans="1:12" ht="14.4" x14ac:dyDescent="0.25">
      <c r="A52" s="357" t="s">
        <v>31</v>
      </c>
      <c r="B52" s="41" t="s">
        <v>91</v>
      </c>
      <c r="C52" s="342">
        <f>C51</f>
        <v>4</v>
      </c>
      <c r="D52" s="343">
        <f>SUM(D51)</f>
        <v>13042412</v>
      </c>
      <c r="E52" s="343">
        <f t="shared" ref="E52:G52" si="15">SUM(E51)</f>
        <v>1063367</v>
      </c>
      <c r="F52" s="343">
        <f t="shared" si="15"/>
        <v>496045</v>
      </c>
      <c r="G52" s="343">
        <f t="shared" si="15"/>
        <v>0</v>
      </c>
      <c r="H52" s="37">
        <f t="shared" si="14"/>
        <v>14601824</v>
      </c>
    </row>
    <row r="53" spans="1:12" ht="14.4" x14ac:dyDescent="0.25">
      <c r="A53" s="331" t="s">
        <v>32</v>
      </c>
      <c r="B53" s="288" t="s">
        <v>185</v>
      </c>
      <c r="C53" s="344"/>
      <c r="D53" s="341"/>
      <c r="E53" s="341"/>
      <c r="F53" s="341"/>
      <c r="G53" s="341"/>
      <c r="H53" s="37">
        <f t="shared" si="14"/>
        <v>0</v>
      </c>
    </row>
    <row r="54" spans="1:12" ht="14.4" x14ac:dyDescent="0.25">
      <c r="A54" s="628" t="s">
        <v>373</v>
      </c>
      <c r="B54" s="629"/>
      <c r="C54" s="345">
        <f>C50+C52+C53</f>
        <v>16</v>
      </c>
      <c r="D54" s="346">
        <f>D50+D52+D53</f>
        <v>49607960</v>
      </c>
      <c r="E54" s="346">
        <f t="shared" ref="E54:G54" si="16">E50+E52+E53</f>
        <v>8100000</v>
      </c>
      <c r="F54" s="346">
        <f t="shared" si="16"/>
        <v>4465000</v>
      </c>
      <c r="G54" s="346">
        <f t="shared" si="16"/>
        <v>0</v>
      </c>
      <c r="H54" s="61">
        <f t="shared" si="14"/>
        <v>62172960</v>
      </c>
      <c r="J54" s="70"/>
    </row>
    <row r="55" spans="1:12" ht="14.4" x14ac:dyDescent="0.25">
      <c r="A55" s="641" t="s">
        <v>366</v>
      </c>
      <c r="B55" s="631"/>
      <c r="C55" s="56">
        <f>'3a).Személyi jutt intézmény'!F80</f>
        <v>16</v>
      </c>
      <c r="D55" s="48">
        <f>'3a).Személyi jutt intézmény'!D67</f>
        <v>49608624</v>
      </c>
      <c r="E55" s="48">
        <f>'3a).Személyi jutt intézmény'!D70</f>
        <v>8100000</v>
      </c>
      <c r="F55" s="48">
        <f>'3b).Dologi kiad intézmény'!D95</f>
        <v>4465000</v>
      </c>
      <c r="G55" s="37">
        <f>G54</f>
        <v>0</v>
      </c>
      <c r="H55" s="37">
        <f>SUM(D55:G55)</f>
        <v>62173624</v>
      </c>
    </row>
    <row r="56" spans="1:12" s="355" customFormat="1" ht="14.4" x14ac:dyDescent="0.25">
      <c r="A56" s="636" t="s">
        <v>551</v>
      </c>
      <c r="B56" s="636"/>
      <c r="C56" s="354">
        <f>C54-C55</f>
        <v>0</v>
      </c>
      <c r="D56" s="354">
        <f>D54-D55</f>
        <v>-664</v>
      </c>
      <c r="E56" s="354">
        <f t="shared" ref="E56" si="17">E54-E55</f>
        <v>0</v>
      </c>
      <c r="F56" s="354">
        <f t="shared" ref="F56" si="18">F54-F55</f>
        <v>0</v>
      </c>
      <c r="G56" s="354">
        <f t="shared" ref="G56" si="19">G54-G55</f>
        <v>0</v>
      </c>
      <c r="H56" s="354">
        <f t="shared" ref="H56" si="20">H54-H55</f>
        <v>-664</v>
      </c>
    </row>
    <row r="57" spans="1:12" ht="14.4" x14ac:dyDescent="0.25">
      <c r="A57" s="25"/>
      <c r="B57" s="26"/>
      <c r="C57" s="27"/>
      <c r="D57" s="28"/>
      <c r="E57" s="28"/>
      <c r="F57" s="185"/>
      <c r="G57" s="29"/>
      <c r="H57" s="28"/>
    </row>
    <row r="58" spans="1:12" ht="18" x14ac:dyDescent="0.25">
      <c r="A58" s="642" t="s">
        <v>590</v>
      </c>
      <c r="B58" s="642"/>
      <c r="C58" s="642"/>
      <c r="D58" s="642"/>
      <c r="E58" s="642"/>
      <c r="F58" s="642"/>
      <c r="G58" s="642"/>
      <c r="H58" s="642"/>
      <c r="J58" s="70"/>
    </row>
    <row r="59" spans="1:12" ht="14.4" x14ac:dyDescent="0.25">
      <c r="A59" s="331" t="s">
        <v>7</v>
      </c>
      <c r="B59" s="288" t="s">
        <v>367</v>
      </c>
      <c r="C59" s="347">
        <v>1</v>
      </c>
      <c r="D59" s="339">
        <v>5771473</v>
      </c>
      <c r="E59" s="339">
        <f>802838+664</f>
        <v>803502</v>
      </c>
      <c r="F59" s="339">
        <f>1445000-185000+320000</f>
        <v>1580000</v>
      </c>
      <c r="G59" s="339"/>
      <c r="H59" s="49">
        <f t="shared" ref="H59:H67" si="21">SUM(D59:G59)</f>
        <v>8154975</v>
      </c>
      <c r="L59" s="70"/>
    </row>
    <row r="60" spans="1:12" ht="14.4" x14ac:dyDescent="0.25">
      <c r="A60" s="331" t="s">
        <v>8</v>
      </c>
      <c r="B60" s="288" t="s">
        <v>372</v>
      </c>
      <c r="C60" s="347"/>
      <c r="D60" s="339"/>
      <c r="E60" s="339"/>
      <c r="F60" s="339">
        <v>280000</v>
      </c>
      <c r="G60" s="339"/>
      <c r="H60" s="49">
        <f t="shared" si="21"/>
        <v>280000</v>
      </c>
    </row>
    <row r="61" spans="1:12" ht="14.4" x14ac:dyDescent="0.25">
      <c r="A61" s="331" t="s">
        <v>9</v>
      </c>
      <c r="B61" s="288" t="s">
        <v>368</v>
      </c>
      <c r="C61" s="347">
        <v>3</v>
      </c>
      <c r="D61" s="339">
        <v>7009139</v>
      </c>
      <c r="E61" s="339">
        <f>1166782-664</f>
        <v>1166118</v>
      </c>
      <c r="F61" s="339">
        <v>130000</v>
      </c>
      <c r="G61" s="339"/>
      <c r="H61" s="49">
        <f t="shared" si="21"/>
        <v>8305257</v>
      </c>
    </row>
    <row r="62" spans="1:12" ht="14.4" x14ac:dyDescent="0.25">
      <c r="A62" s="331" t="s">
        <v>10</v>
      </c>
      <c r="B62" s="288" t="s">
        <v>369</v>
      </c>
      <c r="C62" s="347">
        <v>1</v>
      </c>
      <c r="D62" s="339">
        <v>4875188</v>
      </c>
      <c r="E62" s="339">
        <v>759561</v>
      </c>
      <c r="F62" s="339">
        <v>805000</v>
      </c>
      <c r="G62" s="339"/>
      <c r="H62" s="49">
        <f t="shared" si="21"/>
        <v>6439749</v>
      </c>
      <c r="K62" s="70"/>
    </row>
    <row r="63" spans="1:12" ht="14.4" x14ac:dyDescent="0.25">
      <c r="A63" s="331" t="s">
        <v>11</v>
      </c>
      <c r="B63" s="288" t="s">
        <v>370</v>
      </c>
      <c r="C63" s="347">
        <v>1</v>
      </c>
      <c r="D63" s="339">
        <f>2812000+152268</f>
        <v>2964268</v>
      </c>
      <c r="E63" s="339">
        <v>548340</v>
      </c>
      <c r="F63" s="339">
        <v>130000</v>
      </c>
      <c r="G63" s="339"/>
      <c r="H63" s="49">
        <f t="shared" si="21"/>
        <v>3642608</v>
      </c>
    </row>
    <row r="64" spans="1:12" ht="14.4" x14ac:dyDescent="0.25">
      <c r="A64" s="331" t="s">
        <v>12</v>
      </c>
      <c r="B64" s="288" t="s">
        <v>371</v>
      </c>
      <c r="C64" s="347">
        <v>1</v>
      </c>
      <c r="D64" s="339">
        <v>3192200</v>
      </c>
      <c r="E64" s="339">
        <v>622479</v>
      </c>
      <c r="F64" s="339">
        <v>130000</v>
      </c>
      <c r="G64" s="339"/>
      <c r="H64" s="49">
        <f t="shared" si="21"/>
        <v>3944679</v>
      </c>
      <c r="K64" s="70"/>
      <c r="L64" s="70"/>
    </row>
    <row r="65" spans="1:10" ht="14.4" x14ac:dyDescent="0.25">
      <c r="A65" s="471" t="s">
        <v>96</v>
      </c>
      <c r="B65" s="471"/>
      <c r="C65" s="348">
        <f t="shared" ref="C65:G65" si="22">SUM(C59:C64)</f>
        <v>7</v>
      </c>
      <c r="D65" s="349">
        <f t="shared" si="22"/>
        <v>23812268</v>
      </c>
      <c r="E65" s="349">
        <f t="shared" si="22"/>
        <v>3900000</v>
      </c>
      <c r="F65" s="349">
        <f t="shared" si="22"/>
        <v>3055000</v>
      </c>
      <c r="G65" s="349">
        <f t="shared" si="22"/>
        <v>0</v>
      </c>
      <c r="H65" s="49">
        <f t="shared" si="21"/>
        <v>30767268</v>
      </c>
      <c r="J65" s="13"/>
    </row>
    <row r="66" spans="1:10" ht="14.4" x14ac:dyDescent="0.25">
      <c r="A66" s="557" t="s">
        <v>373</v>
      </c>
      <c r="B66" s="557"/>
      <c r="C66" s="350">
        <f t="shared" ref="C66:G66" si="23">C65</f>
        <v>7</v>
      </c>
      <c r="D66" s="351">
        <f t="shared" si="23"/>
        <v>23812268</v>
      </c>
      <c r="E66" s="351">
        <f t="shared" si="23"/>
        <v>3900000</v>
      </c>
      <c r="F66" s="351">
        <f t="shared" si="23"/>
        <v>3055000</v>
      </c>
      <c r="G66" s="351">
        <f t="shared" si="23"/>
        <v>0</v>
      </c>
      <c r="H66" s="50">
        <f t="shared" si="21"/>
        <v>30767268</v>
      </c>
    </row>
    <row r="67" spans="1:10" ht="14.4" x14ac:dyDescent="0.25">
      <c r="A67" s="469" t="s">
        <v>366</v>
      </c>
      <c r="B67" s="469"/>
      <c r="C67" s="352">
        <f>'3a).Személyi jutt intézmény'!E80</f>
        <v>7</v>
      </c>
      <c r="D67" s="353">
        <f>'3a).Személyi jutt intézmény'!D51</f>
        <v>23812268</v>
      </c>
      <c r="E67" s="353">
        <f>'3a).Személyi jutt intézmény'!D54</f>
        <v>3900000</v>
      </c>
      <c r="F67" s="353">
        <f>'3b).Dologi kiad intézmény'!D72</f>
        <v>3055000</v>
      </c>
      <c r="G67" s="349">
        <f>G66</f>
        <v>0</v>
      </c>
      <c r="H67" s="49">
        <f t="shared" si="21"/>
        <v>30767268</v>
      </c>
    </row>
    <row r="68" spans="1:10" s="355" customFormat="1" ht="14.4" x14ac:dyDescent="0.25">
      <c r="A68" s="636" t="s">
        <v>551</v>
      </c>
      <c r="B68" s="636"/>
      <c r="C68" s="354">
        <f>C66-C67</f>
        <v>0</v>
      </c>
      <c r="D68" s="354">
        <f>D66-D67</f>
        <v>0</v>
      </c>
      <c r="E68" s="354">
        <f t="shared" ref="E68:F68" si="24">E66-E67</f>
        <v>0</v>
      </c>
      <c r="F68" s="354">
        <f t="shared" si="24"/>
        <v>0</v>
      </c>
      <c r="G68" s="354">
        <f t="shared" ref="G68" si="25">G66-G67</f>
        <v>0</v>
      </c>
      <c r="H68" s="354">
        <f t="shared" ref="H68" si="26">H66-H67</f>
        <v>0</v>
      </c>
    </row>
    <row r="69" spans="1:10" ht="14.4" x14ac:dyDescent="0.25">
      <c r="A69" s="358"/>
      <c r="B69" s="35"/>
      <c r="C69" s="34"/>
      <c r="D69" s="32"/>
      <c r="E69" s="32"/>
      <c r="F69" s="32"/>
      <c r="G69" s="32"/>
      <c r="H69" s="32"/>
    </row>
    <row r="70" spans="1:10" ht="14.4" x14ac:dyDescent="0.25">
      <c r="A70" s="557" t="s">
        <v>94</v>
      </c>
      <c r="B70" s="557"/>
      <c r="C70" s="557"/>
      <c r="D70" s="50">
        <f>D66+D54+D44+D34</f>
        <v>177197866</v>
      </c>
      <c r="E70" s="50">
        <f t="shared" ref="E70:H70" si="27">E66+E54+E44+E34</f>
        <v>25874761</v>
      </c>
      <c r="F70" s="50">
        <f t="shared" si="27"/>
        <v>77072432</v>
      </c>
      <c r="G70" s="50">
        <f t="shared" si="27"/>
        <v>490000</v>
      </c>
      <c r="H70" s="50">
        <f t="shared" si="27"/>
        <v>280635059</v>
      </c>
    </row>
    <row r="71" spans="1:10" ht="15.6" x14ac:dyDescent="0.3">
      <c r="A71" s="359"/>
    </row>
  </sheetData>
  <mergeCells count="22">
    <mergeCell ref="A70:C70"/>
    <mergeCell ref="A55:B55"/>
    <mergeCell ref="A58:H58"/>
    <mergeCell ref="A65:B65"/>
    <mergeCell ref="A66:B66"/>
    <mergeCell ref="A67:B67"/>
    <mergeCell ref="A68:B68"/>
    <mergeCell ref="A56:B56"/>
    <mergeCell ref="B6:H6"/>
    <mergeCell ref="A38:H38"/>
    <mergeCell ref="A1:H1"/>
    <mergeCell ref="A2:H2"/>
    <mergeCell ref="A4:H4"/>
    <mergeCell ref="A5:H5"/>
    <mergeCell ref="A44:B44"/>
    <mergeCell ref="A45:B45"/>
    <mergeCell ref="A48:H48"/>
    <mergeCell ref="A54:B54"/>
    <mergeCell ref="A34:B34"/>
    <mergeCell ref="A35:B35"/>
    <mergeCell ref="A46:B46"/>
    <mergeCell ref="A36:B36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73" orientation="portrait" r:id="rId1"/>
  <headerFooter>
    <oddHeader>&amp;R4./a sz. melléklet
Ft-ban</oddHeader>
  </headerFooter>
  <ignoredErrors>
    <ignoredError sqref="H59:H64 H49 H39:H40 H51 H22:H24 H27" formulaRange="1"/>
    <ignoredError sqref="H34 H41 H44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9">
    <pageSetUpPr fitToPage="1"/>
  </sheetPr>
  <dimension ref="A1:P17"/>
  <sheetViews>
    <sheetView zoomScaleNormal="100" workbookViewId="0">
      <selection activeCell="B24" sqref="B24"/>
    </sheetView>
  </sheetViews>
  <sheetFormatPr defaultColWidth="9.109375" defaultRowHeight="13.2" x14ac:dyDescent="0.25"/>
  <cols>
    <col min="1" max="1" width="21.6640625" style="4" customWidth="1"/>
    <col min="2" max="7" width="12" style="4" bestFit="1" customWidth="1"/>
    <col min="8" max="8" width="12.88671875" style="4" bestFit="1" customWidth="1"/>
    <col min="9" max="11" width="12" style="4" bestFit="1" customWidth="1"/>
    <col min="12" max="12" width="12.33203125" style="4" bestFit="1" customWidth="1"/>
    <col min="13" max="13" width="12" style="4" bestFit="1" customWidth="1"/>
    <col min="14" max="15" width="12.88671875" style="4" bestFit="1" customWidth="1"/>
    <col min="16" max="16" width="12.33203125" style="4" bestFit="1" customWidth="1"/>
    <col min="17" max="16384" width="9.109375" style="4"/>
  </cols>
  <sheetData>
    <row r="1" spans="1:16" ht="18" x14ac:dyDescent="0.25">
      <c r="A1" s="643" t="s">
        <v>57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5"/>
    </row>
    <row r="2" spans="1:16" ht="18" x14ac:dyDescent="0.25">
      <c r="A2" s="646" t="s">
        <v>516</v>
      </c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8"/>
    </row>
    <row r="3" spans="1:16" ht="15.6" x14ac:dyDescent="0.3">
      <c r="A3" s="84"/>
    </row>
    <row r="4" spans="1:16" s="5" customFormat="1" ht="14.4" x14ac:dyDescent="0.25">
      <c r="A4" s="302" t="s">
        <v>55</v>
      </c>
      <c r="B4" s="302" t="s">
        <v>484</v>
      </c>
      <c r="C4" s="302" t="s">
        <v>485</v>
      </c>
      <c r="D4" s="302" t="s">
        <v>486</v>
      </c>
      <c r="E4" s="302" t="s">
        <v>464</v>
      </c>
      <c r="F4" s="302" t="s">
        <v>487</v>
      </c>
      <c r="G4" s="302" t="s">
        <v>488</v>
      </c>
      <c r="H4" s="302" t="s">
        <v>489</v>
      </c>
      <c r="I4" s="302" t="s">
        <v>490</v>
      </c>
      <c r="J4" s="302" t="s">
        <v>465</v>
      </c>
      <c r="K4" s="302" t="s">
        <v>491</v>
      </c>
      <c r="L4" s="302" t="s">
        <v>466</v>
      </c>
      <c r="M4" s="302" t="s">
        <v>467</v>
      </c>
      <c r="N4" s="302" t="s">
        <v>20</v>
      </c>
      <c r="O4" s="302" t="s">
        <v>492</v>
      </c>
    </row>
    <row r="5" spans="1:16" ht="28.8" x14ac:dyDescent="0.25">
      <c r="A5" s="191" t="s">
        <v>282</v>
      </c>
      <c r="B5" s="368">
        <v>18707203</v>
      </c>
      <c r="C5" s="368">
        <v>18707203</v>
      </c>
      <c r="D5" s="368">
        <v>18707203</v>
      </c>
      <c r="E5" s="368">
        <v>18707203</v>
      </c>
      <c r="F5" s="368">
        <v>18707203</v>
      </c>
      <c r="G5" s="368">
        <v>18707203</v>
      </c>
      <c r="H5" s="368">
        <v>18707203</v>
      </c>
      <c r="I5" s="368">
        <v>18707203</v>
      </c>
      <c r="J5" s="368">
        <v>18707203</v>
      </c>
      <c r="K5" s="368">
        <v>18707203</v>
      </c>
      <c r="L5" s="368">
        <v>18707203</v>
      </c>
      <c r="M5" s="368">
        <v>18707207</v>
      </c>
      <c r="N5" s="252">
        <f>SUM(B5:M5)</f>
        <v>224486440</v>
      </c>
      <c r="O5" s="63">
        <f>'1).Bevételek összesen'!F13</f>
        <v>224531440</v>
      </c>
      <c r="P5" s="70"/>
    </row>
    <row r="6" spans="1:16" ht="28.8" x14ac:dyDescent="0.25">
      <c r="A6" s="191" t="s">
        <v>283</v>
      </c>
      <c r="B6" s="368">
        <v>7404671</v>
      </c>
      <c r="C6" s="368">
        <v>7404671</v>
      </c>
      <c r="D6" s="368">
        <v>7404671</v>
      </c>
      <c r="E6" s="368">
        <v>7404671</v>
      </c>
      <c r="F6" s="368">
        <v>7404671</v>
      </c>
      <c r="G6" s="368">
        <v>7404671</v>
      </c>
      <c r="H6" s="368">
        <v>7404671</v>
      </c>
      <c r="I6" s="368">
        <v>7404671</v>
      </c>
      <c r="J6" s="368">
        <v>7404671</v>
      </c>
      <c r="K6" s="368">
        <v>7404671</v>
      </c>
      <c r="L6" s="368">
        <v>7404671</v>
      </c>
      <c r="M6" s="368">
        <v>7404668</v>
      </c>
      <c r="N6" s="252">
        <f t="shared" ref="N6:N11" si="0">SUM(B6:M6)</f>
        <v>88856049</v>
      </c>
      <c r="O6" s="63">
        <f>('1).Bevételek összesen'!F16)</f>
        <v>88856049</v>
      </c>
      <c r="P6" s="70"/>
    </row>
    <row r="7" spans="1:16" ht="14.4" x14ac:dyDescent="0.25">
      <c r="A7" s="191" t="s">
        <v>56</v>
      </c>
      <c r="B7" s="368">
        <v>4620966</v>
      </c>
      <c r="C7" s="368">
        <v>4620966</v>
      </c>
      <c r="D7" s="368">
        <v>4620966</v>
      </c>
      <c r="E7" s="368">
        <v>4620966</v>
      </c>
      <c r="F7" s="368">
        <v>4620966</v>
      </c>
      <c r="G7" s="368">
        <v>4620966</v>
      </c>
      <c r="H7" s="368">
        <v>4620966</v>
      </c>
      <c r="I7" s="368">
        <v>4620966</v>
      </c>
      <c r="J7" s="368">
        <v>4620966</v>
      </c>
      <c r="K7" s="368">
        <v>4620966</v>
      </c>
      <c r="L7" s="368">
        <v>4620966</v>
      </c>
      <c r="M7" s="368">
        <v>4620970</v>
      </c>
      <c r="N7" s="252">
        <f t="shared" si="0"/>
        <v>55451596</v>
      </c>
      <c r="O7" s="63">
        <f>('1).Bevételek összesen'!F21)</f>
        <v>55451596</v>
      </c>
      <c r="P7" s="70"/>
    </row>
    <row r="8" spans="1:16" ht="14.4" x14ac:dyDescent="0.25">
      <c r="A8" s="191" t="s">
        <v>28</v>
      </c>
      <c r="B8" s="368">
        <v>2053167</v>
      </c>
      <c r="C8" s="368">
        <v>2053167</v>
      </c>
      <c r="D8" s="368">
        <v>2053167</v>
      </c>
      <c r="E8" s="368">
        <v>2053167</v>
      </c>
      <c r="F8" s="368">
        <v>2053167</v>
      </c>
      <c r="G8" s="368">
        <v>2053167</v>
      </c>
      <c r="H8" s="368">
        <v>2053167</v>
      </c>
      <c r="I8" s="368">
        <v>2053167</v>
      </c>
      <c r="J8" s="368">
        <v>2053167</v>
      </c>
      <c r="K8" s="368">
        <v>2053167</v>
      </c>
      <c r="L8" s="368">
        <v>2053167</v>
      </c>
      <c r="M8" s="368">
        <v>2053163</v>
      </c>
      <c r="N8" s="252">
        <f t="shared" si="0"/>
        <v>24638000</v>
      </c>
      <c r="O8" s="63">
        <f>('1).Bevételek összesen'!F22)</f>
        <v>24638000</v>
      </c>
      <c r="P8" s="70"/>
    </row>
    <row r="9" spans="1:16" ht="14.4" x14ac:dyDescent="0.25">
      <c r="A9" s="191" t="s">
        <v>399</v>
      </c>
      <c r="B9" s="368"/>
      <c r="C9" s="368"/>
      <c r="D9" s="368"/>
      <c r="E9" s="368">
        <v>2360000</v>
      </c>
      <c r="F9" s="368"/>
      <c r="G9" s="368">
        <v>1500000</v>
      </c>
      <c r="H9" s="368"/>
      <c r="I9" s="368"/>
      <c r="J9" s="368">
        <v>278000</v>
      </c>
      <c r="K9" s="368"/>
      <c r="L9" s="368"/>
      <c r="M9" s="368"/>
      <c r="N9" s="252">
        <f t="shared" si="0"/>
        <v>4138000</v>
      </c>
      <c r="O9" s="63">
        <f>('1).Bevételek összesen'!F25)</f>
        <v>4138000</v>
      </c>
      <c r="P9" s="70"/>
    </row>
    <row r="10" spans="1:16" ht="28.8" x14ac:dyDescent="0.25">
      <c r="A10" s="191" t="s">
        <v>164</v>
      </c>
      <c r="B10" s="368">
        <v>41667</v>
      </c>
      <c r="C10" s="368">
        <v>41667</v>
      </c>
      <c r="D10" s="368">
        <v>41667</v>
      </c>
      <c r="E10" s="368">
        <v>41667</v>
      </c>
      <c r="F10" s="368">
        <v>41667</v>
      </c>
      <c r="G10" s="368">
        <v>41667</v>
      </c>
      <c r="H10" s="368">
        <v>41667</v>
      </c>
      <c r="I10" s="368">
        <v>41667</v>
      </c>
      <c r="J10" s="368">
        <v>41667</v>
      </c>
      <c r="K10" s="368">
        <v>41667</v>
      </c>
      <c r="L10" s="368">
        <v>41667</v>
      </c>
      <c r="M10" s="368">
        <v>41663</v>
      </c>
      <c r="N10" s="252">
        <f t="shared" si="0"/>
        <v>500000</v>
      </c>
      <c r="O10" s="63">
        <f>('1).Bevételek összesen'!F28)</f>
        <v>500000</v>
      </c>
      <c r="P10" s="70"/>
    </row>
    <row r="11" spans="1:16" ht="28.8" x14ac:dyDescent="0.25">
      <c r="A11" s="191" t="s">
        <v>167</v>
      </c>
      <c r="B11" s="368"/>
      <c r="C11" s="368"/>
      <c r="D11" s="368">
        <v>23000000</v>
      </c>
      <c r="E11" s="368"/>
      <c r="F11" s="368"/>
      <c r="G11" s="368">
        <v>12213088</v>
      </c>
      <c r="H11" s="368"/>
      <c r="I11" s="368"/>
      <c r="J11" s="368"/>
      <c r="K11" s="368"/>
      <c r="L11" s="368"/>
      <c r="M11" s="368"/>
      <c r="N11" s="252">
        <f t="shared" si="0"/>
        <v>35213088</v>
      </c>
      <c r="O11" s="63">
        <f>('1).Bevételek összesen'!F30)</f>
        <v>35213088</v>
      </c>
      <c r="P11" s="70"/>
    </row>
    <row r="12" spans="1:16" ht="28.8" x14ac:dyDescent="0.25">
      <c r="A12" s="191" t="s">
        <v>59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252">
        <v>0</v>
      </c>
      <c r="O12" s="63">
        <v>0</v>
      </c>
      <c r="P12" s="70"/>
    </row>
    <row r="13" spans="1:16" ht="14.4" x14ac:dyDescent="0.25">
      <c r="A13" s="289" t="s">
        <v>1</v>
      </c>
      <c r="B13" s="52">
        <f t="shared" ref="B13:L13" si="1">SUM(B5:B12)</f>
        <v>32827674</v>
      </c>
      <c r="C13" s="52">
        <f t="shared" si="1"/>
        <v>32827674</v>
      </c>
      <c r="D13" s="52">
        <f t="shared" si="1"/>
        <v>55827674</v>
      </c>
      <c r="E13" s="52">
        <f t="shared" si="1"/>
        <v>35187674</v>
      </c>
      <c r="F13" s="52">
        <f t="shared" si="1"/>
        <v>32827674</v>
      </c>
      <c r="G13" s="52">
        <f t="shared" si="1"/>
        <v>46540762</v>
      </c>
      <c r="H13" s="52">
        <f>SUM(H5:H12)</f>
        <v>32827674</v>
      </c>
      <c r="I13" s="52">
        <f t="shared" si="1"/>
        <v>32827674</v>
      </c>
      <c r="J13" s="52">
        <f t="shared" si="1"/>
        <v>33105674</v>
      </c>
      <c r="K13" s="52">
        <f t="shared" si="1"/>
        <v>32827674</v>
      </c>
      <c r="L13" s="52">
        <f t="shared" si="1"/>
        <v>32827674</v>
      </c>
      <c r="M13" s="52">
        <f>SUM(M5:M12)</f>
        <v>32827671</v>
      </c>
      <c r="N13" s="52">
        <f>SUM(B13:M13)</f>
        <v>433283173</v>
      </c>
      <c r="O13" s="63">
        <f>SUM(O5:O12)</f>
        <v>433328173</v>
      </c>
      <c r="P13" s="70"/>
    </row>
    <row r="15" spans="1:16" x14ac:dyDescent="0.25">
      <c r="K15" s="70"/>
      <c r="L15" s="70"/>
      <c r="M15" s="70"/>
      <c r="N15" s="70"/>
    </row>
    <row r="17" spans="12:12" x14ac:dyDescent="0.25">
      <c r="L17" s="70"/>
    </row>
  </sheetData>
  <mergeCells count="2">
    <mergeCell ref="A1:O1"/>
    <mergeCell ref="A2:O2"/>
  </mergeCells>
  <pageMargins left="0.70866141732283461" right="0.70866141732283461" top="0.74803149606299213" bottom="0.74803149606299213" header="0.31496062992125984" footer="0.31496062992125984"/>
  <pageSetup paperSize="9" scale="69" orientation="landscape" r:id="rId1"/>
  <headerFooter>
    <oddHeader>&amp;R5. sz. melléklet
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9">
    <pageSetUpPr fitToPage="1"/>
  </sheetPr>
  <dimension ref="A1:Q23"/>
  <sheetViews>
    <sheetView zoomScaleNormal="100" workbookViewId="0">
      <selection activeCell="B24" sqref="B24"/>
    </sheetView>
  </sheetViews>
  <sheetFormatPr defaultColWidth="9.109375" defaultRowHeight="13.2" x14ac:dyDescent="0.25"/>
  <cols>
    <col min="1" max="1" width="19.88671875" style="5" customWidth="1"/>
    <col min="2" max="12" width="11.88671875" style="4" bestFit="1" customWidth="1"/>
    <col min="13" max="15" width="12.88671875" style="4" bestFit="1" customWidth="1"/>
    <col min="16" max="16" width="9.109375" style="4" bestFit="1" customWidth="1"/>
    <col min="17" max="16384" width="9.109375" style="4"/>
  </cols>
  <sheetData>
    <row r="1" spans="1:17" ht="18" x14ac:dyDescent="0.25">
      <c r="A1" s="491" t="s">
        <v>60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</row>
    <row r="2" spans="1:17" ht="18" x14ac:dyDescent="0.25">
      <c r="A2" s="492" t="s">
        <v>515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</row>
    <row r="3" spans="1:17" ht="16.8" x14ac:dyDescent="0.3">
      <c r="A3" s="14"/>
    </row>
    <row r="4" spans="1:17" s="5" customFormat="1" ht="14.4" x14ac:dyDescent="0.25">
      <c r="A4" s="302" t="s">
        <v>55</v>
      </c>
      <c r="B4" s="302" t="s">
        <v>484</v>
      </c>
      <c r="C4" s="302" t="s">
        <v>485</v>
      </c>
      <c r="D4" s="302" t="s">
        <v>486</v>
      </c>
      <c r="E4" s="302" t="s">
        <v>464</v>
      </c>
      <c r="F4" s="302" t="s">
        <v>487</v>
      </c>
      <c r="G4" s="302" t="s">
        <v>488</v>
      </c>
      <c r="H4" s="302" t="s">
        <v>489</v>
      </c>
      <c r="I4" s="302" t="s">
        <v>490</v>
      </c>
      <c r="J4" s="302" t="s">
        <v>465</v>
      </c>
      <c r="K4" s="302" t="s">
        <v>491</v>
      </c>
      <c r="L4" s="302" t="s">
        <v>466</v>
      </c>
      <c r="M4" s="302" t="s">
        <v>467</v>
      </c>
      <c r="N4" s="302" t="s">
        <v>20</v>
      </c>
      <c r="O4" s="302" t="s">
        <v>492</v>
      </c>
    </row>
    <row r="5" spans="1:17" ht="14.4" x14ac:dyDescent="0.25">
      <c r="A5" s="191" t="s">
        <v>36</v>
      </c>
      <c r="B5" s="332">
        <v>14766489</v>
      </c>
      <c r="C5" s="332">
        <v>14766489</v>
      </c>
      <c r="D5" s="332">
        <v>14766489</v>
      </c>
      <c r="E5" s="332">
        <v>14766489</v>
      </c>
      <c r="F5" s="332">
        <v>14766489</v>
      </c>
      <c r="G5" s="332">
        <v>14766489</v>
      </c>
      <c r="H5" s="332">
        <v>14766489</v>
      </c>
      <c r="I5" s="332">
        <v>14766489</v>
      </c>
      <c r="J5" s="332">
        <v>14766489</v>
      </c>
      <c r="K5" s="332">
        <v>14766489</v>
      </c>
      <c r="L5" s="332">
        <v>14766489</v>
      </c>
      <c r="M5" s="332">
        <v>14766487</v>
      </c>
      <c r="N5" s="62">
        <f>SUM(B5:M5)</f>
        <v>177197866</v>
      </c>
      <c r="O5" s="63">
        <f>('3).Kiadások összesen'!F5)</f>
        <v>177198530</v>
      </c>
      <c r="P5" s="166"/>
    </row>
    <row r="6" spans="1:17" ht="28.8" x14ac:dyDescent="0.25">
      <c r="A6" s="191" t="s">
        <v>433</v>
      </c>
      <c r="B6" s="332">
        <v>2156230</v>
      </c>
      <c r="C6" s="332">
        <v>2156230</v>
      </c>
      <c r="D6" s="332">
        <v>2156230</v>
      </c>
      <c r="E6" s="332">
        <v>2156230</v>
      </c>
      <c r="F6" s="332">
        <v>2156230</v>
      </c>
      <c r="G6" s="332">
        <v>2156230</v>
      </c>
      <c r="H6" s="332">
        <v>2156230</v>
      </c>
      <c r="I6" s="332">
        <v>2156230</v>
      </c>
      <c r="J6" s="332">
        <v>2156230</v>
      </c>
      <c r="K6" s="332">
        <v>2156230</v>
      </c>
      <c r="L6" s="332">
        <v>2156230</v>
      </c>
      <c r="M6" s="332">
        <v>2156231</v>
      </c>
      <c r="N6" s="62">
        <f t="shared" ref="N6:N11" si="0">SUM(B6:M6)</f>
        <v>25874761</v>
      </c>
      <c r="O6" s="63">
        <f>('3).Kiadások összesen'!F6)</f>
        <v>25874761</v>
      </c>
      <c r="P6" s="166"/>
    </row>
    <row r="7" spans="1:17" ht="14.4" x14ac:dyDescent="0.25">
      <c r="A7" s="191" t="s">
        <v>37</v>
      </c>
      <c r="B7" s="332">
        <v>6422703</v>
      </c>
      <c r="C7" s="332">
        <v>6422703</v>
      </c>
      <c r="D7" s="332">
        <v>6422703</v>
      </c>
      <c r="E7" s="332">
        <v>6422703</v>
      </c>
      <c r="F7" s="332">
        <v>6422703</v>
      </c>
      <c r="G7" s="332">
        <v>6422703</v>
      </c>
      <c r="H7" s="332">
        <v>6422703</v>
      </c>
      <c r="I7" s="332">
        <v>6422703</v>
      </c>
      <c r="J7" s="332">
        <v>6422703</v>
      </c>
      <c r="K7" s="332">
        <v>6422703</v>
      </c>
      <c r="L7" s="332">
        <v>6422703</v>
      </c>
      <c r="M7" s="332">
        <v>6422699</v>
      </c>
      <c r="N7" s="62">
        <f t="shared" si="0"/>
        <v>77072432</v>
      </c>
      <c r="O7" s="63">
        <f>('3).Kiadások összesen'!F7)</f>
        <v>77072432</v>
      </c>
      <c r="P7" s="166"/>
    </row>
    <row r="8" spans="1:17" ht="28.8" x14ac:dyDescent="0.25">
      <c r="A8" s="191" t="s">
        <v>126</v>
      </c>
      <c r="B8" s="332">
        <v>233333</v>
      </c>
      <c r="C8" s="332">
        <v>233333</v>
      </c>
      <c r="D8" s="332">
        <v>233333</v>
      </c>
      <c r="E8" s="332">
        <v>233333</v>
      </c>
      <c r="F8" s="332">
        <v>233333</v>
      </c>
      <c r="G8" s="332">
        <v>233333</v>
      </c>
      <c r="H8" s="332">
        <v>233333</v>
      </c>
      <c r="I8" s="332">
        <v>233333</v>
      </c>
      <c r="J8" s="332">
        <v>233333</v>
      </c>
      <c r="K8" s="332">
        <v>233333</v>
      </c>
      <c r="L8" s="332">
        <v>233333</v>
      </c>
      <c r="M8" s="332">
        <v>233337</v>
      </c>
      <c r="N8" s="62">
        <f t="shared" si="0"/>
        <v>2800000</v>
      </c>
      <c r="O8" s="63">
        <f>('3).Kiadások összesen'!F12)</f>
        <v>2800000</v>
      </c>
      <c r="P8" s="166"/>
    </row>
    <row r="9" spans="1:17" ht="28.8" x14ac:dyDescent="0.25">
      <c r="A9" s="191" t="s">
        <v>136</v>
      </c>
      <c r="B9" s="332">
        <v>84378</v>
      </c>
      <c r="C9" s="332">
        <v>84378</v>
      </c>
      <c r="D9" s="332">
        <v>84378</v>
      </c>
      <c r="E9" s="332">
        <v>84378</v>
      </c>
      <c r="F9" s="332">
        <v>84378</v>
      </c>
      <c r="G9" s="332">
        <v>84378</v>
      </c>
      <c r="H9" s="332">
        <v>84378</v>
      </c>
      <c r="I9" s="332">
        <v>84378</v>
      </c>
      <c r="J9" s="332">
        <v>84378</v>
      </c>
      <c r="K9" s="332">
        <v>84378</v>
      </c>
      <c r="L9" s="332">
        <v>84378</v>
      </c>
      <c r="M9" s="332">
        <v>84382</v>
      </c>
      <c r="N9" s="62">
        <f>SUM(B9:M9)</f>
        <v>1012540</v>
      </c>
      <c r="O9" s="63">
        <f>('3).Kiadások összesen'!F18)-('3).Kiadások összesen'!F17)</f>
        <v>1012540</v>
      </c>
      <c r="P9" s="166"/>
    </row>
    <row r="10" spans="1:17" ht="14.4" x14ac:dyDescent="0.25">
      <c r="A10" s="191" t="s">
        <v>35</v>
      </c>
      <c r="B10" s="332">
        <v>810815</v>
      </c>
      <c r="C10" s="332">
        <v>810815</v>
      </c>
      <c r="D10" s="332">
        <v>810815</v>
      </c>
      <c r="E10" s="332">
        <v>810815</v>
      </c>
      <c r="F10" s="332">
        <v>810815</v>
      </c>
      <c r="G10" s="332">
        <v>810815</v>
      </c>
      <c r="H10" s="332">
        <v>810815</v>
      </c>
      <c r="I10" s="332">
        <v>810815</v>
      </c>
      <c r="J10" s="332">
        <v>810815</v>
      </c>
      <c r="K10" s="332">
        <v>810815</v>
      </c>
      <c r="L10" s="332">
        <v>810815</v>
      </c>
      <c r="M10" s="332">
        <v>810819</v>
      </c>
      <c r="N10" s="62">
        <f t="shared" si="0"/>
        <v>9729784</v>
      </c>
      <c r="O10" s="63">
        <f>('3).Kiadások összesen'!F24)</f>
        <v>9729784</v>
      </c>
      <c r="P10" s="166"/>
    </row>
    <row r="11" spans="1:17" ht="14.4" x14ac:dyDescent="0.25">
      <c r="A11" s="191" t="s">
        <v>38</v>
      </c>
      <c r="B11" s="332">
        <v>14800809</v>
      </c>
      <c r="C11" s="332">
        <v>14800809</v>
      </c>
      <c r="D11" s="332">
        <v>14800809</v>
      </c>
      <c r="E11" s="332">
        <v>14800809</v>
      </c>
      <c r="F11" s="332">
        <v>14800809</v>
      </c>
      <c r="G11" s="332">
        <v>14800809</v>
      </c>
      <c r="H11" s="332">
        <v>14800809</v>
      </c>
      <c r="I11" s="332">
        <v>14800809</v>
      </c>
      <c r="J11" s="332">
        <v>14800809</v>
      </c>
      <c r="K11" s="332">
        <v>14800809</v>
      </c>
      <c r="L11" s="332">
        <v>14800809</v>
      </c>
      <c r="M11" s="332">
        <v>14800804</v>
      </c>
      <c r="N11" s="62">
        <f t="shared" si="0"/>
        <v>177609703</v>
      </c>
      <c r="O11" s="63">
        <f>('3).Kiadások összesen'!F28)</f>
        <v>177609703</v>
      </c>
      <c r="P11" s="166"/>
    </row>
    <row r="12" spans="1:17" ht="28.8" x14ac:dyDescent="0.25">
      <c r="A12" s="191" t="s">
        <v>140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62">
        <f>SUM(B12:M12)</f>
        <v>0</v>
      </c>
      <c r="O12" s="63">
        <f>('3).Kiadások összesen'!F30)</f>
        <v>0</v>
      </c>
      <c r="P12" s="166"/>
    </row>
    <row r="13" spans="1:17" ht="14.4" x14ac:dyDescent="0.25">
      <c r="A13" s="191" t="s">
        <v>345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>
        <v>61212127</v>
      </c>
      <c r="N13" s="62">
        <f>SUM(B13:M13)</f>
        <v>61212127</v>
      </c>
      <c r="O13" s="63">
        <f>('3).Kiadások összesen'!F17)</f>
        <v>61256463</v>
      </c>
      <c r="P13" s="166"/>
    </row>
    <row r="14" spans="1:17" s="5" customFormat="1" ht="14.4" x14ac:dyDescent="0.25">
      <c r="A14" s="289" t="s">
        <v>1</v>
      </c>
      <c r="B14" s="88">
        <f t="shared" ref="B14:L14" si="1">SUM(B5:B12)</f>
        <v>39274757</v>
      </c>
      <c r="C14" s="88">
        <f t="shared" si="1"/>
        <v>39274757</v>
      </c>
      <c r="D14" s="88">
        <f t="shared" si="1"/>
        <v>39274757</v>
      </c>
      <c r="E14" s="88">
        <f t="shared" si="1"/>
        <v>39274757</v>
      </c>
      <c r="F14" s="88">
        <f t="shared" si="1"/>
        <v>39274757</v>
      </c>
      <c r="G14" s="88">
        <f t="shared" si="1"/>
        <v>39274757</v>
      </c>
      <c r="H14" s="88">
        <f t="shared" si="1"/>
        <v>39274757</v>
      </c>
      <c r="I14" s="88">
        <f t="shared" si="1"/>
        <v>39274757</v>
      </c>
      <c r="J14" s="88">
        <f t="shared" si="1"/>
        <v>39274757</v>
      </c>
      <c r="K14" s="88">
        <f t="shared" si="1"/>
        <v>39274757</v>
      </c>
      <c r="L14" s="88">
        <f t="shared" si="1"/>
        <v>39274757</v>
      </c>
      <c r="M14" s="88">
        <f>SUM(M5:M13)</f>
        <v>100486886</v>
      </c>
      <c r="N14" s="88">
        <f>SUM(N5:N13)</f>
        <v>532509213</v>
      </c>
      <c r="O14" s="89">
        <f>('3).Kiadások összesen'!F31)</f>
        <v>532554213</v>
      </c>
      <c r="P14" s="251"/>
      <c r="Q14" s="90"/>
    </row>
    <row r="17" spans="8:14" x14ac:dyDescent="0.25">
      <c r="J17" s="70"/>
    </row>
    <row r="18" spans="8:14" x14ac:dyDescent="0.25">
      <c r="H18" s="70"/>
      <c r="M18" s="70"/>
    </row>
    <row r="19" spans="8:14" x14ac:dyDescent="0.25">
      <c r="J19" s="70"/>
      <c r="L19" s="70"/>
      <c r="M19" s="70"/>
      <c r="N19" s="70"/>
    </row>
    <row r="20" spans="8:14" x14ac:dyDescent="0.25">
      <c r="L20" s="70"/>
    </row>
    <row r="21" spans="8:14" x14ac:dyDescent="0.25">
      <c r="H21" s="70"/>
    </row>
    <row r="22" spans="8:14" x14ac:dyDescent="0.25">
      <c r="I22" s="70"/>
      <c r="J22" s="70"/>
      <c r="M22" s="70"/>
    </row>
    <row r="23" spans="8:14" x14ac:dyDescent="0.25">
      <c r="H23" s="70"/>
    </row>
  </sheetData>
  <mergeCells count="2">
    <mergeCell ref="A1:O1"/>
    <mergeCell ref="A2:O2"/>
  </mergeCells>
  <pageMargins left="0.70866141732283461" right="0.70866141732283461" top="0.74803149606299213" bottom="0.74803149606299213" header="0.31496062992125984" footer="0.31496062992125984"/>
  <pageSetup paperSize="9" scale="70" orientation="landscape" r:id="rId1"/>
  <headerFooter>
    <oddHeader>&amp;R6. sz. melléklet
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21">
    <tabColor theme="5" tint="0.39997558519241921"/>
    <pageSetUpPr fitToPage="1"/>
  </sheetPr>
  <dimension ref="B1:M20"/>
  <sheetViews>
    <sheetView topLeftCell="B1" zoomScaleNormal="100" workbookViewId="0">
      <selection activeCell="I11" sqref="I11"/>
    </sheetView>
  </sheetViews>
  <sheetFormatPr defaultColWidth="9.109375" defaultRowHeight="13.2" x14ac:dyDescent="0.25"/>
  <cols>
    <col min="1" max="1" width="9.109375" style="4"/>
    <col min="2" max="2" width="31.88671875" style="4" customWidth="1"/>
    <col min="3" max="3" width="13.6640625" style="4" customWidth="1"/>
    <col min="4" max="4" width="14" style="4" customWidth="1"/>
    <col min="5" max="5" width="18.44140625" style="4" bestFit="1" customWidth="1"/>
    <col min="6" max="6" width="2.6640625" style="4" customWidth="1"/>
    <col min="7" max="7" width="30.88671875" style="4" customWidth="1"/>
    <col min="8" max="8" width="14.44140625" style="4" customWidth="1"/>
    <col min="9" max="9" width="14" style="4" customWidth="1"/>
    <col min="10" max="10" width="18.44140625" style="4" bestFit="1" customWidth="1"/>
    <col min="11" max="11" width="9.109375" style="4"/>
    <col min="12" max="12" width="11.33203125" style="4" bestFit="1" customWidth="1"/>
    <col min="13" max="13" width="13.33203125" style="4" bestFit="1" customWidth="1"/>
    <col min="14" max="16384" width="9.109375" style="4"/>
  </cols>
  <sheetData>
    <row r="1" spans="2:13" ht="33" customHeight="1" x14ac:dyDescent="0.25">
      <c r="B1" s="477" t="s">
        <v>604</v>
      </c>
      <c r="C1" s="477"/>
      <c r="D1" s="477"/>
      <c r="E1" s="477"/>
      <c r="F1" s="477"/>
      <c r="G1" s="477"/>
      <c r="H1" s="477"/>
      <c r="I1" s="477"/>
      <c r="J1" s="477"/>
    </row>
    <row r="3" spans="2:13" ht="21.75" customHeight="1" x14ac:dyDescent="0.25">
      <c r="B3" s="649" t="s">
        <v>61</v>
      </c>
      <c r="C3" s="649"/>
      <c r="D3" s="649"/>
      <c r="E3" s="650"/>
      <c r="F3" s="450"/>
      <c r="G3" s="651" t="s">
        <v>62</v>
      </c>
      <c r="H3" s="649"/>
      <c r="I3" s="649"/>
      <c r="J3" s="649"/>
    </row>
    <row r="4" spans="2:13" ht="29.4" thickBot="1" x14ac:dyDescent="0.3">
      <c r="B4" s="212" t="s">
        <v>63</v>
      </c>
      <c r="C4" s="212" t="s">
        <v>64</v>
      </c>
      <c r="D4" s="212" t="s">
        <v>65</v>
      </c>
      <c r="E4" s="213" t="s">
        <v>20</v>
      </c>
      <c r="F4" s="214"/>
      <c r="G4" s="215" t="s">
        <v>63</v>
      </c>
      <c r="H4" s="212" t="s">
        <v>66</v>
      </c>
      <c r="I4" s="212" t="s">
        <v>67</v>
      </c>
      <c r="J4" s="212" t="s">
        <v>20</v>
      </c>
    </row>
    <row r="5" spans="2:13" ht="35.25" customHeight="1" x14ac:dyDescent="0.25">
      <c r="B5" s="139" t="s">
        <v>180</v>
      </c>
      <c r="C5" s="140">
        <f>'1).Bevételek összesen'!F13</f>
        <v>224531440</v>
      </c>
      <c r="D5" s="299"/>
      <c r="E5" s="141">
        <f>SUM(C5:D5)</f>
        <v>224531440</v>
      </c>
      <c r="F5" s="154"/>
      <c r="G5" s="156" t="s">
        <v>380</v>
      </c>
      <c r="H5" s="140">
        <f>('3).Kiadások összesen'!F5)</f>
        <v>177198530</v>
      </c>
      <c r="I5" s="299"/>
      <c r="J5" s="142">
        <f t="shared" ref="J5:J13" si="0">SUM(H5:I5)</f>
        <v>177198530</v>
      </c>
    </row>
    <row r="6" spans="2:13" ht="35.25" customHeight="1" x14ac:dyDescent="0.25">
      <c r="B6" s="191" t="s">
        <v>56</v>
      </c>
      <c r="C6" s="65">
        <f>('1).Bevételek összesen'!F21)</f>
        <v>55451596</v>
      </c>
      <c r="D6" s="288"/>
      <c r="E6" s="137">
        <f t="shared" ref="E6:E14" si="1">SUM(C6:D6)</f>
        <v>55451596</v>
      </c>
      <c r="F6" s="155"/>
      <c r="G6" s="157" t="s">
        <v>284</v>
      </c>
      <c r="H6" s="65">
        <f>('3).Kiadások összesen'!F6)</f>
        <v>25874761</v>
      </c>
      <c r="I6" s="288"/>
      <c r="J6" s="66">
        <f t="shared" si="0"/>
        <v>25874761</v>
      </c>
    </row>
    <row r="7" spans="2:13" ht="35.25" customHeight="1" x14ac:dyDescent="0.25">
      <c r="B7" s="191" t="s">
        <v>28</v>
      </c>
      <c r="C7" s="65">
        <f>('1).Bevételek összesen'!F22)</f>
        <v>24638000</v>
      </c>
      <c r="D7" s="288"/>
      <c r="E7" s="137">
        <f t="shared" si="1"/>
        <v>24638000</v>
      </c>
      <c r="F7" s="155"/>
      <c r="G7" s="157" t="s">
        <v>37</v>
      </c>
      <c r="H7" s="65">
        <f>('3).Kiadások összesen'!F7)</f>
        <v>77072432</v>
      </c>
      <c r="I7" s="288"/>
      <c r="J7" s="66">
        <f t="shared" si="0"/>
        <v>77072432</v>
      </c>
      <c r="L7" s="3"/>
    </row>
    <row r="8" spans="2:13" ht="35.25" customHeight="1" x14ac:dyDescent="0.25">
      <c r="B8" s="191" t="s">
        <v>160</v>
      </c>
      <c r="C8" s="288"/>
      <c r="D8" s="65">
        <f>('1).Bevételek összesen'!F16)</f>
        <v>88856049</v>
      </c>
      <c r="E8" s="137">
        <f t="shared" si="1"/>
        <v>88856049</v>
      </c>
      <c r="F8" s="155"/>
      <c r="G8" s="157" t="s">
        <v>126</v>
      </c>
      <c r="H8" s="65">
        <f>('3).Kiadások összesen'!F12)</f>
        <v>2800000</v>
      </c>
      <c r="I8" s="288"/>
      <c r="J8" s="66">
        <f t="shared" si="0"/>
        <v>2800000</v>
      </c>
    </row>
    <row r="9" spans="2:13" ht="35.25" customHeight="1" x14ac:dyDescent="0.25">
      <c r="B9" s="191" t="s">
        <v>164</v>
      </c>
      <c r="C9" s="288"/>
      <c r="D9" s="65">
        <f>('1).Bevételek összesen'!F28)</f>
        <v>500000</v>
      </c>
      <c r="E9" s="137">
        <f t="shared" si="1"/>
        <v>500000</v>
      </c>
      <c r="F9" s="155"/>
      <c r="G9" s="157" t="s">
        <v>136</v>
      </c>
      <c r="H9" s="65">
        <f>('3).Kiadások összesen'!F18)-('3).Kiadások összesen'!F17)</f>
        <v>1012540</v>
      </c>
      <c r="I9" s="288"/>
      <c r="J9" s="66">
        <f t="shared" si="0"/>
        <v>1012540</v>
      </c>
    </row>
    <row r="10" spans="2:13" ht="35.25" customHeight="1" x14ac:dyDescent="0.25">
      <c r="B10" s="191" t="s">
        <v>439</v>
      </c>
      <c r="C10" s="288"/>
      <c r="D10" s="65">
        <f>('1).Bevételek összesen'!F25)</f>
        <v>4138000</v>
      </c>
      <c r="E10" s="137">
        <f t="shared" si="1"/>
        <v>4138000</v>
      </c>
      <c r="F10" s="155"/>
      <c r="G10" s="157" t="s">
        <v>345</v>
      </c>
      <c r="H10" s="65">
        <f>('3).Kiadások összesen'!F17)-I10</f>
        <v>349739</v>
      </c>
      <c r="I10" s="211">
        <v>60906724</v>
      </c>
      <c r="J10" s="66">
        <f>SUM(H10:I10)</f>
        <v>61256463</v>
      </c>
      <c r="L10" s="3"/>
      <c r="M10" s="3"/>
    </row>
    <row r="11" spans="2:13" ht="35.25" customHeight="1" x14ac:dyDescent="0.25">
      <c r="B11" s="191" t="s">
        <v>364</v>
      </c>
      <c r="C11" s="288"/>
      <c r="D11" s="65">
        <f>('1).Bevételek összesen'!F30)</f>
        <v>35213088</v>
      </c>
      <c r="E11" s="137">
        <f t="shared" si="1"/>
        <v>35213088</v>
      </c>
      <c r="F11" s="155"/>
      <c r="G11" s="157" t="s">
        <v>35</v>
      </c>
      <c r="H11" s="288"/>
      <c r="I11" s="65">
        <f>('3).Kiadások összesen'!F24)</f>
        <v>9729784</v>
      </c>
      <c r="J11" s="66">
        <f t="shared" si="0"/>
        <v>9729784</v>
      </c>
    </row>
    <row r="12" spans="2:13" ht="35.25" customHeight="1" x14ac:dyDescent="0.3">
      <c r="B12" s="191"/>
      <c r="C12" s="288"/>
      <c r="D12" s="288"/>
      <c r="E12" s="64"/>
      <c r="F12" s="155"/>
      <c r="G12" s="157" t="s">
        <v>38</v>
      </c>
      <c r="H12" s="288"/>
      <c r="I12" s="65">
        <f>('3).Kiadások összesen'!F28)</f>
        <v>177609703</v>
      </c>
      <c r="J12" s="66">
        <f t="shared" si="0"/>
        <v>177609703</v>
      </c>
    </row>
    <row r="13" spans="2:13" ht="35.25" customHeight="1" x14ac:dyDescent="0.3">
      <c r="B13" s="191"/>
      <c r="C13" s="288"/>
      <c r="D13" s="288"/>
      <c r="E13" s="64"/>
      <c r="F13" s="155"/>
      <c r="G13" s="157" t="s">
        <v>140</v>
      </c>
      <c r="H13" s="288"/>
      <c r="I13" s="65">
        <f>('3).Kiadások összesen'!F30)</f>
        <v>0</v>
      </c>
      <c r="J13" s="66">
        <f t="shared" si="0"/>
        <v>0</v>
      </c>
    </row>
    <row r="14" spans="2:13" ht="35.25" customHeight="1" x14ac:dyDescent="0.25">
      <c r="B14" s="191" t="s">
        <v>172</v>
      </c>
      <c r="C14" s="65">
        <f>('1).Bevételek összesen'!F34)</f>
        <v>106004482</v>
      </c>
      <c r="D14" s="288"/>
      <c r="E14" s="137">
        <f t="shared" si="1"/>
        <v>106004482</v>
      </c>
      <c r="F14" s="155"/>
      <c r="G14" s="157" t="s">
        <v>143</v>
      </c>
      <c r="H14" s="65">
        <f>('3).Kiadások összesen'!F33)</f>
        <v>6778442</v>
      </c>
      <c r="I14" s="288"/>
      <c r="J14" s="66">
        <f>SUM(H14:I14)</f>
        <v>6778442</v>
      </c>
    </row>
    <row r="15" spans="2:13" ht="35.25" customHeight="1" thickBot="1" x14ac:dyDescent="0.3">
      <c r="B15" s="191" t="s">
        <v>68</v>
      </c>
      <c r="C15" s="66">
        <f>SUM(C5:C14)</f>
        <v>410625518</v>
      </c>
      <c r="D15" s="66">
        <f>SUM(D5:D14)</f>
        <v>128707137</v>
      </c>
      <c r="E15" s="138">
        <f>SUM(C15:D15)</f>
        <v>539332655</v>
      </c>
      <c r="F15" s="155"/>
      <c r="G15" s="157" t="s">
        <v>69</v>
      </c>
      <c r="H15" s="66">
        <f>SUM(H5:H14)</f>
        <v>291086444</v>
      </c>
      <c r="I15" s="66">
        <f>SUM(I5:I14)</f>
        <v>248246211</v>
      </c>
      <c r="J15" s="67">
        <f>SUM(J5:J14)</f>
        <v>539332655</v>
      </c>
      <c r="L15" s="70"/>
    </row>
    <row r="16" spans="2:13" ht="15.6" thickTop="1" thickBot="1" x14ac:dyDescent="0.35">
      <c r="D16" s="85" t="s">
        <v>365</v>
      </c>
      <c r="E16" s="54">
        <f>('1).Bevételek összesen'!F35)</f>
        <v>539332655</v>
      </c>
      <c r="I16" s="85" t="s">
        <v>365</v>
      </c>
      <c r="J16" s="54">
        <f>('3).Kiadások összesen'!F34)</f>
        <v>539332655</v>
      </c>
    </row>
    <row r="17" spans="7:8" ht="13.8" thickTop="1" x14ac:dyDescent="0.25">
      <c r="G17" s="4" t="s">
        <v>438</v>
      </c>
      <c r="H17" s="70">
        <f>E16-J16</f>
        <v>0</v>
      </c>
    </row>
    <row r="20" spans="7:8" x14ac:dyDescent="0.25">
      <c r="H20" s="165"/>
    </row>
  </sheetData>
  <mergeCells count="3">
    <mergeCell ref="B1:J1"/>
    <mergeCell ref="B3:E3"/>
    <mergeCell ref="G3:J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&amp;R7. sz. melléklet
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3">
    <pageSetUpPr fitToPage="1"/>
  </sheetPr>
  <dimension ref="A1:C11"/>
  <sheetViews>
    <sheetView zoomScaleNormal="100" workbookViewId="0">
      <selection activeCell="B25" sqref="B25"/>
    </sheetView>
  </sheetViews>
  <sheetFormatPr defaultRowHeight="13.2" x14ac:dyDescent="0.25"/>
  <cols>
    <col min="1" max="1" width="4" customWidth="1"/>
    <col min="2" max="2" width="49.33203125" customWidth="1"/>
  </cols>
  <sheetData>
    <row r="1" spans="1:3" ht="37.5" customHeight="1" x14ac:dyDescent="0.25">
      <c r="A1" s="587" t="s">
        <v>514</v>
      </c>
      <c r="B1" s="587"/>
      <c r="C1" s="587"/>
    </row>
    <row r="2" spans="1:3" ht="14.4" x14ac:dyDescent="0.25">
      <c r="A2" s="369"/>
      <c r="B2" s="369"/>
      <c r="C2" s="370"/>
    </row>
    <row r="3" spans="1:3" s="1" customFormat="1" ht="14.4" x14ac:dyDescent="0.25">
      <c r="A3" s="652" t="s">
        <v>70</v>
      </c>
      <c r="B3" s="652"/>
      <c r="C3" s="371"/>
    </row>
    <row r="4" spans="1:3" ht="14.4" x14ac:dyDescent="0.25">
      <c r="A4" s="369"/>
      <c r="B4" s="369"/>
      <c r="C4" s="370"/>
    </row>
    <row r="5" spans="1:3" ht="14.4" x14ac:dyDescent="0.25">
      <c r="A5" s="369" t="s">
        <v>71</v>
      </c>
      <c r="B5" s="369" t="s">
        <v>72</v>
      </c>
      <c r="C5" s="233">
        <v>0</v>
      </c>
    </row>
    <row r="6" spans="1:3" ht="14.4" x14ac:dyDescent="0.25">
      <c r="A6" s="369"/>
      <c r="B6" s="369"/>
      <c r="C6" s="370"/>
    </row>
    <row r="7" spans="1:3" s="1" customFormat="1" ht="14.4" x14ac:dyDescent="0.25">
      <c r="A7" s="652" t="s">
        <v>73</v>
      </c>
      <c r="B7" s="652"/>
      <c r="C7" s="371"/>
    </row>
    <row r="8" spans="1:3" ht="14.4" x14ac:dyDescent="0.25">
      <c r="A8" s="369"/>
      <c r="B8" s="369"/>
      <c r="C8" s="370"/>
    </row>
    <row r="9" spans="1:3" ht="28.8" x14ac:dyDescent="0.25">
      <c r="A9" s="369" t="s">
        <v>71</v>
      </c>
      <c r="B9" s="369" t="s">
        <v>74</v>
      </c>
      <c r="C9" s="233">
        <v>0</v>
      </c>
    </row>
    <row r="10" spans="1:3" ht="14.4" x14ac:dyDescent="0.25">
      <c r="A10" s="288"/>
      <c r="B10" s="288"/>
      <c r="C10" s="126"/>
    </row>
    <row r="11" spans="1:3" s="1" customFormat="1" ht="14.4" x14ac:dyDescent="0.25">
      <c r="A11" s="549" t="s">
        <v>75</v>
      </c>
      <c r="B11" s="549"/>
      <c r="C11" s="124">
        <f>SUM(C5:C10)</f>
        <v>0</v>
      </c>
    </row>
  </sheetData>
  <mergeCells count="4">
    <mergeCell ref="A1:C1"/>
    <mergeCell ref="A3:B3"/>
    <mergeCell ref="A7:B7"/>
    <mergeCell ref="A11:B11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&amp;R8. sz. melléklet
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14">
    <pageSetUpPr fitToPage="1"/>
  </sheetPr>
  <dimension ref="A1:F8"/>
  <sheetViews>
    <sheetView zoomScaleNormal="100" workbookViewId="0">
      <selection activeCell="B24" sqref="B24"/>
    </sheetView>
  </sheetViews>
  <sheetFormatPr defaultColWidth="8.88671875" defaultRowHeight="13.2" x14ac:dyDescent="0.25"/>
  <cols>
    <col min="1" max="1" width="9.5546875" customWidth="1"/>
    <col min="2" max="2" width="23.6640625" customWidth="1"/>
    <col min="3" max="6" width="10.33203125" customWidth="1"/>
  </cols>
  <sheetData>
    <row r="1" spans="1:6" ht="34.950000000000003" customHeight="1" x14ac:dyDescent="0.25">
      <c r="A1" s="587" t="s">
        <v>553</v>
      </c>
      <c r="B1" s="587"/>
      <c r="C1" s="587"/>
      <c r="D1" s="587"/>
      <c r="E1" s="587"/>
      <c r="F1" s="587"/>
    </row>
    <row r="2" spans="1:6" s="1" customFormat="1" ht="29.4" thickBot="1" x14ac:dyDescent="0.3">
      <c r="A2" s="200" t="s">
        <v>448</v>
      </c>
      <c r="B2" s="372" t="s">
        <v>78</v>
      </c>
      <c r="C2" s="200" t="s">
        <v>443</v>
      </c>
      <c r="D2" s="200" t="s">
        <v>444</v>
      </c>
      <c r="E2" s="200" t="s">
        <v>445</v>
      </c>
      <c r="F2" s="200" t="s">
        <v>513</v>
      </c>
    </row>
    <row r="3" spans="1:6" ht="14.4" x14ac:dyDescent="0.25">
      <c r="A3" s="190">
        <v>1</v>
      </c>
      <c r="B3" s="288" t="s">
        <v>76</v>
      </c>
      <c r="C3" s="332">
        <v>520000</v>
      </c>
      <c r="D3" s="332">
        <v>100000</v>
      </c>
      <c r="E3" s="332">
        <v>50000</v>
      </c>
      <c r="F3" s="332">
        <v>0</v>
      </c>
    </row>
    <row r="4" spans="1:6" ht="14.4" x14ac:dyDescent="0.25">
      <c r="A4" s="190">
        <v>2</v>
      </c>
      <c r="B4" s="288"/>
      <c r="C4" s="288"/>
      <c r="D4" s="288"/>
      <c r="E4" s="288"/>
      <c r="F4" s="288"/>
    </row>
    <row r="5" spans="1:6" ht="14.4" x14ac:dyDescent="0.25">
      <c r="A5" s="190">
        <v>3</v>
      </c>
      <c r="B5" s="288"/>
      <c r="C5" s="288"/>
      <c r="D5" s="288"/>
      <c r="E5" s="288"/>
      <c r="F5" s="288"/>
    </row>
    <row r="6" spans="1:6" ht="14.4" x14ac:dyDescent="0.25">
      <c r="A6" s="190">
        <v>4</v>
      </c>
      <c r="B6" s="288"/>
      <c r="C6" s="288"/>
      <c r="D6" s="288"/>
      <c r="E6" s="288"/>
      <c r="F6" s="288"/>
    </row>
    <row r="7" spans="1:6" ht="14.4" x14ac:dyDescent="0.25">
      <c r="A7" s="190">
        <v>5</v>
      </c>
      <c r="B7" s="288"/>
      <c r="C7" s="288"/>
      <c r="D7" s="288"/>
      <c r="E7" s="288"/>
      <c r="F7" s="288"/>
    </row>
    <row r="8" spans="1:6" s="1" customFormat="1" ht="16.5" customHeight="1" x14ac:dyDescent="0.25">
      <c r="A8" s="294">
        <v>11</v>
      </c>
      <c r="B8" s="158" t="s">
        <v>77</v>
      </c>
      <c r="C8" s="124">
        <f>SUM(C3:C7)</f>
        <v>520000</v>
      </c>
      <c r="D8" s="124">
        <f>SUM(D3:D7)</f>
        <v>100000</v>
      </c>
      <c r="E8" s="124">
        <f>SUM(E3:E7)</f>
        <v>50000</v>
      </c>
      <c r="F8" s="124">
        <f>SUM(F3:F7)</f>
        <v>0</v>
      </c>
    </row>
  </sheetData>
  <mergeCells count="1">
    <mergeCell ref="A1:F1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&amp;R9. sz. melléklet
Ft-ban</oddHeader>
  </headerFooter>
  <ignoredErrors>
    <ignoredError sqref="C8:F8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15">
    <pageSetUpPr fitToPage="1"/>
  </sheetPr>
  <dimension ref="A1:F18"/>
  <sheetViews>
    <sheetView zoomScaleNormal="100" workbookViewId="0">
      <selection activeCell="F25" sqref="F25"/>
    </sheetView>
  </sheetViews>
  <sheetFormatPr defaultColWidth="30" defaultRowHeight="13.2" x14ac:dyDescent="0.25"/>
  <cols>
    <col min="1" max="1" width="31.6640625" customWidth="1"/>
    <col min="2" max="2" width="19.6640625" customWidth="1"/>
    <col min="3" max="3" width="20" customWidth="1"/>
    <col min="4" max="4" width="18.6640625" customWidth="1"/>
    <col min="5" max="5" width="16.21875" customWidth="1"/>
    <col min="6" max="6" width="22.109375" customWidth="1"/>
  </cols>
  <sheetData>
    <row r="1" spans="1:6" ht="18" x14ac:dyDescent="0.25">
      <c r="A1" s="653" t="s">
        <v>48</v>
      </c>
      <c r="B1" s="654"/>
      <c r="C1" s="654"/>
      <c r="D1" s="654"/>
      <c r="E1" s="654"/>
      <c r="F1" s="654"/>
    </row>
    <row r="2" spans="1:6" ht="18" x14ac:dyDescent="0.25">
      <c r="A2" s="618" t="s">
        <v>510</v>
      </c>
      <c r="B2" s="619"/>
      <c r="C2" s="619"/>
      <c r="D2" s="619"/>
      <c r="E2" s="619"/>
      <c r="F2" s="619"/>
    </row>
    <row r="3" spans="1:6" ht="15" thickBot="1" x14ac:dyDescent="0.3">
      <c r="A3" s="200" t="s">
        <v>55</v>
      </c>
      <c r="B3" s="200" t="s">
        <v>49</v>
      </c>
      <c r="C3" s="200" t="s">
        <v>489</v>
      </c>
      <c r="D3" s="200" t="s">
        <v>465</v>
      </c>
      <c r="E3" s="200" t="s">
        <v>466</v>
      </c>
      <c r="F3" s="200" t="s">
        <v>467</v>
      </c>
    </row>
    <row r="4" spans="1:6" ht="14.4" x14ac:dyDescent="0.3">
      <c r="A4" s="85" t="s">
        <v>50</v>
      </c>
      <c r="B4" s="282">
        <v>50000</v>
      </c>
      <c r="C4" s="282">
        <v>0</v>
      </c>
      <c r="D4" s="282"/>
      <c r="E4" s="282"/>
      <c r="F4" s="282"/>
    </row>
    <row r="5" spans="1:6" ht="14.4" x14ac:dyDescent="0.3">
      <c r="A5" s="85" t="s">
        <v>435</v>
      </c>
      <c r="B5" s="282">
        <v>1200000</v>
      </c>
      <c r="C5" s="282">
        <v>300000</v>
      </c>
      <c r="D5" s="282"/>
      <c r="E5" s="282"/>
      <c r="F5" s="282"/>
    </row>
    <row r="6" spans="1:6" ht="14.4" x14ac:dyDescent="0.3">
      <c r="A6" s="85" t="s">
        <v>51</v>
      </c>
      <c r="B6" s="282">
        <v>250000</v>
      </c>
      <c r="C6" s="282">
        <v>0</v>
      </c>
      <c r="D6" s="282"/>
      <c r="E6" s="282"/>
      <c r="F6" s="282"/>
    </row>
    <row r="7" spans="1:6" ht="14.4" x14ac:dyDescent="0.3">
      <c r="A7" s="85" t="s">
        <v>52</v>
      </c>
      <c r="B7" s="282">
        <v>1100000</v>
      </c>
      <c r="C7" s="282">
        <v>0</v>
      </c>
      <c r="D7" s="282"/>
      <c r="E7" s="282"/>
      <c r="F7" s="282"/>
    </row>
    <row r="8" spans="1:6" ht="14.4" x14ac:dyDescent="0.3">
      <c r="A8" s="85" t="s">
        <v>53</v>
      </c>
      <c r="B8" s="282">
        <v>200000</v>
      </c>
      <c r="C8" s="282">
        <v>0</v>
      </c>
      <c r="D8" s="282"/>
      <c r="E8" s="282"/>
      <c r="F8" s="282"/>
    </row>
    <row r="9" spans="1:6" ht="14.4" x14ac:dyDescent="0.3">
      <c r="A9" s="85" t="s">
        <v>436</v>
      </c>
      <c r="B9" s="282">
        <v>200000</v>
      </c>
      <c r="C9" s="282">
        <v>0</v>
      </c>
      <c r="D9" s="282"/>
      <c r="E9" s="282"/>
      <c r="F9" s="282"/>
    </row>
    <row r="10" spans="1:6" ht="14.4" x14ac:dyDescent="0.3">
      <c r="A10" s="85" t="s">
        <v>578</v>
      </c>
      <c r="B10" s="282">
        <v>60000</v>
      </c>
      <c r="C10" s="282">
        <v>60000</v>
      </c>
      <c r="D10" s="282"/>
      <c r="E10" s="282"/>
      <c r="F10" s="282"/>
    </row>
    <row r="11" spans="1:6" ht="14.4" x14ac:dyDescent="0.3">
      <c r="A11" s="85" t="s">
        <v>54</v>
      </c>
      <c r="B11" s="283">
        <v>150000</v>
      </c>
      <c r="C11" s="283">
        <v>0</v>
      </c>
      <c r="D11" s="283"/>
      <c r="E11" s="283"/>
      <c r="F11" s="283"/>
    </row>
    <row r="12" spans="1:6" ht="14.4" x14ac:dyDescent="0.3">
      <c r="A12" s="85" t="s">
        <v>575</v>
      </c>
      <c r="B12" s="283">
        <v>0</v>
      </c>
      <c r="C12" s="283">
        <v>25000</v>
      </c>
      <c r="D12" s="283"/>
      <c r="E12" s="283"/>
      <c r="F12" s="283"/>
    </row>
    <row r="13" spans="1:6" ht="14.4" x14ac:dyDescent="0.3">
      <c r="A13" s="85" t="s">
        <v>576</v>
      </c>
      <c r="B13" s="282">
        <v>0</v>
      </c>
      <c r="C13" s="282">
        <v>105000</v>
      </c>
      <c r="D13" s="282"/>
      <c r="E13" s="282"/>
      <c r="F13" s="282"/>
    </row>
    <row r="14" spans="1:6" ht="14.4" x14ac:dyDescent="0.3">
      <c r="A14" s="85" t="s">
        <v>577</v>
      </c>
      <c r="B14" s="282">
        <v>150000</v>
      </c>
      <c r="C14" s="282">
        <v>0</v>
      </c>
      <c r="D14" s="282"/>
      <c r="E14" s="282"/>
      <c r="F14" s="282"/>
    </row>
    <row r="15" spans="1:6" s="1" customFormat="1" ht="14.4" x14ac:dyDescent="0.3">
      <c r="A15" s="86" t="s">
        <v>1</v>
      </c>
      <c r="B15" s="87">
        <f>SUM(B4:B14)</f>
        <v>3360000</v>
      </c>
      <c r="C15" s="87">
        <f>SUM(C4:C14)</f>
        <v>490000</v>
      </c>
      <c r="D15" s="87">
        <f t="shared" ref="D15:F15" si="0">SUM(D4:D13)</f>
        <v>0</v>
      </c>
      <c r="E15" s="87">
        <f t="shared" si="0"/>
        <v>0</v>
      </c>
      <c r="F15" s="87">
        <f t="shared" si="0"/>
        <v>0</v>
      </c>
    </row>
    <row r="17" spans="1:1" ht="14.4" x14ac:dyDescent="0.25">
      <c r="A17" s="68"/>
    </row>
    <row r="18" spans="1:1" x14ac:dyDescent="0.25">
      <c r="A18" s="3"/>
    </row>
  </sheetData>
  <mergeCells count="2">
    <mergeCell ref="A1:F1"/>
    <mergeCell ref="A2:F2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&amp;R10. sz. melléklet
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>
    <pageSetUpPr fitToPage="1"/>
  </sheetPr>
  <dimension ref="A1:J70"/>
  <sheetViews>
    <sheetView topLeftCell="A43" zoomScale="80" zoomScaleNormal="80" workbookViewId="0">
      <selection activeCell="K27" sqref="K27"/>
    </sheetView>
  </sheetViews>
  <sheetFormatPr defaultColWidth="9.109375" defaultRowHeight="13.2" x14ac:dyDescent="0.25"/>
  <cols>
    <col min="1" max="1" width="88.33203125" style="305" customWidth="1"/>
    <col min="2" max="2" width="16.6640625" style="324" bestFit="1" customWidth="1"/>
    <col min="3" max="3" width="16.21875" style="324" bestFit="1" customWidth="1"/>
    <col min="4" max="4" width="12.21875" style="305" bestFit="1" customWidth="1"/>
    <col min="5" max="5" width="11.88671875" style="305" bestFit="1" customWidth="1"/>
    <col min="6" max="6" width="10.5546875" style="305" bestFit="1" customWidth="1"/>
    <col min="7" max="7" width="9.109375" style="305" customWidth="1"/>
    <col min="8" max="16384" width="9.109375" style="305"/>
  </cols>
  <sheetData>
    <row r="1" spans="1:6" ht="18" x14ac:dyDescent="0.25">
      <c r="A1" s="488" t="s">
        <v>526</v>
      </c>
      <c r="B1" s="488"/>
      <c r="C1" s="488"/>
      <c r="D1" s="488"/>
      <c r="E1" s="488"/>
      <c r="F1" s="488"/>
    </row>
    <row r="2" spans="1:6" ht="15.6" x14ac:dyDescent="0.25">
      <c r="A2" s="306"/>
      <c r="B2" s="307"/>
      <c r="C2" s="407"/>
      <c r="D2" s="306"/>
      <c r="E2" s="306"/>
      <c r="F2" s="306"/>
    </row>
    <row r="3" spans="1:6" ht="31.2" x14ac:dyDescent="0.25">
      <c r="A3" s="308" t="s">
        <v>21</v>
      </c>
      <c r="B3" s="309" t="s">
        <v>509</v>
      </c>
      <c r="C3" s="308" t="s">
        <v>489</v>
      </c>
      <c r="D3" s="308" t="s">
        <v>465</v>
      </c>
      <c r="E3" s="308" t="s">
        <v>466</v>
      </c>
      <c r="F3" s="308" t="s">
        <v>467</v>
      </c>
    </row>
    <row r="4" spans="1:6" ht="15.6" x14ac:dyDescent="0.25">
      <c r="A4" s="310" t="s">
        <v>113</v>
      </c>
      <c r="B4" s="391">
        <v>43818000</v>
      </c>
      <c r="C4" s="391">
        <v>43818000</v>
      </c>
      <c r="D4" s="311"/>
      <c r="E4" s="311"/>
      <c r="F4" s="311"/>
    </row>
    <row r="5" spans="1:6" s="315" customFormat="1" ht="15.6" x14ac:dyDescent="0.25">
      <c r="A5" s="312" t="s">
        <v>406</v>
      </c>
      <c r="B5" s="313">
        <f>B4</f>
        <v>43818000</v>
      </c>
      <c r="C5" s="313">
        <f>SUM(C4)</f>
        <v>43818000</v>
      </c>
      <c r="D5" s="314"/>
      <c r="E5" s="314"/>
      <c r="F5" s="314"/>
    </row>
    <row r="6" spans="1:6" ht="15.6" x14ac:dyDescent="0.25">
      <c r="A6" s="316" t="s">
        <v>114</v>
      </c>
      <c r="B6" s="391">
        <v>4722480</v>
      </c>
      <c r="C6" s="391">
        <v>4722480</v>
      </c>
      <c r="D6" s="311"/>
      <c r="E6" s="311"/>
      <c r="F6" s="311"/>
    </row>
    <row r="7" spans="1:6" ht="15.6" x14ac:dyDescent="0.25">
      <c r="A7" s="310" t="s">
        <v>115</v>
      </c>
      <c r="B7" s="391">
        <v>6240000</v>
      </c>
      <c r="C7" s="391">
        <v>6240000</v>
      </c>
      <c r="D7" s="311"/>
      <c r="E7" s="311"/>
      <c r="F7" s="311"/>
    </row>
    <row r="8" spans="1:6" ht="15.6" x14ac:dyDescent="0.25">
      <c r="A8" s="310" t="s">
        <v>202</v>
      </c>
      <c r="B8" s="391">
        <v>3142329</v>
      </c>
      <c r="C8" s="391">
        <v>3142329</v>
      </c>
      <c r="D8" s="311"/>
      <c r="E8" s="311"/>
      <c r="F8" s="311"/>
    </row>
    <row r="9" spans="1:6" ht="15.6" x14ac:dyDescent="0.25">
      <c r="A9" s="310" t="s">
        <v>116</v>
      </c>
      <c r="B9" s="391">
        <v>4253980</v>
      </c>
      <c r="C9" s="391">
        <v>4253980</v>
      </c>
      <c r="D9" s="311"/>
      <c r="E9" s="311"/>
      <c r="F9" s="311"/>
    </row>
    <row r="10" spans="1:6" s="315" customFormat="1" ht="15.6" x14ac:dyDescent="0.25">
      <c r="A10" s="312" t="s">
        <v>22</v>
      </c>
      <c r="B10" s="313">
        <f>SUM(B6:B9)</f>
        <v>18358789</v>
      </c>
      <c r="C10" s="313">
        <f>SUM(C6:C9)</f>
        <v>18358789</v>
      </c>
      <c r="D10" s="314"/>
      <c r="E10" s="314"/>
      <c r="F10" s="314"/>
    </row>
    <row r="11" spans="1:6" ht="15.6" x14ac:dyDescent="0.25">
      <c r="A11" s="310" t="s">
        <v>117</v>
      </c>
      <c r="B11" s="391">
        <v>8137800</v>
      </c>
      <c r="C11" s="391">
        <v>8137800</v>
      </c>
      <c r="D11" s="311"/>
      <c r="E11" s="311"/>
      <c r="F11" s="311"/>
    </row>
    <row r="12" spans="1:6" ht="15.6" x14ac:dyDescent="0.25">
      <c r="A12" s="310" t="s">
        <v>201</v>
      </c>
      <c r="B12" s="391">
        <v>58650</v>
      </c>
      <c r="C12" s="391">
        <v>58650</v>
      </c>
      <c r="D12" s="311"/>
      <c r="E12" s="311"/>
      <c r="F12" s="311"/>
    </row>
    <row r="13" spans="1:6" ht="15.6" x14ac:dyDescent="0.25">
      <c r="A13" s="310" t="s">
        <v>405</v>
      </c>
      <c r="B13" s="391">
        <v>840800</v>
      </c>
      <c r="C13" s="391">
        <v>840800</v>
      </c>
      <c r="D13" s="311"/>
      <c r="E13" s="311"/>
      <c r="F13" s="311"/>
    </row>
    <row r="14" spans="1:6" ht="15.6" x14ac:dyDescent="0.25">
      <c r="A14" s="406" t="s">
        <v>571</v>
      </c>
      <c r="B14" s="391">
        <v>0</v>
      </c>
      <c r="C14" s="391">
        <v>0</v>
      </c>
      <c r="D14" s="392"/>
      <c r="E14" s="392"/>
      <c r="F14" s="392"/>
    </row>
    <row r="15" spans="1:6" ht="18" x14ac:dyDescent="0.25">
      <c r="A15" s="438" t="s">
        <v>602</v>
      </c>
      <c r="B15" s="317">
        <f>SUM(B10:B14)+B5</f>
        <v>71214039</v>
      </c>
      <c r="C15" s="317">
        <f>SUM(C10:C14)+C5</f>
        <v>71214039</v>
      </c>
      <c r="D15" s="318"/>
      <c r="E15" s="318"/>
      <c r="F15" s="318"/>
    </row>
    <row r="16" spans="1:6" ht="15.6" x14ac:dyDescent="0.25">
      <c r="A16" s="319"/>
      <c r="B16" s="320"/>
      <c r="C16" s="320"/>
      <c r="D16" s="321"/>
      <c r="E16" s="322"/>
      <c r="F16" s="323"/>
    </row>
    <row r="17" spans="1:10" ht="15.6" x14ac:dyDescent="0.25">
      <c r="A17" s="310" t="s">
        <v>23</v>
      </c>
      <c r="B17" s="391">
        <v>30600500</v>
      </c>
      <c r="C17" s="391">
        <v>30600500</v>
      </c>
      <c r="D17" s="311"/>
      <c r="E17" s="311"/>
      <c r="F17" s="311"/>
    </row>
    <row r="18" spans="1:10" ht="28.8" x14ac:dyDescent="0.25">
      <c r="A18" s="310" t="s">
        <v>200</v>
      </c>
      <c r="B18" s="391">
        <v>9600000</v>
      </c>
      <c r="C18" s="391">
        <v>9600000</v>
      </c>
      <c r="D18" s="311"/>
      <c r="E18" s="311"/>
      <c r="F18" s="311"/>
    </row>
    <row r="19" spans="1:10" ht="28.8" x14ac:dyDescent="0.25">
      <c r="A19" s="312" t="s">
        <v>120</v>
      </c>
      <c r="B19" s="313">
        <f>SUM(B17:B18)</f>
        <v>40200500</v>
      </c>
      <c r="C19" s="313">
        <f>SUM(C17:C18)</f>
        <v>40200500</v>
      </c>
      <c r="D19" s="314"/>
      <c r="E19" s="314"/>
      <c r="F19" s="314"/>
    </row>
    <row r="20" spans="1:10" s="315" customFormat="1" ht="15.6" x14ac:dyDescent="0.25">
      <c r="A20" s="310" t="s">
        <v>312</v>
      </c>
      <c r="B20" s="391">
        <v>6720600</v>
      </c>
      <c r="C20" s="391">
        <v>6720600</v>
      </c>
      <c r="D20" s="311"/>
      <c r="E20" s="311"/>
      <c r="F20" s="311"/>
    </row>
    <row r="21" spans="1:10" s="315" customFormat="1" ht="15.6" x14ac:dyDescent="0.25">
      <c r="A21" s="312" t="s">
        <v>118</v>
      </c>
      <c r="B21" s="313">
        <f>SUM(B20:B20)</f>
        <v>6720600</v>
      </c>
      <c r="C21" s="313">
        <f>SUM(C20:C20)</f>
        <v>6720600</v>
      </c>
      <c r="D21" s="314"/>
      <c r="E21" s="314"/>
      <c r="F21" s="314"/>
      <c r="G21" s="324"/>
      <c r="H21" s="324"/>
      <c r="I21" s="324"/>
      <c r="J21" s="324"/>
    </row>
    <row r="22" spans="1:10" s="315" customFormat="1" ht="28.8" x14ac:dyDescent="0.25">
      <c r="A22" s="310" t="s">
        <v>474</v>
      </c>
      <c r="B22" s="391">
        <f>396700*2</f>
        <v>793400</v>
      </c>
      <c r="C22" s="391">
        <v>760342</v>
      </c>
      <c r="D22" s="311"/>
      <c r="E22" s="311"/>
      <c r="F22" s="311"/>
    </row>
    <row r="23" spans="1:10" s="315" customFormat="1" ht="18" x14ac:dyDescent="0.25">
      <c r="A23" s="438" t="s">
        <v>601</v>
      </c>
      <c r="B23" s="317">
        <f>B19+B21+B22</f>
        <v>47714500</v>
      </c>
      <c r="C23" s="317">
        <f>C19+C21+C22</f>
        <v>47681442</v>
      </c>
      <c r="D23" s="318"/>
      <c r="E23" s="318"/>
      <c r="F23" s="318"/>
    </row>
    <row r="24" spans="1:10" ht="15.6" x14ac:dyDescent="0.25">
      <c r="A24" s="319"/>
      <c r="B24" s="320"/>
      <c r="C24" s="320"/>
      <c r="D24" s="321"/>
      <c r="E24" s="322"/>
      <c r="F24" s="323"/>
    </row>
    <row r="25" spans="1:10" s="315" customFormat="1" ht="15.6" x14ac:dyDescent="0.25">
      <c r="A25" s="310" t="s">
        <v>199</v>
      </c>
      <c r="B25" s="391">
        <v>15682000</v>
      </c>
      <c r="C25" s="391">
        <v>15682000</v>
      </c>
      <c r="D25" s="311"/>
      <c r="E25" s="311"/>
      <c r="F25" s="311"/>
    </row>
    <row r="26" spans="1:10" ht="15.6" x14ac:dyDescent="0.25">
      <c r="A26" s="312" t="s">
        <v>199</v>
      </c>
      <c r="B26" s="313">
        <f>SUM(B25)</f>
        <v>15682000</v>
      </c>
      <c r="C26" s="313">
        <f>SUM(C25)</f>
        <v>15682000</v>
      </c>
      <c r="D26" s="314"/>
      <c r="E26" s="314"/>
      <c r="F26" s="314"/>
    </row>
    <row r="27" spans="1:10" ht="14.4" x14ac:dyDescent="0.25">
      <c r="A27" s="310" t="s">
        <v>198</v>
      </c>
      <c r="B27" s="490">
        <v>3780000</v>
      </c>
      <c r="C27" s="490">
        <v>3780000</v>
      </c>
      <c r="D27" s="489"/>
      <c r="E27" s="489"/>
      <c r="F27" s="489"/>
    </row>
    <row r="28" spans="1:10" s="315" customFormat="1" ht="14.4" x14ac:dyDescent="0.25">
      <c r="A28" s="310" t="s">
        <v>197</v>
      </c>
      <c r="B28" s="490"/>
      <c r="C28" s="490"/>
      <c r="D28" s="489"/>
      <c r="E28" s="489"/>
      <c r="F28" s="489"/>
    </row>
    <row r="29" spans="1:10" ht="28.8" x14ac:dyDescent="0.25">
      <c r="A29" s="312" t="s">
        <v>468</v>
      </c>
      <c r="B29" s="313">
        <f>SUM(B27)</f>
        <v>3780000</v>
      </c>
      <c r="C29" s="313">
        <f>SUM(C27)</f>
        <v>3780000</v>
      </c>
      <c r="D29" s="314"/>
      <c r="E29" s="314"/>
      <c r="F29" s="314"/>
    </row>
    <row r="30" spans="1:10" ht="15.6" x14ac:dyDescent="0.25">
      <c r="A30" s="310" t="s">
        <v>24</v>
      </c>
      <c r="B30" s="391">
        <v>2549040</v>
      </c>
      <c r="C30" s="391">
        <v>1960800</v>
      </c>
      <c r="D30" s="311"/>
      <c r="E30" s="311"/>
      <c r="F30" s="311"/>
    </row>
    <row r="31" spans="1:10" ht="15.6" x14ac:dyDescent="0.25">
      <c r="A31" s="310" t="s">
        <v>25</v>
      </c>
      <c r="B31" s="391">
        <v>3730000</v>
      </c>
      <c r="C31" s="391">
        <v>3705000</v>
      </c>
      <c r="D31" s="329"/>
      <c r="E31" s="311"/>
      <c r="F31" s="311"/>
    </row>
    <row r="32" spans="1:10" s="315" customFormat="1" ht="15.6" x14ac:dyDescent="0.25">
      <c r="A32" s="310" t="s">
        <v>26</v>
      </c>
      <c r="B32" s="391">
        <v>2280000</v>
      </c>
      <c r="C32" s="391">
        <v>1900000</v>
      </c>
      <c r="D32" s="329"/>
      <c r="E32" s="311"/>
      <c r="F32" s="311"/>
    </row>
    <row r="33" spans="1:6" ht="28.8" x14ac:dyDescent="0.25">
      <c r="A33" s="312" t="s">
        <v>469</v>
      </c>
      <c r="B33" s="313">
        <f>SUM(B30:B32)</f>
        <v>8559040</v>
      </c>
      <c r="C33" s="313">
        <f>SUM(C30:C32)</f>
        <v>7565800</v>
      </c>
      <c r="D33" s="314"/>
      <c r="E33" s="314"/>
      <c r="F33" s="314"/>
    </row>
    <row r="34" spans="1:6" ht="15.6" x14ac:dyDescent="0.25">
      <c r="A34" s="325" t="s">
        <v>470</v>
      </c>
      <c r="B34" s="391">
        <v>11704000</v>
      </c>
      <c r="C34" s="391">
        <v>11220000</v>
      </c>
      <c r="D34" s="311"/>
      <c r="E34" s="311"/>
      <c r="F34" s="311"/>
    </row>
    <row r="35" spans="1:6" ht="15.6" x14ac:dyDescent="0.25">
      <c r="A35" s="325" t="s">
        <v>471</v>
      </c>
      <c r="B35" s="391">
        <v>0</v>
      </c>
      <c r="C35" s="391">
        <v>0</v>
      </c>
      <c r="D35" s="311"/>
      <c r="E35" s="311"/>
      <c r="F35" s="311"/>
    </row>
    <row r="36" spans="1:6" s="315" customFormat="1" ht="15.6" x14ac:dyDescent="0.25">
      <c r="A36" s="325" t="s">
        <v>472</v>
      </c>
      <c r="B36" s="391">
        <v>174720</v>
      </c>
      <c r="C36" s="391">
        <v>181260</v>
      </c>
      <c r="D36" s="311"/>
      <c r="E36" s="311"/>
      <c r="F36" s="311"/>
    </row>
    <row r="37" spans="1:6" ht="15.6" x14ac:dyDescent="0.25">
      <c r="A37" s="312" t="s">
        <v>119</v>
      </c>
      <c r="B37" s="313">
        <f>SUM(B34:B36)</f>
        <v>11878720</v>
      </c>
      <c r="C37" s="313">
        <f>SUM(C34:C36)</f>
        <v>11401260</v>
      </c>
      <c r="D37" s="314"/>
      <c r="E37" s="314"/>
      <c r="F37" s="314"/>
    </row>
    <row r="38" spans="1:6" ht="28.8" x14ac:dyDescent="0.25">
      <c r="A38" s="326" t="s">
        <v>440</v>
      </c>
      <c r="B38" s="391">
        <v>8838000</v>
      </c>
      <c r="C38" s="391">
        <v>8838000</v>
      </c>
      <c r="D38" s="311"/>
      <c r="E38" s="311"/>
      <c r="F38" s="311"/>
    </row>
    <row r="39" spans="1:6" ht="28.8" x14ac:dyDescent="0.25">
      <c r="A39" s="326" t="s">
        <v>441</v>
      </c>
      <c r="B39" s="391">
        <v>2993000</v>
      </c>
      <c r="C39" s="391">
        <v>2993000</v>
      </c>
      <c r="D39" s="311"/>
      <c r="E39" s="311"/>
      <c r="F39" s="311"/>
    </row>
    <row r="40" spans="1:6" s="315" customFormat="1" ht="15.6" x14ac:dyDescent="0.25">
      <c r="A40" s="326" t="s">
        <v>442</v>
      </c>
      <c r="B40" s="391">
        <v>3032000</v>
      </c>
      <c r="C40" s="391">
        <v>3032000</v>
      </c>
      <c r="D40" s="311"/>
      <c r="E40" s="311"/>
      <c r="F40" s="311"/>
    </row>
    <row r="41" spans="1:6" ht="15.6" x14ac:dyDescent="0.25">
      <c r="A41" s="312" t="s">
        <v>473</v>
      </c>
      <c r="B41" s="313">
        <f>SUM(B38:B40)</f>
        <v>14863000</v>
      </c>
      <c r="C41" s="313">
        <f>SUM(C38:C40)</f>
        <v>14863000</v>
      </c>
      <c r="D41" s="314"/>
      <c r="E41" s="314"/>
      <c r="F41" s="314"/>
    </row>
    <row r="42" spans="1:6" ht="36" x14ac:dyDescent="0.25">
      <c r="A42" s="438" t="s">
        <v>603</v>
      </c>
      <c r="B42" s="317">
        <f>B26+B29+B33+B37+B41</f>
        <v>54762760</v>
      </c>
      <c r="C42" s="317">
        <f>C26+C29+C33+C37+C41</f>
        <v>53292060</v>
      </c>
      <c r="D42" s="318"/>
      <c r="E42" s="318"/>
      <c r="F42" s="318"/>
    </row>
    <row r="43" spans="1:6" ht="15.6" x14ac:dyDescent="0.25">
      <c r="A43" s="327"/>
      <c r="B43" s="320"/>
      <c r="C43" s="320"/>
      <c r="D43" s="321"/>
      <c r="E43" s="322"/>
      <c r="F43" s="323"/>
    </row>
    <row r="44" spans="1:6" ht="15.6" x14ac:dyDescent="0.25">
      <c r="A44" s="396" t="s">
        <v>569</v>
      </c>
      <c r="B44" s="391">
        <v>3770514</v>
      </c>
      <c r="C44" s="391">
        <v>3770514</v>
      </c>
      <c r="D44" s="311"/>
      <c r="E44" s="311"/>
      <c r="F44" s="311"/>
    </row>
    <row r="45" spans="1:6" ht="18" x14ac:dyDescent="0.25">
      <c r="A45" s="438" t="s">
        <v>568</v>
      </c>
      <c r="B45" s="317">
        <v>3770514</v>
      </c>
      <c r="C45" s="317">
        <v>3770514</v>
      </c>
      <c r="D45" s="318"/>
      <c r="E45" s="318"/>
      <c r="F45" s="318"/>
    </row>
    <row r="46" spans="1:6" ht="15.6" x14ac:dyDescent="0.25">
      <c r="A46" s="327"/>
      <c r="B46" s="320"/>
      <c r="C46" s="320"/>
      <c r="D46" s="321"/>
      <c r="E46" s="322"/>
      <c r="F46" s="323"/>
    </row>
    <row r="47" spans="1:6" ht="18" x14ac:dyDescent="0.25">
      <c r="A47" s="440" t="s">
        <v>570</v>
      </c>
      <c r="B47" s="397">
        <f>B15+B23+B42+B45</f>
        <v>177461813</v>
      </c>
      <c r="C47" s="397">
        <f>C15+C23+C42+C45</f>
        <v>175958055</v>
      </c>
      <c r="D47" s="398"/>
      <c r="E47" s="398"/>
      <c r="F47" s="398"/>
    </row>
    <row r="48" spans="1:6" ht="15.6" x14ac:dyDescent="0.25">
      <c r="A48" s="327"/>
      <c r="B48" s="320"/>
      <c r="C48" s="320"/>
      <c r="D48" s="321"/>
      <c r="E48" s="322"/>
      <c r="F48" s="323"/>
    </row>
    <row r="49" spans="1:6" ht="15.6" x14ac:dyDescent="0.25">
      <c r="A49" s="390" t="s">
        <v>348</v>
      </c>
      <c r="B49" s="284">
        <v>2800000</v>
      </c>
      <c r="C49" s="284">
        <v>2800000</v>
      </c>
      <c r="D49" s="410"/>
      <c r="E49" s="410"/>
      <c r="F49" s="410"/>
    </row>
    <row r="50" spans="1:6" s="315" customFormat="1" ht="15.6" x14ac:dyDescent="0.25">
      <c r="A50" s="389" t="s">
        <v>598</v>
      </c>
      <c r="B50" s="365">
        <f>SUM(B49:B49)</f>
        <v>2800000</v>
      </c>
      <c r="C50" s="365">
        <f>SUM(C49:C49)</f>
        <v>2800000</v>
      </c>
      <c r="D50" s="258"/>
      <c r="E50" s="258"/>
      <c r="F50" s="258"/>
    </row>
    <row r="51" spans="1:6" s="315" customFormat="1" ht="15.6" x14ac:dyDescent="0.25">
      <c r="A51" s="390" t="s">
        <v>379</v>
      </c>
      <c r="B51" s="284">
        <v>190000</v>
      </c>
      <c r="C51" s="284">
        <v>190000</v>
      </c>
      <c r="D51" s="410"/>
      <c r="E51" s="410"/>
      <c r="F51" s="410"/>
    </row>
    <row r="52" spans="1:6" ht="15.6" x14ac:dyDescent="0.25">
      <c r="A52" s="389" t="s">
        <v>599</v>
      </c>
      <c r="B52" s="365">
        <f>SUM(B51:B51)</f>
        <v>190000</v>
      </c>
      <c r="C52" s="365">
        <f>SUM(C51:C51)</f>
        <v>190000</v>
      </c>
      <c r="D52" s="258"/>
      <c r="E52" s="258"/>
      <c r="F52" s="258"/>
    </row>
    <row r="53" spans="1:6" ht="15.6" x14ac:dyDescent="0.25">
      <c r="A53" s="390" t="s">
        <v>355</v>
      </c>
      <c r="B53" s="284">
        <v>0</v>
      </c>
      <c r="C53" s="284">
        <v>0</v>
      </c>
      <c r="D53" s="410"/>
      <c r="E53" s="410"/>
      <c r="F53" s="410"/>
    </row>
    <row r="54" spans="1:6" ht="15.6" x14ac:dyDescent="0.25">
      <c r="A54" s="389" t="s">
        <v>600</v>
      </c>
      <c r="B54" s="365">
        <f>SUM(B53:B53)</f>
        <v>0</v>
      </c>
      <c r="C54" s="365">
        <f>SUM(C53:C53)</f>
        <v>0</v>
      </c>
      <c r="D54" s="258"/>
      <c r="E54" s="258"/>
      <c r="F54" s="258"/>
    </row>
    <row r="55" spans="1:6" ht="18" x14ac:dyDescent="0.25">
      <c r="A55" s="439" t="s">
        <v>581</v>
      </c>
      <c r="B55" s="367">
        <f>B50+B52+B54</f>
        <v>2990000</v>
      </c>
      <c r="C55" s="367">
        <f>C50+C52+C54</f>
        <v>2990000</v>
      </c>
      <c r="D55" s="263"/>
      <c r="E55" s="263"/>
      <c r="F55" s="263"/>
    </row>
    <row r="56" spans="1:6" ht="15" x14ac:dyDescent="0.25">
      <c r="A56" s="274"/>
      <c r="B56" s="411"/>
      <c r="C56" s="411"/>
      <c r="D56" s="411"/>
      <c r="E56" s="411"/>
      <c r="F56" s="411"/>
    </row>
    <row r="57" spans="1:6" ht="15.6" x14ac:dyDescent="0.25">
      <c r="A57" s="409" t="s">
        <v>458</v>
      </c>
      <c r="B57" s="284">
        <v>0</v>
      </c>
      <c r="C57" s="284">
        <v>65000</v>
      </c>
      <c r="D57" s="410"/>
      <c r="E57" s="410"/>
      <c r="F57" s="410"/>
    </row>
    <row r="58" spans="1:6" ht="15.6" x14ac:dyDescent="0.25">
      <c r="A58" s="389" t="s">
        <v>594</v>
      </c>
      <c r="B58" s="365">
        <f t="shared" ref="B58:C58" si="0">SUM(B57)</f>
        <v>0</v>
      </c>
      <c r="C58" s="365">
        <f t="shared" si="0"/>
        <v>65000</v>
      </c>
      <c r="D58" s="258"/>
      <c r="E58" s="258"/>
      <c r="F58" s="258"/>
    </row>
    <row r="59" spans="1:6" ht="15.6" x14ac:dyDescent="0.25">
      <c r="A59" s="409" t="s">
        <v>459</v>
      </c>
      <c r="B59" s="284">
        <v>1080000</v>
      </c>
      <c r="C59" s="284">
        <v>1080000</v>
      </c>
      <c r="D59" s="410"/>
      <c r="E59" s="410"/>
      <c r="F59" s="410"/>
    </row>
    <row r="60" spans="1:6" ht="15.6" x14ac:dyDescent="0.25">
      <c r="A60" s="389" t="s">
        <v>593</v>
      </c>
      <c r="B60" s="365">
        <f>SUM(B59:B59)</f>
        <v>1080000</v>
      </c>
      <c r="C60" s="365">
        <f>SUM(C59:C59)</f>
        <v>1080000</v>
      </c>
      <c r="D60" s="258"/>
      <c r="E60" s="258"/>
      <c r="F60" s="258"/>
    </row>
    <row r="61" spans="1:6" ht="15.6" x14ac:dyDescent="0.25">
      <c r="A61" s="409" t="s">
        <v>460</v>
      </c>
      <c r="B61" s="284">
        <v>8500000</v>
      </c>
      <c r="C61" s="284">
        <v>9000000</v>
      </c>
      <c r="D61" s="410"/>
      <c r="E61" s="410"/>
      <c r="F61" s="410"/>
    </row>
    <row r="62" spans="1:6" ht="15.6" x14ac:dyDescent="0.25">
      <c r="A62" s="389" t="s">
        <v>595</v>
      </c>
      <c r="B62" s="365">
        <f t="shared" ref="B62:C62" si="1">SUM(B61)</f>
        <v>8500000</v>
      </c>
      <c r="C62" s="365">
        <f t="shared" si="1"/>
        <v>9000000</v>
      </c>
      <c r="D62" s="258"/>
      <c r="E62" s="258"/>
      <c r="F62" s="258"/>
    </row>
    <row r="63" spans="1:6" s="315" customFormat="1" ht="15.6" x14ac:dyDescent="0.25">
      <c r="A63" s="409" t="s">
        <v>461</v>
      </c>
      <c r="B63" s="284">
        <v>0</v>
      </c>
      <c r="C63" s="284">
        <v>0</v>
      </c>
      <c r="D63" s="410"/>
      <c r="E63" s="410"/>
      <c r="F63" s="410"/>
    </row>
    <row r="64" spans="1:6" ht="15.6" x14ac:dyDescent="0.25">
      <c r="A64" s="428" t="s">
        <v>579</v>
      </c>
      <c r="B64" s="284">
        <v>43096775</v>
      </c>
      <c r="C64" s="391">
        <f>16601797+18742532</f>
        <v>35344329</v>
      </c>
      <c r="D64" s="410"/>
      <c r="E64" s="410"/>
      <c r="F64" s="410"/>
    </row>
    <row r="65" spans="1:6" ht="15.6" x14ac:dyDescent="0.25">
      <c r="A65" s="389" t="s">
        <v>596</v>
      </c>
      <c r="B65" s="365">
        <f t="shared" ref="B65:C65" si="2">SUM(B63:B64)</f>
        <v>43096775</v>
      </c>
      <c r="C65" s="365">
        <f t="shared" si="2"/>
        <v>35344329</v>
      </c>
      <c r="D65" s="258"/>
      <c r="E65" s="258"/>
      <c r="F65" s="258"/>
    </row>
    <row r="66" spans="1:6" ht="15.6" x14ac:dyDescent="0.25">
      <c r="A66" s="455" t="s">
        <v>462</v>
      </c>
      <c r="B66" s="284">
        <v>0</v>
      </c>
      <c r="C66" s="284">
        <v>0</v>
      </c>
      <c r="D66" s="410"/>
      <c r="E66" s="410"/>
      <c r="F66" s="410"/>
    </row>
    <row r="67" spans="1:6" ht="15.6" x14ac:dyDescent="0.25">
      <c r="A67" s="389" t="s">
        <v>462</v>
      </c>
      <c r="B67" s="365">
        <f t="shared" ref="B67:C69" si="3">SUM(B66)</f>
        <v>0</v>
      </c>
      <c r="C67" s="365">
        <f t="shared" si="3"/>
        <v>0</v>
      </c>
      <c r="D67" s="258"/>
      <c r="E67" s="258"/>
      <c r="F67" s="258"/>
    </row>
    <row r="68" spans="1:6" ht="15.6" x14ac:dyDescent="0.25">
      <c r="A68" s="409" t="s">
        <v>463</v>
      </c>
      <c r="B68" s="284">
        <v>45000</v>
      </c>
      <c r="C68" s="284">
        <v>45000</v>
      </c>
      <c r="D68" s="410"/>
      <c r="E68" s="410"/>
      <c r="F68" s="410"/>
    </row>
    <row r="69" spans="1:6" ht="15.6" x14ac:dyDescent="0.25">
      <c r="A69" s="389" t="s">
        <v>597</v>
      </c>
      <c r="B69" s="365">
        <f t="shared" si="3"/>
        <v>45000</v>
      </c>
      <c r="C69" s="365">
        <f t="shared" si="3"/>
        <v>45000</v>
      </c>
      <c r="D69" s="258"/>
      <c r="E69" s="258"/>
      <c r="F69" s="258"/>
    </row>
    <row r="70" spans="1:6" ht="18" x14ac:dyDescent="0.25">
      <c r="A70" s="439" t="s">
        <v>580</v>
      </c>
      <c r="B70" s="367">
        <f>B58+B60+B62+B65+B67+B69</f>
        <v>52721775</v>
      </c>
      <c r="C70" s="367">
        <f>C58+C60+C62+C65+C67+C69</f>
        <v>45534329</v>
      </c>
      <c r="D70" s="263"/>
      <c r="E70" s="263"/>
      <c r="F70" s="263"/>
    </row>
  </sheetData>
  <mergeCells count="6">
    <mergeCell ref="A1:F1"/>
    <mergeCell ref="D27:D28"/>
    <mergeCell ref="B27:B28"/>
    <mergeCell ref="C27:C28"/>
    <mergeCell ref="E27:E28"/>
    <mergeCell ref="F27:F28"/>
  </mergeCells>
  <printOptions horizontalCentered="1" verticalCentered="1"/>
  <pageMargins left="0.23622047244094491" right="0.23622047244094491" top="0.59055118110236227" bottom="0.23622047244094491" header="0.31496062992125984" footer="0.31496062992125984"/>
  <pageSetup paperSize="9" scale="65" orientation="portrait" r:id="rId1"/>
  <headerFooter>
    <oddHeader>&amp;R1./a sz. melléklet
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>
    <pageSetUpPr fitToPage="1"/>
  </sheetPr>
  <dimension ref="A1:G49"/>
  <sheetViews>
    <sheetView topLeftCell="A25" zoomScale="80" zoomScaleNormal="80" workbookViewId="0">
      <selection activeCell="L13" sqref="L13"/>
    </sheetView>
  </sheetViews>
  <sheetFormatPr defaultRowHeight="13.2" x14ac:dyDescent="0.25"/>
  <cols>
    <col min="1" max="1" width="6.109375" bestFit="1" customWidth="1"/>
    <col min="2" max="2" width="34.109375" bestFit="1" customWidth="1"/>
    <col min="3" max="3" width="17.33203125" style="3" customWidth="1"/>
    <col min="4" max="4" width="15.6640625" style="3" customWidth="1"/>
    <col min="5" max="7" width="15.6640625" customWidth="1"/>
  </cols>
  <sheetData>
    <row r="1" spans="1:7" ht="18" x14ac:dyDescent="0.25">
      <c r="A1" s="491" t="s">
        <v>525</v>
      </c>
      <c r="B1" s="491"/>
      <c r="C1" s="491"/>
      <c r="D1" s="491"/>
      <c r="E1" s="491"/>
      <c r="F1" s="491"/>
      <c r="G1" s="491"/>
    </row>
    <row r="2" spans="1:7" ht="18" x14ac:dyDescent="0.25">
      <c r="A2" s="492" t="s">
        <v>510</v>
      </c>
      <c r="B2" s="492"/>
      <c r="C2" s="492"/>
      <c r="D2" s="492"/>
      <c r="E2" s="492"/>
      <c r="F2" s="492"/>
      <c r="G2" s="492"/>
    </row>
    <row r="3" spans="1:7" ht="13.8" x14ac:dyDescent="0.25">
      <c r="A3" s="40"/>
      <c r="B3" s="40"/>
      <c r="C3" s="10"/>
      <c r="D3" s="10"/>
      <c r="E3" s="10"/>
      <c r="F3" s="10"/>
      <c r="G3" s="10"/>
    </row>
    <row r="4" spans="1:7" ht="31.2" x14ac:dyDescent="0.25">
      <c r="A4" s="501" t="s">
        <v>55</v>
      </c>
      <c r="B4" s="501"/>
      <c r="C4" s="301" t="s">
        <v>509</v>
      </c>
      <c r="D4" s="328" t="s">
        <v>489</v>
      </c>
      <c r="E4" s="285" t="s">
        <v>465</v>
      </c>
      <c r="F4" s="285" t="s">
        <v>466</v>
      </c>
      <c r="G4" s="285" t="s">
        <v>467</v>
      </c>
    </row>
    <row r="5" spans="1:7" s="1" customFormat="1" ht="18" x14ac:dyDescent="0.25">
      <c r="A5" s="191" t="s">
        <v>349</v>
      </c>
      <c r="B5" s="191" t="s">
        <v>350</v>
      </c>
      <c r="C5" s="500" t="s">
        <v>414</v>
      </c>
      <c r="D5" s="500"/>
      <c r="E5" s="500"/>
      <c r="F5" s="500"/>
      <c r="G5" s="500"/>
    </row>
    <row r="6" spans="1:7" ht="14.4" x14ac:dyDescent="0.3">
      <c r="A6" s="288" t="s">
        <v>203</v>
      </c>
      <c r="B6" s="288" t="s">
        <v>204</v>
      </c>
      <c r="C6" s="233">
        <v>250000</v>
      </c>
      <c r="D6" s="233">
        <v>250000</v>
      </c>
      <c r="E6" s="136"/>
      <c r="F6" s="136"/>
      <c r="G6" s="42"/>
    </row>
    <row r="7" spans="1:7" ht="14.4" x14ac:dyDescent="0.3">
      <c r="A7" s="288" t="s">
        <v>205</v>
      </c>
      <c r="B7" s="288" t="s">
        <v>206</v>
      </c>
      <c r="C7" s="233">
        <v>7300000</v>
      </c>
      <c r="D7" s="233">
        <v>7300000</v>
      </c>
      <c r="E7" s="136"/>
      <c r="F7" s="136"/>
      <c r="G7" s="42"/>
    </row>
    <row r="8" spans="1:7" ht="14.4" x14ac:dyDescent="0.3">
      <c r="A8" s="288" t="s">
        <v>207</v>
      </c>
      <c r="B8" s="288" t="s">
        <v>208</v>
      </c>
      <c r="C8" s="233">
        <v>2200000</v>
      </c>
      <c r="D8" s="233">
        <v>2200000</v>
      </c>
      <c r="E8" s="136"/>
      <c r="F8" s="136"/>
      <c r="G8" s="42"/>
    </row>
    <row r="9" spans="1:7" ht="14.4" x14ac:dyDescent="0.3">
      <c r="A9" s="288" t="s">
        <v>209</v>
      </c>
      <c r="B9" s="288" t="s">
        <v>210</v>
      </c>
      <c r="C9" s="233">
        <v>0</v>
      </c>
      <c r="D9" s="233">
        <v>0</v>
      </c>
      <c r="E9" s="136"/>
      <c r="F9" s="136"/>
      <c r="G9" s="42"/>
    </row>
    <row r="10" spans="1:7" ht="14.4" x14ac:dyDescent="0.3">
      <c r="A10" s="288" t="s">
        <v>211</v>
      </c>
      <c r="B10" s="288" t="s">
        <v>212</v>
      </c>
      <c r="C10" s="233">
        <v>2400000</v>
      </c>
      <c r="D10" s="233">
        <v>2400000</v>
      </c>
      <c r="E10" s="136"/>
      <c r="F10" s="136"/>
      <c r="G10" s="42"/>
    </row>
    <row r="11" spans="1:7" ht="14.4" x14ac:dyDescent="0.3">
      <c r="A11" s="288" t="s">
        <v>213</v>
      </c>
      <c r="B11" s="288" t="s">
        <v>214</v>
      </c>
      <c r="C11" s="233">
        <v>2000</v>
      </c>
      <c r="D11" s="233">
        <v>2000</v>
      </c>
      <c r="E11" s="136"/>
      <c r="F11" s="136"/>
      <c r="G11" s="42"/>
    </row>
    <row r="12" spans="1:7" ht="14.4" x14ac:dyDescent="0.3">
      <c r="A12" s="288" t="s">
        <v>407</v>
      </c>
      <c r="B12" s="288" t="s">
        <v>411</v>
      </c>
      <c r="C12" s="233">
        <v>0</v>
      </c>
      <c r="D12" s="233">
        <v>0</v>
      </c>
      <c r="E12" s="136"/>
      <c r="F12" s="136"/>
      <c r="G12" s="42"/>
    </row>
    <row r="13" spans="1:7" ht="14.4" x14ac:dyDescent="0.3">
      <c r="A13" s="288" t="s">
        <v>408</v>
      </c>
      <c r="B13" s="288" t="s">
        <v>215</v>
      </c>
      <c r="C13" s="233">
        <v>5000</v>
      </c>
      <c r="D13" s="233">
        <v>400000</v>
      </c>
      <c r="E13" s="136"/>
      <c r="F13" s="136"/>
      <c r="G13" s="42"/>
    </row>
    <row r="14" spans="1:7" s="1" customFormat="1" ht="14.4" x14ac:dyDescent="0.3">
      <c r="A14" s="289" t="s">
        <v>216</v>
      </c>
      <c r="B14" s="289" t="s">
        <v>188</v>
      </c>
      <c r="C14" s="225">
        <f>SUM(C6:C13)</f>
        <v>12157000</v>
      </c>
      <c r="D14" s="225">
        <f>SUM(D6:D13)</f>
        <v>12552000</v>
      </c>
      <c r="E14" s="83">
        <f>SUM(E6:E13)</f>
        <v>0</v>
      </c>
      <c r="F14" s="83">
        <f>SUM(F6:F13)</f>
        <v>0</v>
      </c>
      <c r="G14" s="83">
        <f>SUM(G9:G13)</f>
        <v>0</v>
      </c>
    </row>
    <row r="15" spans="1:7" s="1" customFormat="1" ht="14.4" x14ac:dyDescent="0.3">
      <c r="A15" s="38"/>
      <c r="B15" s="39"/>
      <c r="C15" s="234"/>
      <c r="D15" s="234"/>
      <c r="E15" s="43"/>
      <c r="F15" s="43"/>
      <c r="G15" s="43"/>
    </row>
    <row r="16" spans="1:7" s="1" customFormat="1" ht="18" x14ac:dyDescent="0.25">
      <c r="A16" s="191" t="s">
        <v>349</v>
      </c>
      <c r="B16" s="191" t="s">
        <v>350</v>
      </c>
      <c r="C16" s="493" t="s">
        <v>507</v>
      </c>
      <c r="D16" s="493"/>
      <c r="E16" s="493"/>
      <c r="F16" s="493"/>
      <c r="G16" s="493"/>
    </row>
    <row r="17" spans="1:7" s="1" customFormat="1" ht="14.4" x14ac:dyDescent="0.3">
      <c r="A17" s="288" t="s">
        <v>203</v>
      </c>
      <c r="B17" s="288" t="s">
        <v>204</v>
      </c>
      <c r="C17" s="224">
        <v>0</v>
      </c>
      <c r="D17" s="224">
        <v>0</v>
      </c>
      <c r="E17" s="42"/>
      <c r="F17" s="42"/>
      <c r="G17" s="42"/>
    </row>
    <row r="18" spans="1:7" s="1" customFormat="1" ht="14.4" x14ac:dyDescent="0.3">
      <c r="A18" s="288" t="s">
        <v>205</v>
      </c>
      <c r="B18" s="288" t="s">
        <v>206</v>
      </c>
      <c r="C18" s="224">
        <v>0</v>
      </c>
      <c r="D18" s="224">
        <v>0</v>
      </c>
      <c r="E18" s="42"/>
      <c r="F18" s="42"/>
      <c r="G18" s="42"/>
    </row>
    <row r="19" spans="1:7" s="1" customFormat="1" ht="14.4" x14ac:dyDescent="0.3">
      <c r="A19" s="288" t="s">
        <v>207</v>
      </c>
      <c r="B19" s="288" t="s">
        <v>208</v>
      </c>
      <c r="C19" s="224">
        <v>0</v>
      </c>
      <c r="D19" s="224">
        <v>0</v>
      </c>
      <c r="E19" s="42"/>
      <c r="F19" s="42"/>
      <c r="G19" s="42"/>
    </row>
    <row r="20" spans="1:7" s="1" customFormat="1" ht="14.4" x14ac:dyDescent="0.3">
      <c r="A20" s="288" t="s">
        <v>209</v>
      </c>
      <c r="B20" s="288" t="s">
        <v>210</v>
      </c>
      <c r="C20" s="224">
        <v>9300000</v>
      </c>
      <c r="D20" s="224">
        <v>8700000</v>
      </c>
      <c r="E20" s="42"/>
      <c r="F20" s="42"/>
      <c r="G20" s="42"/>
    </row>
    <row r="21" spans="1:7" s="1" customFormat="1" ht="14.4" x14ac:dyDescent="0.3">
      <c r="A21" s="288" t="s">
        <v>211</v>
      </c>
      <c r="B21" s="288" t="s">
        <v>212</v>
      </c>
      <c r="C21" s="224">
        <v>2500000</v>
      </c>
      <c r="D21" s="224">
        <v>2100000</v>
      </c>
      <c r="E21" s="42"/>
      <c r="F21" s="42"/>
      <c r="G21" s="42"/>
    </row>
    <row r="22" spans="1:7" s="1" customFormat="1" ht="14.4" x14ac:dyDescent="0.3">
      <c r="A22" s="288" t="s">
        <v>213</v>
      </c>
      <c r="B22" s="288" t="s">
        <v>214</v>
      </c>
      <c r="C22" s="224">
        <v>0</v>
      </c>
      <c r="D22" s="224">
        <v>0</v>
      </c>
      <c r="E22" s="42"/>
      <c r="F22" s="42"/>
      <c r="G22" s="42"/>
    </row>
    <row r="23" spans="1:7" s="1" customFormat="1" ht="14.4" x14ac:dyDescent="0.3">
      <c r="A23" s="288" t="s">
        <v>407</v>
      </c>
      <c r="B23" s="288" t="s">
        <v>411</v>
      </c>
      <c r="C23" s="224">
        <v>0</v>
      </c>
      <c r="D23" s="224">
        <v>0</v>
      </c>
      <c r="E23" s="42"/>
      <c r="F23" s="42"/>
      <c r="G23" s="42"/>
    </row>
    <row r="24" spans="1:7" s="1" customFormat="1" ht="14.4" x14ac:dyDescent="0.3">
      <c r="A24" s="288" t="s">
        <v>408</v>
      </c>
      <c r="B24" s="288" t="s">
        <v>215</v>
      </c>
      <c r="C24" s="224">
        <v>3000</v>
      </c>
      <c r="D24" s="224">
        <v>280000</v>
      </c>
      <c r="E24" s="42"/>
      <c r="F24" s="42"/>
      <c r="G24" s="42"/>
    </row>
    <row r="25" spans="1:7" s="1" customFormat="1" ht="14.4" x14ac:dyDescent="0.3">
      <c r="A25" s="289" t="s">
        <v>216</v>
      </c>
      <c r="B25" s="289" t="s">
        <v>188</v>
      </c>
      <c r="C25" s="225">
        <f>SUM(C17:C24)</f>
        <v>11803000</v>
      </c>
      <c r="D25" s="225">
        <f>SUM(D17:D24)</f>
        <v>11080000</v>
      </c>
      <c r="E25" s="83">
        <f>SUM(E20:E24)</f>
        <v>0</v>
      </c>
      <c r="F25" s="83">
        <f>SUM(F20:F24)</f>
        <v>0</v>
      </c>
      <c r="G25" s="83">
        <f>SUM(G20:G24)</f>
        <v>0</v>
      </c>
    </row>
    <row r="26" spans="1:7" s="1" customFormat="1" ht="14.4" x14ac:dyDescent="0.3">
      <c r="A26" s="38"/>
      <c r="B26" s="39"/>
      <c r="C26" s="234"/>
      <c r="D26" s="234"/>
      <c r="E26" s="43"/>
      <c r="F26" s="43"/>
      <c r="G26" s="43"/>
    </row>
    <row r="27" spans="1:7" s="1" customFormat="1" ht="18" x14ac:dyDescent="0.25">
      <c r="A27" s="191" t="s">
        <v>349</v>
      </c>
      <c r="B27" s="191" t="s">
        <v>350</v>
      </c>
      <c r="C27" s="497" t="s">
        <v>415</v>
      </c>
      <c r="D27" s="498"/>
      <c r="E27" s="498"/>
      <c r="F27" s="498"/>
      <c r="G27" s="499"/>
    </row>
    <row r="28" spans="1:7" s="1" customFormat="1" ht="14.4" x14ac:dyDescent="0.3">
      <c r="A28" s="288" t="s">
        <v>203</v>
      </c>
      <c r="B28" s="288" t="s">
        <v>204</v>
      </c>
      <c r="C28" s="224">
        <v>0</v>
      </c>
      <c r="D28" s="224">
        <v>0</v>
      </c>
      <c r="E28" s="42"/>
      <c r="F28" s="42"/>
      <c r="G28" s="42"/>
    </row>
    <row r="29" spans="1:7" s="1" customFormat="1" ht="14.4" x14ac:dyDescent="0.3">
      <c r="A29" s="288" t="s">
        <v>205</v>
      </c>
      <c r="B29" s="288" t="s">
        <v>206</v>
      </c>
      <c r="C29" s="224">
        <v>400000</v>
      </c>
      <c r="D29" s="224">
        <v>300000</v>
      </c>
      <c r="E29" s="42"/>
      <c r="F29" s="42"/>
      <c r="G29" s="42"/>
    </row>
    <row r="30" spans="1:7" s="1" customFormat="1" ht="14.4" x14ac:dyDescent="0.3">
      <c r="A30" s="288" t="s">
        <v>207</v>
      </c>
      <c r="B30" s="288" t="s">
        <v>208</v>
      </c>
      <c r="C30" s="224">
        <v>0</v>
      </c>
      <c r="D30" s="224">
        <v>0</v>
      </c>
      <c r="E30" s="42"/>
      <c r="F30" s="42"/>
      <c r="G30" s="42"/>
    </row>
    <row r="31" spans="1:7" s="1" customFormat="1" ht="14.4" x14ac:dyDescent="0.3">
      <c r="A31" s="288" t="s">
        <v>209</v>
      </c>
      <c r="B31" s="288" t="s">
        <v>210</v>
      </c>
      <c r="C31" s="224">
        <v>900000</v>
      </c>
      <c r="D31" s="224">
        <v>700000</v>
      </c>
      <c r="E31" s="42"/>
      <c r="F31" s="42"/>
      <c r="G31" s="42"/>
    </row>
    <row r="32" spans="1:7" s="1" customFormat="1" ht="14.4" x14ac:dyDescent="0.3">
      <c r="A32" s="288" t="s">
        <v>211</v>
      </c>
      <c r="B32" s="288" t="s">
        <v>212</v>
      </c>
      <c r="C32" s="224">
        <v>0</v>
      </c>
      <c r="D32" s="224">
        <v>0</v>
      </c>
      <c r="E32" s="42"/>
      <c r="F32" s="42"/>
      <c r="G32" s="42"/>
    </row>
    <row r="33" spans="1:7" s="1" customFormat="1" ht="14.4" x14ac:dyDescent="0.3">
      <c r="A33" s="288" t="s">
        <v>213</v>
      </c>
      <c r="B33" s="288" t="s">
        <v>214</v>
      </c>
      <c r="C33" s="224">
        <v>0</v>
      </c>
      <c r="D33" s="224">
        <v>0</v>
      </c>
      <c r="E33" s="42"/>
      <c r="F33" s="42"/>
      <c r="G33" s="42"/>
    </row>
    <row r="34" spans="1:7" s="1" customFormat="1" ht="14.4" x14ac:dyDescent="0.3">
      <c r="A34" s="288" t="s">
        <v>407</v>
      </c>
      <c r="B34" s="288" t="s">
        <v>411</v>
      </c>
      <c r="C34" s="224">
        <v>0</v>
      </c>
      <c r="D34" s="224">
        <v>0</v>
      </c>
      <c r="E34" s="42"/>
      <c r="F34" s="42"/>
      <c r="G34" s="42"/>
    </row>
    <row r="35" spans="1:7" s="1" customFormat="1" ht="14.4" x14ac:dyDescent="0.3">
      <c r="A35" s="288" t="s">
        <v>408</v>
      </c>
      <c r="B35" s="288" t="s">
        <v>215</v>
      </c>
      <c r="C35" s="224">
        <v>3000</v>
      </c>
      <c r="D35" s="224">
        <v>3000</v>
      </c>
      <c r="E35" s="42"/>
      <c r="F35" s="42"/>
      <c r="G35" s="42"/>
    </row>
    <row r="36" spans="1:7" s="1" customFormat="1" ht="14.4" x14ac:dyDescent="0.3">
      <c r="A36" s="289" t="s">
        <v>216</v>
      </c>
      <c r="B36" s="289" t="s">
        <v>188</v>
      </c>
      <c r="C36" s="225">
        <f>SUM(C28:C35)</f>
        <v>1303000</v>
      </c>
      <c r="D36" s="225">
        <f>SUM(D28:D35)</f>
        <v>1003000</v>
      </c>
      <c r="E36" s="83">
        <f>SUM(E28:E35)</f>
        <v>0</v>
      </c>
      <c r="F36" s="83">
        <f>SUM(F28:F35)</f>
        <v>0</v>
      </c>
      <c r="G36" s="83">
        <f>SUM(G31:G35)</f>
        <v>0</v>
      </c>
    </row>
    <row r="37" spans="1:7" s="1" customFormat="1" ht="14.4" x14ac:dyDescent="0.3">
      <c r="A37" s="38"/>
      <c r="B37" s="39"/>
      <c r="C37" s="234"/>
      <c r="D37" s="234"/>
      <c r="E37" s="43"/>
      <c r="F37" s="43"/>
      <c r="G37" s="43"/>
    </row>
    <row r="38" spans="1:7" s="1" customFormat="1" ht="18" x14ac:dyDescent="0.25">
      <c r="A38" s="191" t="s">
        <v>349</v>
      </c>
      <c r="B38" s="191" t="s">
        <v>350</v>
      </c>
      <c r="C38" s="494" t="s">
        <v>410</v>
      </c>
      <c r="D38" s="495"/>
      <c r="E38" s="495"/>
      <c r="F38" s="495"/>
      <c r="G38" s="496"/>
    </row>
    <row r="39" spans="1:7" s="1" customFormat="1" ht="14.4" x14ac:dyDescent="0.3">
      <c r="A39" s="288" t="s">
        <v>203</v>
      </c>
      <c r="B39" s="288" t="s">
        <v>204</v>
      </c>
      <c r="C39" s="224">
        <v>0</v>
      </c>
      <c r="D39" s="224">
        <v>0</v>
      </c>
      <c r="E39" s="42"/>
      <c r="F39" s="42"/>
      <c r="G39" s="42"/>
    </row>
    <row r="40" spans="1:7" ht="14.4" x14ac:dyDescent="0.3">
      <c r="A40" s="288" t="s">
        <v>205</v>
      </c>
      <c r="B40" s="288" t="s">
        <v>206</v>
      </c>
      <c r="C40" s="224">
        <v>0</v>
      </c>
      <c r="D40" s="224">
        <v>0</v>
      </c>
      <c r="E40" s="42"/>
      <c r="F40" s="42"/>
      <c r="G40" s="42"/>
    </row>
    <row r="41" spans="1:7" ht="14.4" x14ac:dyDescent="0.3">
      <c r="A41" s="288" t="s">
        <v>207</v>
      </c>
      <c r="B41" s="288" t="s">
        <v>208</v>
      </c>
      <c r="C41" s="224">
        <v>0</v>
      </c>
      <c r="D41" s="224">
        <v>0</v>
      </c>
      <c r="E41" s="42"/>
      <c r="F41" s="42"/>
      <c r="G41" s="42"/>
    </row>
    <row r="42" spans="1:7" ht="14.4" x14ac:dyDescent="0.3">
      <c r="A42" s="288" t="s">
        <v>209</v>
      </c>
      <c r="B42" s="288" t="s">
        <v>210</v>
      </c>
      <c r="C42" s="224">
        <v>0</v>
      </c>
      <c r="D42" s="224">
        <v>0</v>
      </c>
      <c r="E42" s="42"/>
      <c r="F42" s="42"/>
      <c r="G42" s="42"/>
    </row>
    <row r="43" spans="1:7" ht="14.4" x14ac:dyDescent="0.3">
      <c r="A43" s="288" t="s">
        <v>211</v>
      </c>
      <c r="B43" s="288" t="s">
        <v>212</v>
      </c>
      <c r="C43" s="224">
        <v>0</v>
      </c>
      <c r="D43" s="224">
        <v>0</v>
      </c>
      <c r="E43" s="42"/>
      <c r="F43" s="42"/>
      <c r="G43" s="42"/>
    </row>
    <row r="44" spans="1:7" ht="14.4" x14ac:dyDescent="0.3">
      <c r="A44" s="288" t="s">
        <v>213</v>
      </c>
      <c r="B44" s="288" t="s">
        <v>214</v>
      </c>
      <c r="C44" s="224">
        <v>0</v>
      </c>
      <c r="D44" s="224">
        <v>0</v>
      </c>
      <c r="E44" s="42"/>
      <c r="F44" s="42"/>
      <c r="G44" s="42"/>
    </row>
    <row r="45" spans="1:7" ht="14.4" x14ac:dyDescent="0.3">
      <c r="A45" s="288" t="s">
        <v>407</v>
      </c>
      <c r="B45" s="288" t="s">
        <v>411</v>
      </c>
      <c r="C45" s="224">
        <v>0</v>
      </c>
      <c r="D45" s="224">
        <v>0</v>
      </c>
      <c r="E45" s="42"/>
      <c r="F45" s="42"/>
      <c r="G45" s="42"/>
    </row>
    <row r="46" spans="1:7" ht="14.4" x14ac:dyDescent="0.3">
      <c r="A46" s="288" t="s">
        <v>408</v>
      </c>
      <c r="B46" s="288" t="s">
        <v>215</v>
      </c>
      <c r="C46" s="224">
        <v>3000</v>
      </c>
      <c r="D46" s="224">
        <v>3000</v>
      </c>
      <c r="E46" s="42"/>
      <c r="F46" s="42"/>
      <c r="G46" s="42"/>
    </row>
    <row r="47" spans="1:7" ht="14.4" x14ac:dyDescent="0.3">
      <c r="A47" s="289" t="s">
        <v>216</v>
      </c>
      <c r="B47" s="289" t="s">
        <v>188</v>
      </c>
      <c r="C47" s="225">
        <f>SUM(C39:C46)</f>
        <v>3000</v>
      </c>
      <c r="D47" s="225">
        <f>SUM(D42:D46)</f>
        <v>3000</v>
      </c>
      <c r="E47" s="83">
        <f>SUM(E42:E46)</f>
        <v>0</v>
      </c>
      <c r="F47" s="83">
        <f>SUM(F42:F46)</f>
        <v>0</v>
      </c>
      <c r="G47" s="83">
        <f>SUM(G42:G46)</f>
        <v>0</v>
      </c>
    </row>
    <row r="48" spans="1:7" s="1" customFormat="1" ht="14.4" x14ac:dyDescent="0.3">
      <c r="A48" s="38"/>
      <c r="B48" s="39"/>
      <c r="C48" s="234"/>
      <c r="D48" s="234"/>
      <c r="E48" s="43"/>
      <c r="F48" s="43"/>
      <c r="G48" s="43"/>
    </row>
    <row r="49" spans="3:7" x14ac:dyDescent="0.25">
      <c r="C49" s="16"/>
      <c r="D49" s="16"/>
      <c r="E49" s="15"/>
      <c r="F49" s="15"/>
      <c r="G49" s="15"/>
    </row>
  </sheetData>
  <mergeCells count="7">
    <mergeCell ref="A1:G1"/>
    <mergeCell ref="A2:G2"/>
    <mergeCell ref="C16:G16"/>
    <mergeCell ref="C38:G38"/>
    <mergeCell ref="C27:G27"/>
    <mergeCell ref="C5:G5"/>
    <mergeCell ref="A4:B4"/>
  </mergeCells>
  <phoneticPr fontId="28" type="noConversion"/>
  <printOptions horizontalCentered="1" verticalCentered="1"/>
  <pageMargins left="0.23622047244094491" right="0.23622047244094491" top="0.59055118110236227" bottom="0.74803149606299213" header="0.31496062992125984" footer="0.31496062992125984"/>
  <pageSetup paperSize="9" scale="74" orientation="landscape" r:id="rId1"/>
  <headerFooter>
    <oddHeader>&amp;R1./b sz. melléklet
Ft-ban</oddHeader>
  </headerFooter>
  <ignoredErrors>
    <ignoredError sqref="D4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2">
    <pageSetUpPr fitToPage="1"/>
  </sheetPr>
  <dimension ref="A1:K84"/>
  <sheetViews>
    <sheetView topLeftCell="B1" zoomScale="90" zoomScaleNormal="90" workbookViewId="0">
      <selection activeCell="I49" sqref="I49"/>
    </sheetView>
  </sheetViews>
  <sheetFormatPr defaultColWidth="9.109375" defaultRowHeight="13.2" x14ac:dyDescent="0.25"/>
  <cols>
    <col min="1" max="1" width="9.109375" style="17"/>
    <col min="2" max="2" width="32.6640625" style="17" customWidth="1"/>
    <col min="3" max="3" width="10.44140625" style="153" customWidth="1"/>
    <col min="4" max="4" width="14.44140625" style="3" bestFit="1" customWidth="1"/>
    <col min="5" max="5" width="1.33203125" style="17" customWidth="1"/>
    <col min="6" max="6" width="35.6640625" style="17" customWidth="1"/>
    <col min="7" max="7" width="10.33203125" style="153" customWidth="1"/>
    <col min="8" max="8" width="14.44140625" style="3" bestFit="1" customWidth="1"/>
    <col min="9" max="9" width="12.21875" style="17" bestFit="1" customWidth="1"/>
    <col min="10" max="10" width="10" style="17" bestFit="1" customWidth="1"/>
    <col min="11" max="11" width="14.88671875" style="405" bestFit="1" customWidth="1"/>
    <col min="12" max="16384" width="9.109375" style="17"/>
  </cols>
  <sheetData>
    <row r="1" spans="1:11" ht="18.600000000000001" thickBot="1" x14ac:dyDescent="0.3">
      <c r="A1" s="538" t="s">
        <v>531</v>
      </c>
      <c r="B1" s="538"/>
      <c r="C1" s="538"/>
      <c r="D1" s="538"/>
      <c r="E1" s="538"/>
      <c r="F1" s="538"/>
      <c r="G1" s="538"/>
      <c r="H1" s="539"/>
    </row>
    <row r="2" spans="1:11" s="240" customFormat="1" ht="18" x14ac:dyDescent="0.25">
      <c r="A2" s="451"/>
      <c r="B2" s="451"/>
      <c r="C2" s="451"/>
      <c r="D2" s="451"/>
      <c r="E2" s="451"/>
      <c r="F2" s="451"/>
      <c r="G2" s="452"/>
      <c r="H2" s="453"/>
      <c r="K2" s="415"/>
    </row>
    <row r="3" spans="1:11" s="1" customFormat="1" ht="18.600000000000001" thickBot="1" x14ac:dyDescent="0.3">
      <c r="A3" s="540" t="s">
        <v>46</v>
      </c>
      <c r="B3" s="540"/>
      <c r="C3" s="540"/>
      <c r="D3" s="541"/>
      <c r="E3" s="454"/>
      <c r="F3" s="542" t="s">
        <v>43</v>
      </c>
      <c r="G3" s="543"/>
      <c r="H3" s="543"/>
      <c r="K3" s="186"/>
    </row>
    <row r="4" spans="1:11" ht="14.4" x14ac:dyDescent="0.3">
      <c r="A4" s="536" t="s">
        <v>543</v>
      </c>
      <c r="B4" s="537"/>
      <c r="C4" s="150" t="s">
        <v>395</v>
      </c>
      <c r="D4" s="377">
        <v>309962</v>
      </c>
      <c r="E4" s="194"/>
      <c r="F4" s="544" t="s">
        <v>382</v>
      </c>
      <c r="G4" s="150" t="s">
        <v>395</v>
      </c>
      <c r="H4" s="217">
        <f>H6/1.27</f>
        <v>244064.56692913384</v>
      </c>
    </row>
    <row r="5" spans="1:11" ht="14.4" x14ac:dyDescent="0.25">
      <c r="A5" s="519"/>
      <c r="B5" s="520"/>
      <c r="C5" s="147"/>
      <c r="D5" s="378"/>
      <c r="E5" s="195"/>
      <c r="F5" s="545"/>
      <c r="G5" s="147" t="s">
        <v>396</v>
      </c>
      <c r="H5" s="373">
        <f>H6-H4</f>
        <v>65897.433070866158</v>
      </c>
    </row>
    <row r="6" spans="1:11" ht="15" thickBot="1" x14ac:dyDescent="0.3">
      <c r="A6" s="243">
        <v>2017</v>
      </c>
      <c r="B6" s="244">
        <v>37233979</v>
      </c>
      <c r="C6" s="148" t="s">
        <v>381</v>
      </c>
      <c r="D6" s="228">
        <f>SUM(D4:D5)</f>
        <v>309962</v>
      </c>
      <c r="E6" s="196"/>
      <c r="F6" s="546"/>
      <c r="G6" s="148" t="s">
        <v>381</v>
      </c>
      <c r="H6" s="220">
        <v>309962</v>
      </c>
    </row>
    <row r="7" spans="1:11" ht="15" customHeight="1" x14ac:dyDescent="0.25">
      <c r="A7" s="536" t="s">
        <v>544</v>
      </c>
      <c r="B7" s="537"/>
      <c r="C7" s="146" t="s">
        <v>395</v>
      </c>
      <c r="D7" s="379">
        <v>376186</v>
      </c>
      <c r="E7" s="194"/>
      <c r="F7" s="544" t="s">
        <v>383</v>
      </c>
      <c r="G7" s="146" t="s">
        <v>395</v>
      </c>
      <c r="H7" s="374">
        <f>H9/1.27</f>
        <v>1744745.6692913387</v>
      </c>
    </row>
    <row r="8" spans="1:11" ht="14.4" x14ac:dyDescent="0.25">
      <c r="A8" s="519"/>
      <c r="B8" s="520"/>
      <c r="C8" s="147"/>
      <c r="D8" s="378"/>
      <c r="E8" s="195"/>
      <c r="F8" s="545"/>
      <c r="G8" s="147" t="s">
        <v>396</v>
      </c>
      <c r="H8" s="373">
        <f>H9-H7</f>
        <v>471081.33070866135</v>
      </c>
      <c r="J8" s="3"/>
    </row>
    <row r="9" spans="1:11" ht="15" thickBot="1" x14ac:dyDescent="0.3">
      <c r="A9" s="243">
        <v>2018</v>
      </c>
      <c r="B9" s="244">
        <v>37242564</v>
      </c>
      <c r="C9" s="148" t="s">
        <v>381</v>
      </c>
      <c r="D9" s="228">
        <f>SUM(D7:D8)</f>
        <v>376186</v>
      </c>
      <c r="E9" s="196"/>
      <c r="F9" s="546"/>
      <c r="G9" s="148" t="s">
        <v>381</v>
      </c>
      <c r="H9" s="220">
        <v>2215827</v>
      </c>
      <c r="J9" s="3"/>
    </row>
    <row r="10" spans="1:11" ht="14.4" customHeight="1" x14ac:dyDescent="0.25">
      <c r="A10" s="536" t="s">
        <v>545</v>
      </c>
      <c r="B10" s="537"/>
      <c r="C10" s="146" t="s">
        <v>395</v>
      </c>
      <c r="D10" s="379">
        <v>0</v>
      </c>
      <c r="E10" s="194"/>
      <c r="F10" s="544" t="s">
        <v>384</v>
      </c>
      <c r="G10" s="146" t="s">
        <v>395</v>
      </c>
      <c r="H10" s="374">
        <f>H12/1.27</f>
        <v>237515.74803149607</v>
      </c>
      <c r="J10" s="3"/>
    </row>
    <row r="11" spans="1:11" ht="14.4" x14ac:dyDescent="0.25">
      <c r="A11" s="519"/>
      <c r="B11" s="520"/>
      <c r="C11" s="147"/>
      <c r="D11" s="378"/>
      <c r="E11" s="195"/>
      <c r="F11" s="545"/>
      <c r="G11" s="147" t="s">
        <v>396</v>
      </c>
      <c r="H11" s="373">
        <f>H12-H10</f>
        <v>64129.25196850393</v>
      </c>
      <c r="J11" s="3"/>
    </row>
    <row r="12" spans="1:11" ht="15" thickBot="1" x14ac:dyDescent="0.3">
      <c r="A12" s="243">
        <v>2018</v>
      </c>
      <c r="B12" s="244">
        <v>30000000</v>
      </c>
      <c r="C12" s="148" t="s">
        <v>381</v>
      </c>
      <c r="D12" s="228">
        <f>SUM(D10:D11)</f>
        <v>0</v>
      </c>
      <c r="E12" s="196"/>
      <c r="F12" s="546"/>
      <c r="G12" s="148" t="s">
        <v>381</v>
      </c>
      <c r="H12" s="220">
        <v>301645</v>
      </c>
    </row>
    <row r="13" spans="1:11" ht="14.4" customHeight="1" x14ac:dyDescent="0.25">
      <c r="A13" s="536" t="s">
        <v>546</v>
      </c>
      <c r="B13" s="537"/>
      <c r="C13" s="146" t="s">
        <v>395</v>
      </c>
      <c r="D13" s="379">
        <v>0</v>
      </c>
      <c r="E13" s="194"/>
      <c r="F13" s="544" t="s">
        <v>447</v>
      </c>
      <c r="G13" s="146" t="s">
        <v>395</v>
      </c>
      <c r="H13" s="374">
        <f t="shared" ref="H13" si="0">H15/1.27</f>
        <v>870537.7952755905</v>
      </c>
    </row>
    <row r="14" spans="1:11" ht="14.4" x14ac:dyDescent="0.25">
      <c r="A14" s="519"/>
      <c r="B14" s="520"/>
      <c r="C14" s="147"/>
      <c r="D14" s="378"/>
      <c r="E14" s="195"/>
      <c r="F14" s="545"/>
      <c r="G14" s="147" t="s">
        <v>396</v>
      </c>
      <c r="H14" s="373">
        <f t="shared" ref="H14" si="1">H15-H13</f>
        <v>235045.2047244095</v>
      </c>
    </row>
    <row r="15" spans="1:11" ht="15" thickBot="1" x14ac:dyDescent="0.3">
      <c r="A15" s="243">
        <v>2019</v>
      </c>
      <c r="B15" s="244">
        <v>22040218</v>
      </c>
      <c r="C15" s="149" t="s">
        <v>381</v>
      </c>
      <c r="D15" s="380">
        <f>SUM(D13:D14)</f>
        <v>0</v>
      </c>
      <c r="E15" s="196"/>
      <c r="F15" s="546"/>
      <c r="G15" s="149" t="s">
        <v>381</v>
      </c>
      <c r="H15" s="220">
        <f>105583+1000000</f>
        <v>1105583</v>
      </c>
    </row>
    <row r="16" spans="1:11" ht="14.4" customHeight="1" x14ac:dyDescent="0.25">
      <c r="A16" s="536" t="s">
        <v>547</v>
      </c>
      <c r="B16" s="537"/>
      <c r="C16" s="146" t="s">
        <v>395</v>
      </c>
      <c r="D16" s="379">
        <v>10965097</v>
      </c>
      <c r="E16" s="194"/>
      <c r="F16" s="544" t="s">
        <v>420</v>
      </c>
      <c r="G16" s="146" t="s">
        <v>395</v>
      </c>
      <c r="H16" s="374">
        <f t="shared" ref="H16" si="2">H18/1.27</f>
        <v>6771653.5433070865</v>
      </c>
    </row>
    <row r="17" spans="1:11" ht="14.4" x14ac:dyDescent="0.25">
      <c r="A17" s="519"/>
      <c r="B17" s="520"/>
      <c r="C17" s="147"/>
      <c r="D17" s="378"/>
      <c r="E17" s="195"/>
      <c r="F17" s="545"/>
      <c r="G17" s="147" t="s">
        <v>396</v>
      </c>
      <c r="H17" s="373">
        <f t="shared" ref="H17" si="3">H18-H16</f>
        <v>1828346.4566929135</v>
      </c>
    </row>
    <row r="18" spans="1:11" ht="15" thickBot="1" x14ac:dyDescent="0.3">
      <c r="A18" s="243">
        <v>2019</v>
      </c>
      <c r="B18" s="244">
        <v>43860387</v>
      </c>
      <c r="C18" s="148" t="s">
        <v>381</v>
      </c>
      <c r="D18" s="228">
        <f>SUM(D16:D17)</f>
        <v>10965097</v>
      </c>
      <c r="E18" s="196"/>
      <c r="F18" s="546"/>
      <c r="G18" s="148" t="s">
        <v>381</v>
      </c>
      <c r="H18" s="220">
        <v>8600000</v>
      </c>
    </row>
    <row r="19" spans="1:11" ht="14.4" customHeight="1" x14ac:dyDescent="0.25">
      <c r="A19" s="536" t="s">
        <v>548</v>
      </c>
      <c r="B19" s="537"/>
      <c r="C19" s="146" t="s">
        <v>395</v>
      </c>
      <c r="D19" s="379">
        <v>42000000</v>
      </c>
      <c r="E19" s="194"/>
      <c r="F19" s="544" t="s">
        <v>451</v>
      </c>
      <c r="G19" s="146" t="s">
        <v>395</v>
      </c>
      <c r="H19" s="374">
        <f t="shared" ref="H19" si="4">H21/1.27</f>
        <v>51786302.362204723</v>
      </c>
      <c r="J19" s="3"/>
    </row>
    <row r="20" spans="1:11" ht="14.4" x14ac:dyDescent="0.25">
      <c r="A20" s="519"/>
      <c r="B20" s="520"/>
      <c r="C20" s="147"/>
      <c r="D20" s="378"/>
      <c r="E20" s="195"/>
      <c r="F20" s="545"/>
      <c r="G20" s="147" t="s">
        <v>396</v>
      </c>
      <c r="H20" s="373">
        <f t="shared" ref="H20" si="5">H21-H19</f>
        <v>13982301.637795277</v>
      </c>
    </row>
    <row r="21" spans="1:11" ht="15" thickBot="1" x14ac:dyDescent="0.3">
      <c r="A21" s="243">
        <v>2019</v>
      </c>
      <c r="B21" s="244">
        <v>48558890</v>
      </c>
      <c r="C21" s="148" t="s">
        <v>381</v>
      </c>
      <c r="D21" s="228">
        <f>D19</f>
        <v>42000000</v>
      </c>
      <c r="E21" s="196"/>
      <c r="F21" s="546"/>
      <c r="G21" s="148" t="s">
        <v>381</v>
      </c>
      <c r="H21" s="220">
        <f>1016000+10090000+1000000+54525604-863000</f>
        <v>65768604</v>
      </c>
    </row>
    <row r="22" spans="1:11" ht="14.4" customHeight="1" x14ac:dyDescent="0.25">
      <c r="A22" s="519" t="s">
        <v>550</v>
      </c>
      <c r="B22" s="520"/>
      <c r="C22" s="150" t="s">
        <v>395</v>
      </c>
      <c r="D22" s="381">
        <v>0</v>
      </c>
      <c r="E22" s="194"/>
      <c r="F22" s="544" t="s">
        <v>496</v>
      </c>
      <c r="G22" s="150" t="s">
        <v>395</v>
      </c>
      <c r="H22" s="374">
        <f>H24/1.27</f>
        <v>23747102.362204723</v>
      </c>
    </row>
    <row r="23" spans="1:11" ht="14.4" x14ac:dyDescent="0.25">
      <c r="A23" s="519"/>
      <c r="B23" s="520"/>
      <c r="C23" s="147"/>
      <c r="D23" s="378">
        <v>0</v>
      </c>
      <c r="E23" s="195"/>
      <c r="F23" s="545"/>
      <c r="G23" s="147" t="s">
        <v>396</v>
      </c>
      <c r="H23" s="373">
        <f>H24-H22</f>
        <v>6411717.6377952769</v>
      </c>
    </row>
    <row r="24" spans="1:11" ht="15" thickBot="1" x14ac:dyDescent="0.3">
      <c r="A24" s="243">
        <v>2019</v>
      </c>
      <c r="B24" s="244">
        <v>29999999</v>
      </c>
      <c r="C24" s="148" t="s">
        <v>381</v>
      </c>
      <c r="D24" s="382">
        <f>SUM(D22:D23)</f>
        <v>0</v>
      </c>
      <c r="E24" s="196"/>
      <c r="F24" s="546"/>
      <c r="G24" s="148" t="s">
        <v>381</v>
      </c>
      <c r="H24" s="220">
        <v>30158820</v>
      </c>
    </row>
    <row r="25" spans="1:11" ht="14.4" customHeight="1" x14ac:dyDescent="0.25">
      <c r="A25" s="519" t="s">
        <v>549</v>
      </c>
      <c r="B25" s="520"/>
      <c r="C25" s="150" t="s">
        <v>395</v>
      </c>
      <c r="D25" s="381">
        <v>0</v>
      </c>
      <c r="E25" s="194"/>
      <c r="F25" s="544" t="s">
        <v>498</v>
      </c>
      <c r="G25" s="150" t="s">
        <v>395</v>
      </c>
      <c r="H25" s="374">
        <f>H27/1.27</f>
        <v>11181102.362204725</v>
      </c>
    </row>
    <row r="26" spans="1:11" ht="14.4" x14ac:dyDescent="0.25">
      <c r="A26" s="519"/>
      <c r="B26" s="520"/>
      <c r="C26" s="147"/>
      <c r="D26" s="381">
        <v>0</v>
      </c>
      <c r="E26" s="195"/>
      <c r="F26" s="545"/>
      <c r="G26" s="147" t="s">
        <v>396</v>
      </c>
      <c r="H26" s="373">
        <f>H27-H25</f>
        <v>3018897.6377952751</v>
      </c>
    </row>
    <row r="27" spans="1:11" ht="15" thickBot="1" x14ac:dyDescent="0.3">
      <c r="A27" s="243">
        <v>2019</v>
      </c>
      <c r="B27" s="244">
        <v>11914981</v>
      </c>
      <c r="C27" s="148" t="s">
        <v>381</v>
      </c>
      <c r="D27" s="228">
        <f>SUM(D25:D26)</f>
        <v>0</v>
      </c>
      <c r="E27" s="196"/>
      <c r="F27" s="546"/>
      <c r="G27" s="148" t="s">
        <v>381</v>
      </c>
      <c r="H27" s="220">
        <v>14200000</v>
      </c>
    </row>
    <row r="28" spans="1:11" ht="14.4" customHeight="1" x14ac:dyDescent="0.25">
      <c r="A28" s="519" t="s">
        <v>482</v>
      </c>
      <c r="B28" s="520"/>
      <c r="C28" s="150" t="s">
        <v>395</v>
      </c>
      <c r="D28" s="377">
        <v>0</v>
      </c>
      <c r="E28" s="194"/>
      <c r="F28" s="544" t="s">
        <v>482</v>
      </c>
      <c r="G28" s="150" t="s">
        <v>395</v>
      </c>
      <c r="H28" s="374">
        <f t="shared" ref="H28:H34" si="6">H30/1.27</f>
        <v>4826299.2125984253</v>
      </c>
    </row>
    <row r="29" spans="1:11" ht="14.4" x14ac:dyDescent="0.25">
      <c r="A29" s="519"/>
      <c r="B29" s="520"/>
      <c r="C29" s="147"/>
      <c r="D29" s="378">
        <v>0</v>
      </c>
      <c r="E29" s="195"/>
      <c r="F29" s="545"/>
      <c r="G29" s="147" t="s">
        <v>396</v>
      </c>
      <c r="H29" s="373">
        <f t="shared" ref="H29:H35" si="7">H30-H28</f>
        <v>1303100.7874015747</v>
      </c>
    </row>
    <row r="30" spans="1:11" s="170" customFormat="1" ht="15" thickBot="1" x14ac:dyDescent="0.3">
      <c r="A30" s="243">
        <v>2019</v>
      </c>
      <c r="B30" s="244" t="s">
        <v>533</v>
      </c>
      <c r="C30" s="169" t="s">
        <v>381</v>
      </c>
      <c r="D30" s="228">
        <f>SUM(D28:D29)</f>
        <v>0</v>
      </c>
      <c r="E30" s="197"/>
      <c r="F30" s="546"/>
      <c r="G30" s="169" t="s">
        <v>381</v>
      </c>
      <c r="H30" s="220">
        <v>6129400</v>
      </c>
      <c r="K30" s="416"/>
    </row>
    <row r="31" spans="1:11" ht="14.4" customHeight="1" x14ac:dyDescent="0.25">
      <c r="A31" s="519" t="s">
        <v>479</v>
      </c>
      <c r="B31" s="520"/>
      <c r="C31" s="150" t="s">
        <v>395</v>
      </c>
      <c r="D31" s="377">
        <v>22473501</v>
      </c>
      <c r="E31" s="194"/>
      <c r="F31" s="544" t="s">
        <v>479</v>
      </c>
      <c r="G31" s="150" t="s">
        <v>395</v>
      </c>
      <c r="H31" s="374">
        <f t="shared" si="6"/>
        <v>15592125.984251969</v>
      </c>
      <c r="I31" s="16"/>
    </row>
    <row r="32" spans="1:11" ht="14.4" x14ac:dyDescent="0.25">
      <c r="A32" s="519"/>
      <c r="B32" s="520"/>
      <c r="C32" s="147"/>
      <c r="D32" s="378"/>
      <c r="E32" s="195"/>
      <c r="F32" s="545"/>
      <c r="G32" s="147" t="s">
        <v>396</v>
      </c>
      <c r="H32" s="373">
        <f t="shared" si="7"/>
        <v>4209874.0157480314</v>
      </c>
    </row>
    <row r="33" spans="1:11" ht="15" thickBot="1" x14ac:dyDescent="0.3">
      <c r="A33" s="243" t="s">
        <v>443</v>
      </c>
      <c r="B33" s="244">
        <v>22473501</v>
      </c>
      <c r="C33" s="148" t="s">
        <v>381</v>
      </c>
      <c r="D33" s="228">
        <f>SUM(D31:D32)</f>
        <v>22473501</v>
      </c>
      <c r="E33" s="196"/>
      <c r="F33" s="546"/>
      <c r="G33" s="148" t="s">
        <v>381</v>
      </c>
      <c r="H33" s="220">
        <v>19802000</v>
      </c>
    </row>
    <row r="34" spans="1:11" ht="14.4" customHeight="1" x14ac:dyDescent="0.25">
      <c r="A34" s="519" t="s">
        <v>532</v>
      </c>
      <c r="B34" s="520"/>
      <c r="C34" s="150" t="s">
        <v>395</v>
      </c>
      <c r="D34" s="377">
        <v>5204804</v>
      </c>
      <c r="E34" s="194"/>
      <c r="F34" s="544" t="s">
        <v>483</v>
      </c>
      <c r="G34" s="150" t="s">
        <v>395</v>
      </c>
      <c r="H34" s="374">
        <f t="shared" si="6"/>
        <v>0</v>
      </c>
    </row>
    <row r="35" spans="1:11" ht="14.4" x14ac:dyDescent="0.25">
      <c r="A35" s="519"/>
      <c r="B35" s="520"/>
      <c r="C35" s="147"/>
      <c r="D35" s="378">
        <v>0</v>
      </c>
      <c r="E35" s="195"/>
      <c r="F35" s="545"/>
      <c r="G35" s="147" t="s">
        <v>396</v>
      </c>
      <c r="H35" s="373">
        <f t="shared" si="7"/>
        <v>0</v>
      </c>
    </row>
    <row r="36" spans="1:11" ht="15" thickBot="1" x14ac:dyDescent="0.3">
      <c r="A36" s="243">
        <v>2020</v>
      </c>
      <c r="B36" s="244">
        <v>5204804</v>
      </c>
      <c r="C36" s="148" t="s">
        <v>381</v>
      </c>
      <c r="D36" s="228">
        <f>D34</f>
        <v>5204804</v>
      </c>
      <c r="E36" s="196"/>
      <c r="F36" s="546"/>
      <c r="G36" s="148" t="s">
        <v>381</v>
      </c>
      <c r="H36" s="220">
        <v>0</v>
      </c>
    </row>
    <row r="37" spans="1:11" ht="14.4" x14ac:dyDescent="0.25">
      <c r="A37" s="519" t="s">
        <v>497</v>
      </c>
      <c r="B37" s="520"/>
      <c r="C37" s="150" t="s">
        <v>395</v>
      </c>
      <c r="D37" s="377">
        <v>4993767</v>
      </c>
      <c r="E37" s="194"/>
      <c r="F37" s="544" t="s">
        <v>478</v>
      </c>
      <c r="G37" s="150" t="s">
        <v>395</v>
      </c>
      <c r="H37" s="375">
        <v>3932092</v>
      </c>
    </row>
    <row r="38" spans="1:11" s="1" customFormat="1" ht="14.4" x14ac:dyDescent="0.25">
      <c r="A38" s="519"/>
      <c r="B38" s="520"/>
      <c r="C38" s="147"/>
      <c r="D38" s="378">
        <v>0</v>
      </c>
      <c r="E38" s="195"/>
      <c r="F38" s="545"/>
      <c r="G38" s="147" t="s">
        <v>396</v>
      </c>
      <c r="H38" s="376">
        <v>1061675</v>
      </c>
      <c r="K38" s="186"/>
    </row>
    <row r="39" spans="1:11" s="18" customFormat="1" ht="14.4" customHeight="1" thickBot="1" x14ac:dyDescent="0.3">
      <c r="A39" s="243">
        <v>2020</v>
      </c>
      <c r="B39" s="244">
        <v>4993767</v>
      </c>
      <c r="C39" s="148" t="s">
        <v>381</v>
      </c>
      <c r="D39" s="228">
        <f>SUM(D37:D38)</f>
        <v>4993767</v>
      </c>
      <c r="E39" s="196"/>
      <c r="F39" s="546"/>
      <c r="G39" s="148" t="s">
        <v>381</v>
      </c>
      <c r="H39" s="220">
        <f>SUM(H37:H38)</f>
        <v>4993767</v>
      </c>
      <c r="K39" s="417"/>
    </row>
    <row r="40" spans="1:11" ht="14.4" x14ac:dyDescent="0.25">
      <c r="A40" s="519" t="s">
        <v>536</v>
      </c>
      <c r="B40" s="520"/>
      <c r="C40" s="146" t="s">
        <v>395</v>
      </c>
      <c r="D40" s="379">
        <v>7745820</v>
      </c>
      <c r="E40" s="194"/>
      <c r="F40" s="544" t="s">
        <v>536</v>
      </c>
      <c r="G40" s="150" t="s">
        <v>395</v>
      </c>
      <c r="H40" s="375">
        <f>H42/1.27</f>
        <v>6420074.8031496061</v>
      </c>
    </row>
    <row r="41" spans="1:11" s="1" customFormat="1" ht="14.4" customHeight="1" x14ac:dyDescent="0.25">
      <c r="A41" s="519"/>
      <c r="B41" s="520"/>
      <c r="C41" s="147"/>
      <c r="D41" s="378"/>
      <c r="E41" s="195"/>
      <c r="F41" s="545"/>
      <c r="G41" s="147" t="s">
        <v>396</v>
      </c>
      <c r="H41" s="376">
        <f>H42-H40</f>
        <v>1733420.1968503939</v>
      </c>
      <c r="K41" s="186"/>
    </row>
    <row r="42" spans="1:11" s="18" customFormat="1" ht="15" thickBot="1" x14ac:dyDescent="0.3">
      <c r="A42" s="243" t="s">
        <v>443</v>
      </c>
      <c r="B42" s="244">
        <v>3872910</v>
      </c>
      <c r="C42" s="148" t="s">
        <v>381</v>
      </c>
      <c r="D42" s="228">
        <v>7745820</v>
      </c>
      <c r="E42" s="196"/>
      <c r="F42" s="546"/>
      <c r="G42" s="148" t="s">
        <v>381</v>
      </c>
      <c r="H42" s="220">
        <v>8153495</v>
      </c>
      <c r="K42" s="417"/>
    </row>
    <row r="43" spans="1:11" ht="14.4" x14ac:dyDescent="0.25">
      <c r="A43" s="519" t="s">
        <v>554</v>
      </c>
      <c r="B43" s="520"/>
      <c r="C43" s="146" t="s">
        <v>395</v>
      </c>
      <c r="D43" s="379">
        <v>30000000</v>
      </c>
      <c r="E43" s="194"/>
      <c r="F43" s="544" t="s">
        <v>554</v>
      </c>
      <c r="G43" s="150" t="s">
        <v>395</v>
      </c>
      <c r="H43" s="375">
        <f>H45/1.27</f>
        <v>17322834.645669293</v>
      </c>
    </row>
    <row r="44" spans="1:11" s="1" customFormat="1" ht="14.4" customHeight="1" x14ac:dyDescent="0.25">
      <c r="A44" s="519"/>
      <c r="B44" s="520"/>
      <c r="C44" s="147"/>
      <c r="D44" s="378"/>
      <c r="E44" s="195"/>
      <c r="F44" s="545"/>
      <c r="G44" s="147" t="s">
        <v>396</v>
      </c>
      <c r="H44" s="376">
        <f>H45-H43</f>
        <v>4677165.3543307073</v>
      </c>
      <c r="K44" s="186"/>
    </row>
    <row r="45" spans="1:11" s="18" customFormat="1" ht="15" thickBot="1" x14ac:dyDescent="0.3">
      <c r="A45" s="243" t="s">
        <v>443</v>
      </c>
      <c r="B45" s="244">
        <v>0</v>
      </c>
      <c r="C45" s="148" t="s">
        <v>381</v>
      </c>
      <c r="D45" s="228">
        <f>SUM(D43:D44)</f>
        <v>30000000</v>
      </c>
      <c r="E45" s="196"/>
      <c r="F45" s="546"/>
      <c r="G45" s="148" t="s">
        <v>381</v>
      </c>
      <c r="H45" s="220">
        <v>22000000</v>
      </c>
      <c r="K45" s="417"/>
    </row>
    <row r="46" spans="1:11" ht="14.4" x14ac:dyDescent="0.25">
      <c r="A46" s="79"/>
      <c r="B46" s="80"/>
      <c r="C46" s="151"/>
      <c r="D46" s="227"/>
      <c r="E46" s="81"/>
      <c r="F46" s="80"/>
      <c r="G46" s="151"/>
      <c r="H46" s="216"/>
    </row>
    <row r="47" spans="1:11" s="1" customFormat="1" ht="14.4" x14ac:dyDescent="0.3">
      <c r="A47" s="521" t="s">
        <v>1</v>
      </c>
      <c r="B47" s="521"/>
      <c r="C47" s="522"/>
      <c r="D47" s="222">
        <f>+D9+D15+D21+D18+D12+D6+D30+D33+D36+D24+D27+D39+D42+D45</f>
        <v>124069137</v>
      </c>
      <c r="E47" s="144"/>
      <c r="F47" s="555" t="s">
        <v>385</v>
      </c>
      <c r="G47" s="556"/>
      <c r="H47" s="222">
        <f>H9+H15+H21+H18+H12+H6+H30+H33+H55+H24+H27+H39+H42+H45</f>
        <v>183739103</v>
      </c>
      <c r="K47" s="186"/>
    </row>
    <row r="48" spans="1:11" ht="14.4" customHeight="1" x14ac:dyDescent="0.25">
      <c r="A48" s="303"/>
      <c r="B48" s="229"/>
      <c r="C48" s="152"/>
      <c r="D48" s="229"/>
      <c r="E48" s="75"/>
      <c r="F48" s="74"/>
      <c r="G48" s="152"/>
      <c r="H48" s="223"/>
    </row>
    <row r="49" spans="1:11" ht="16.2" thickBot="1" x14ac:dyDescent="0.3">
      <c r="A49" s="533" t="s">
        <v>47</v>
      </c>
      <c r="B49" s="533"/>
      <c r="C49" s="533"/>
      <c r="D49" s="534"/>
      <c r="E49" s="295"/>
      <c r="F49" s="553" t="s">
        <v>44</v>
      </c>
      <c r="G49" s="553"/>
      <c r="H49" s="554"/>
    </row>
    <row r="50" spans="1:11" ht="14.4" customHeight="1" x14ac:dyDescent="0.3">
      <c r="A50" s="525"/>
      <c r="B50" s="526"/>
      <c r="C50" s="147" t="s">
        <v>395</v>
      </c>
      <c r="D50" s="224"/>
      <c r="E50" s="145"/>
      <c r="F50" s="545" t="s">
        <v>446</v>
      </c>
      <c r="G50" s="147" t="s">
        <v>395</v>
      </c>
      <c r="H50" s="224">
        <v>0</v>
      </c>
    </row>
    <row r="51" spans="1:11" ht="14.4" x14ac:dyDescent="0.3">
      <c r="A51" s="527"/>
      <c r="B51" s="528"/>
      <c r="C51" s="147"/>
      <c r="D51" s="224"/>
      <c r="E51" s="77"/>
      <c r="F51" s="545"/>
      <c r="G51" s="147" t="s">
        <v>396</v>
      </c>
      <c r="H51" s="224">
        <v>0</v>
      </c>
    </row>
    <row r="52" spans="1:11" ht="15" thickBot="1" x14ac:dyDescent="0.35">
      <c r="A52" s="529"/>
      <c r="B52" s="530"/>
      <c r="C52" s="148" t="s">
        <v>381</v>
      </c>
      <c r="D52" s="219">
        <f>SUM(D50:D51)</f>
        <v>0</v>
      </c>
      <c r="E52" s="78"/>
      <c r="F52" s="546"/>
      <c r="G52" s="148" t="s">
        <v>381</v>
      </c>
      <c r="H52" s="219">
        <f>SUM(H50:H51)</f>
        <v>0</v>
      </c>
    </row>
    <row r="53" spans="1:11" ht="14.4" customHeight="1" x14ac:dyDescent="0.3">
      <c r="A53" s="525"/>
      <c r="B53" s="526"/>
      <c r="C53" s="147" t="s">
        <v>395</v>
      </c>
      <c r="D53" s="224"/>
      <c r="E53" s="76"/>
      <c r="F53" s="544" t="s">
        <v>493</v>
      </c>
      <c r="G53" s="150" t="s">
        <v>395</v>
      </c>
      <c r="H53" s="221"/>
    </row>
    <row r="54" spans="1:11" ht="14.4" x14ac:dyDescent="0.3">
      <c r="A54" s="527"/>
      <c r="B54" s="528"/>
      <c r="C54" s="147"/>
      <c r="D54" s="224"/>
      <c r="E54" s="77"/>
      <c r="F54" s="545"/>
      <c r="G54" s="147" t="s">
        <v>396</v>
      </c>
      <c r="H54" s="218"/>
    </row>
    <row r="55" spans="1:11" ht="15" thickBot="1" x14ac:dyDescent="0.35">
      <c r="A55" s="529"/>
      <c r="B55" s="530"/>
      <c r="C55" s="148" t="s">
        <v>381</v>
      </c>
      <c r="D55" s="219">
        <f>SUM(D53:D54)</f>
        <v>0</v>
      </c>
      <c r="E55" s="78"/>
      <c r="F55" s="546"/>
      <c r="G55" s="148" t="s">
        <v>381</v>
      </c>
      <c r="H55" s="219">
        <f>H53+H54</f>
        <v>0</v>
      </c>
    </row>
    <row r="56" spans="1:11" ht="14.4" customHeight="1" x14ac:dyDescent="0.3">
      <c r="A56" s="525"/>
      <c r="B56" s="526"/>
      <c r="C56" s="147" t="s">
        <v>395</v>
      </c>
      <c r="D56" s="224"/>
      <c r="E56" s="76"/>
      <c r="F56" s="544" t="s">
        <v>452</v>
      </c>
      <c r="G56" s="150" t="s">
        <v>395</v>
      </c>
      <c r="H56" s="221">
        <v>540000</v>
      </c>
    </row>
    <row r="57" spans="1:11" ht="14.4" x14ac:dyDescent="0.3">
      <c r="A57" s="527"/>
      <c r="B57" s="528"/>
      <c r="C57" s="147"/>
      <c r="D57" s="224"/>
      <c r="E57" s="77"/>
      <c r="F57" s="545"/>
      <c r="G57" s="147" t="s">
        <v>396</v>
      </c>
      <c r="H57" s="218">
        <v>0</v>
      </c>
    </row>
    <row r="58" spans="1:11" ht="15" thickBot="1" x14ac:dyDescent="0.35">
      <c r="A58" s="529"/>
      <c r="B58" s="530"/>
      <c r="C58" s="148" t="s">
        <v>381</v>
      </c>
      <c r="D58" s="219">
        <f>SUM(D56:D57)</f>
        <v>0</v>
      </c>
      <c r="E58" s="78"/>
      <c r="F58" s="546"/>
      <c r="G58" s="148" t="s">
        <v>381</v>
      </c>
      <c r="H58" s="219">
        <f>SUM(H56:H57)</f>
        <v>540000</v>
      </c>
    </row>
    <row r="59" spans="1:11" ht="14.4" customHeight="1" x14ac:dyDescent="0.3">
      <c r="A59" s="525"/>
      <c r="B59" s="526"/>
      <c r="C59" s="147" t="s">
        <v>395</v>
      </c>
      <c r="D59" s="224"/>
      <c r="E59" s="76"/>
      <c r="F59" s="544" t="s">
        <v>397</v>
      </c>
      <c r="G59" s="150" t="s">
        <v>395</v>
      </c>
      <c r="H59" s="221">
        <v>500000</v>
      </c>
    </row>
    <row r="60" spans="1:11" ht="14.4" x14ac:dyDescent="0.3">
      <c r="A60" s="527"/>
      <c r="B60" s="528"/>
      <c r="C60" s="147"/>
      <c r="D60" s="224"/>
      <c r="E60" s="77"/>
      <c r="F60" s="545"/>
      <c r="G60" s="147" t="s">
        <v>396</v>
      </c>
      <c r="H60" s="218">
        <v>0</v>
      </c>
    </row>
    <row r="61" spans="1:11" ht="15" thickBot="1" x14ac:dyDescent="0.35">
      <c r="A61" s="529"/>
      <c r="B61" s="530"/>
      <c r="C61" s="148" t="s">
        <v>381</v>
      </c>
      <c r="D61" s="219">
        <f>SUM(D59:D60)</f>
        <v>0</v>
      </c>
      <c r="E61" s="78"/>
      <c r="F61" s="546"/>
      <c r="G61" s="148" t="s">
        <v>381</v>
      </c>
      <c r="H61" s="219">
        <f>SUM(H59:H60)</f>
        <v>500000</v>
      </c>
    </row>
    <row r="62" spans="1:11" ht="14.4" x14ac:dyDescent="0.3">
      <c r="A62" s="525"/>
      <c r="B62" s="526"/>
      <c r="C62" s="147" t="s">
        <v>395</v>
      </c>
      <c r="D62" s="224"/>
      <c r="E62" s="76"/>
      <c r="F62" s="544" t="s">
        <v>480</v>
      </c>
      <c r="G62" s="150" t="s">
        <v>395</v>
      </c>
      <c r="H62" s="221">
        <f>H64/1.27</f>
        <v>2016050.3937007873</v>
      </c>
    </row>
    <row r="63" spans="1:11" s="1" customFormat="1" ht="14.4" x14ac:dyDescent="0.3">
      <c r="A63" s="527"/>
      <c r="B63" s="528"/>
      <c r="C63" s="147"/>
      <c r="D63" s="224"/>
      <c r="E63" s="77"/>
      <c r="F63" s="545"/>
      <c r="G63" s="147" t="s">
        <v>396</v>
      </c>
      <c r="H63" s="218">
        <f>H64-H62</f>
        <v>544333.60629921267</v>
      </c>
      <c r="K63" s="186"/>
    </row>
    <row r="64" spans="1:11" ht="15" thickBot="1" x14ac:dyDescent="0.35">
      <c r="A64" s="529"/>
      <c r="B64" s="530"/>
      <c r="C64" s="148" t="s">
        <v>381</v>
      </c>
      <c r="D64" s="219">
        <f>SUM(D62:D63)</f>
        <v>0</v>
      </c>
      <c r="E64" s="78"/>
      <c r="F64" s="546"/>
      <c r="G64" s="148" t="s">
        <v>381</v>
      </c>
      <c r="H64" s="219">
        <f>4307212-1746828</f>
        <v>2560384</v>
      </c>
    </row>
    <row r="65" spans="1:11" ht="14.4" x14ac:dyDescent="0.25">
      <c r="A65" s="79"/>
      <c r="B65" s="80"/>
      <c r="C65" s="151"/>
      <c r="D65" s="227"/>
      <c r="E65" s="81"/>
      <c r="F65" s="80"/>
      <c r="G65" s="151"/>
      <c r="H65" s="216"/>
    </row>
    <row r="66" spans="1:11" s="2" customFormat="1" ht="15.6" x14ac:dyDescent="0.3">
      <c r="A66" s="531" t="s">
        <v>1</v>
      </c>
      <c r="B66" s="531"/>
      <c r="C66" s="532"/>
      <c r="D66" s="222">
        <f>D52+D55+D58+D61+D64</f>
        <v>0</v>
      </c>
      <c r="E66" s="144"/>
      <c r="F66" s="551" t="s">
        <v>386</v>
      </c>
      <c r="G66" s="551"/>
      <c r="H66" s="222">
        <f>H52+H58+H61+H64+H36</f>
        <v>3600384</v>
      </c>
      <c r="K66" s="418"/>
    </row>
    <row r="67" spans="1:11" s="20" customFormat="1" ht="15.6" x14ac:dyDescent="0.3">
      <c r="A67" s="152"/>
      <c r="B67" s="152"/>
      <c r="C67" s="152"/>
      <c r="D67" s="229"/>
      <c r="E67" s="143"/>
      <c r="F67" s="74"/>
      <c r="G67" s="152"/>
      <c r="H67" s="223"/>
      <c r="K67" s="419"/>
    </row>
    <row r="68" spans="1:11" s="20" customFormat="1" ht="15.6" x14ac:dyDescent="0.3">
      <c r="A68" s="523" t="s">
        <v>280</v>
      </c>
      <c r="B68" s="523"/>
      <c r="C68" s="523"/>
      <c r="D68" s="524"/>
      <c r="E68" s="144"/>
      <c r="F68" s="552" t="s">
        <v>280</v>
      </c>
      <c r="G68" s="553"/>
      <c r="H68" s="554"/>
      <c r="K68" s="419"/>
    </row>
    <row r="69" spans="1:11" s="20" customFormat="1" ht="15.6" x14ac:dyDescent="0.3">
      <c r="A69" s="511" t="s">
        <v>503</v>
      </c>
      <c r="B69" s="512"/>
      <c r="C69" s="513"/>
      <c r="D69" s="230">
        <f>D25</f>
        <v>0</v>
      </c>
      <c r="E69" s="143"/>
      <c r="F69" s="550" t="s">
        <v>511</v>
      </c>
      <c r="G69" s="548"/>
      <c r="H69" s="232">
        <v>0</v>
      </c>
      <c r="K69" s="419"/>
    </row>
    <row r="70" spans="1:11" ht="14.4" customHeight="1" x14ac:dyDescent="0.3">
      <c r="A70" s="535" t="s">
        <v>501</v>
      </c>
      <c r="B70" s="512"/>
      <c r="C70" s="513"/>
      <c r="D70" s="230">
        <f>D71+D21+D28+D24+D29</f>
        <v>88856049</v>
      </c>
      <c r="E70" s="73"/>
      <c r="F70" s="550" t="s">
        <v>512</v>
      </c>
      <c r="G70" s="548"/>
      <c r="H70" s="232">
        <f>H52</f>
        <v>0</v>
      </c>
    </row>
    <row r="71" spans="1:11" ht="15.6" customHeight="1" x14ac:dyDescent="0.3">
      <c r="A71" s="514" t="s">
        <v>499</v>
      </c>
      <c r="B71" s="515"/>
      <c r="C71" s="516"/>
      <c r="D71" s="231">
        <f>+D9+D18+D12+D6+D15+D36+D45</f>
        <v>46856049</v>
      </c>
      <c r="E71" s="73"/>
      <c r="F71" s="548" t="s">
        <v>401</v>
      </c>
      <c r="G71" s="548"/>
      <c r="H71" s="232">
        <f>H56+H34</f>
        <v>540000</v>
      </c>
    </row>
    <row r="72" spans="1:11" ht="16.2" customHeight="1" x14ac:dyDescent="0.3">
      <c r="A72" s="508" t="s">
        <v>530</v>
      </c>
      <c r="B72" s="509"/>
      <c r="C72" s="510"/>
      <c r="D72" s="225">
        <f>SUM(D69:D70)</f>
        <v>88856049</v>
      </c>
      <c r="E72" s="73"/>
      <c r="F72" s="548" t="s">
        <v>327</v>
      </c>
      <c r="G72" s="548"/>
      <c r="H72" s="232">
        <f>H62+H28+H59</f>
        <v>7342349.6062992122</v>
      </c>
    </row>
    <row r="73" spans="1:11" s="1" customFormat="1" ht="14.4" x14ac:dyDescent="0.3">
      <c r="A73" s="511"/>
      <c r="B73" s="512"/>
      <c r="C73" s="513"/>
      <c r="D73" s="230"/>
      <c r="E73" s="73"/>
      <c r="F73" s="548" t="s">
        <v>494</v>
      </c>
      <c r="G73" s="548"/>
      <c r="H73" s="232">
        <f>H57+H63+H35+H29</f>
        <v>1847434.3937007873</v>
      </c>
      <c r="K73" s="186"/>
    </row>
    <row r="74" spans="1:11" ht="14.4" x14ac:dyDescent="0.3">
      <c r="A74" s="511"/>
      <c r="B74" s="512"/>
      <c r="C74" s="513"/>
      <c r="D74" s="230"/>
      <c r="E74" s="73"/>
      <c r="F74" s="549" t="s">
        <v>528</v>
      </c>
      <c r="G74" s="549"/>
      <c r="H74" s="225">
        <f>SUM(H69:H73)</f>
        <v>9729784</v>
      </c>
    </row>
    <row r="75" spans="1:11" ht="14.4" customHeight="1" x14ac:dyDescent="0.3">
      <c r="A75" s="517" t="s">
        <v>502</v>
      </c>
      <c r="B75" s="517"/>
      <c r="C75" s="518"/>
      <c r="D75" s="230">
        <f>D33+D39+D42</f>
        <v>35213088</v>
      </c>
      <c r="E75" s="73"/>
      <c r="F75" s="548" t="s">
        <v>313</v>
      </c>
      <c r="G75" s="548"/>
      <c r="H75" s="232">
        <f>H7+H13+H19+H16+H10+H4+H31+H22+H25+H37+H40+H43</f>
        <v>139850151.8425197</v>
      </c>
    </row>
    <row r="76" spans="1:11" ht="14.4" customHeight="1" x14ac:dyDescent="0.3">
      <c r="A76" s="508" t="s">
        <v>529</v>
      </c>
      <c r="B76" s="509"/>
      <c r="C76" s="510"/>
      <c r="D76" s="225">
        <f>SUM(D75)</f>
        <v>35213088</v>
      </c>
      <c r="E76" s="143"/>
      <c r="F76" s="548" t="s">
        <v>495</v>
      </c>
      <c r="G76" s="548"/>
      <c r="H76" s="232">
        <f>H53</f>
        <v>0</v>
      </c>
    </row>
    <row r="77" spans="1:11" ht="14.4" x14ac:dyDescent="0.3">
      <c r="A77" s="502"/>
      <c r="B77" s="503"/>
      <c r="C77" s="504"/>
      <c r="D77" s="235"/>
      <c r="E77" s="143"/>
      <c r="F77" s="548" t="s">
        <v>500</v>
      </c>
      <c r="G77" s="548"/>
      <c r="H77" s="232">
        <f>H8+H14+H20+H17+H11+H5+H32+H54+H23+H26+H38+H41+H44</f>
        <v>37759551.157480314</v>
      </c>
    </row>
    <row r="78" spans="1:11" ht="14.4" x14ac:dyDescent="0.3">
      <c r="A78" s="502"/>
      <c r="B78" s="503"/>
      <c r="C78" s="504"/>
      <c r="D78" s="235"/>
      <c r="E78" s="73"/>
      <c r="F78" s="549" t="s">
        <v>385</v>
      </c>
      <c r="G78" s="549"/>
      <c r="H78" s="225">
        <f>SUM(H75:H77)</f>
        <v>177609703</v>
      </c>
    </row>
    <row r="79" spans="1:11" ht="14.4" x14ac:dyDescent="0.3">
      <c r="A79" s="505" t="s">
        <v>481</v>
      </c>
      <c r="B79" s="506"/>
      <c r="C79" s="507"/>
      <c r="D79" s="236">
        <f>D72+D76</f>
        <v>124069137</v>
      </c>
      <c r="E79" s="143"/>
      <c r="F79" s="547" t="s">
        <v>387</v>
      </c>
      <c r="G79" s="547"/>
      <c r="H79" s="226">
        <f>H74+H78</f>
        <v>187339487</v>
      </c>
    </row>
    <row r="80" spans="1:11" x14ac:dyDescent="0.25">
      <c r="C80" s="153" t="s">
        <v>492</v>
      </c>
      <c r="D80" s="16">
        <f>D47-D79</f>
        <v>0</v>
      </c>
      <c r="G80" s="153" t="s">
        <v>492</v>
      </c>
      <c r="H80" s="16">
        <f>(H47+H66)-H79</f>
        <v>0</v>
      </c>
    </row>
    <row r="84" spans="6:6" x14ac:dyDescent="0.25">
      <c r="F84" s="19"/>
    </row>
  </sheetData>
  <mergeCells count="71">
    <mergeCell ref="A43:B44"/>
    <mergeCell ref="F43:F45"/>
    <mergeCell ref="F19:F21"/>
    <mergeCell ref="F28:F30"/>
    <mergeCell ref="F31:F33"/>
    <mergeCell ref="F34:F36"/>
    <mergeCell ref="A19:B20"/>
    <mergeCell ref="A31:B32"/>
    <mergeCell ref="A28:B29"/>
    <mergeCell ref="A25:B26"/>
    <mergeCell ref="A22:B23"/>
    <mergeCell ref="F59:F61"/>
    <mergeCell ref="F37:F39"/>
    <mergeCell ref="F22:F24"/>
    <mergeCell ref="F25:F27"/>
    <mergeCell ref="F53:F55"/>
    <mergeCell ref="F56:F58"/>
    <mergeCell ref="F49:H49"/>
    <mergeCell ref="F47:G47"/>
    <mergeCell ref="F50:F52"/>
    <mergeCell ref="F40:F42"/>
    <mergeCell ref="A50:B52"/>
    <mergeCell ref="F79:G79"/>
    <mergeCell ref="F76:G76"/>
    <mergeCell ref="F74:G74"/>
    <mergeCell ref="F78:G78"/>
    <mergeCell ref="F72:G72"/>
    <mergeCell ref="F73:G73"/>
    <mergeCell ref="F69:G69"/>
    <mergeCell ref="F75:G75"/>
    <mergeCell ref="F77:G77"/>
    <mergeCell ref="F66:G66"/>
    <mergeCell ref="F68:H68"/>
    <mergeCell ref="F62:F64"/>
    <mergeCell ref="F70:G70"/>
    <mergeCell ref="F71:G71"/>
    <mergeCell ref="A53:B55"/>
    <mergeCell ref="A4:B5"/>
    <mergeCell ref="A7:B8"/>
    <mergeCell ref="A13:B14"/>
    <mergeCell ref="A16:B17"/>
    <mergeCell ref="A1:H1"/>
    <mergeCell ref="A10:B11"/>
    <mergeCell ref="A3:D3"/>
    <mergeCell ref="F3:H3"/>
    <mergeCell ref="F16:F18"/>
    <mergeCell ref="F4:F6"/>
    <mergeCell ref="F7:F9"/>
    <mergeCell ref="F13:F15"/>
    <mergeCell ref="F10:F12"/>
    <mergeCell ref="A71:C71"/>
    <mergeCell ref="A72:C72"/>
    <mergeCell ref="A73:C73"/>
    <mergeCell ref="A75:C75"/>
    <mergeCell ref="A34:B35"/>
    <mergeCell ref="A37:B38"/>
    <mergeCell ref="A47:C47"/>
    <mergeCell ref="A68:D68"/>
    <mergeCell ref="A40:B41"/>
    <mergeCell ref="A59:B61"/>
    <mergeCell ref="A62:B64"/>
    <mergeCell ref="A66:C66"/>
    <mergeCell ref="A49:D49"/>
    <mergeCell ref="A56:B58"/>
    <mergeCell ref="A69:C69"/>
    <mergeCell ref="A70:C70"/>
    <mergeCell ref="A77:C77"/>
    <mergeCell ref="A78:C78"/>
    <mergeCell ref="A79:C79"/>
    <mergeCell ref="A76:C76"/>
    <mergeCell ref="A74:C74"/>
  </mergeCells>
  <printOptions horizontalCentered="1"/>
  <pageMargins left="0.70866141732283461" right="0.70866141732283461" top="0.74803149606299213" bottom="0.74803149606299213" header="0.31496062992125984" footer="0.31496062992125984"/>
  <pageSetup paperSize="9" scale="66" orientation="portrait" r:id="rId1"/>
  <headerFooter>
    <oddHeader>&amp;R1./c sz. melléklet
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6">
    <pageSetUpPr fitToPage="1"/>
  </sheetPr>
  <dimension ref="A1:I78"/>
  <sheetViews>
    <sheetView topLeftCell="A70" zoomScale="80" zoomScaleNormal="80" workbookViewId="0">
      <selection activeCell="N9" sqref="N9"/>
    </sheetView>
  </sheetViews>
  <sheetFormatPr defaultRowHeight="13.2" x14ac:dyDescent="0.25"/>
  <cols>
    <col min="1" max="1" width="6.44140625" bestFit="1" customWidth="1"/>
    <col min="2" max="2" width="6.33203125" customWidth="1"/>
    <col min="3" max="3" width="5.6640625" customWidth="1"/>
    <col min="4" max="4" width="55.88671875" customWidth="1"/>
    <col min="5" max="5" width="19.88671875" style="164" customWidth="1"/>
    <col min="6" max="6" width="18.77734375" style="99" customWidth="1"/>
    <col min="7" max="7" width="12.21875" style="101" bestFit="1" customWidth="1"/>
    <col min="8" max="8" width="11" style="99" bestFit="1" customWidth="1"/>
    <col min="9" max="9" width="10.5546875" style="99" bestFit="1" customWidth="1"/>
  </cols>
  <sheetData>
    <row r="1" spans="1:9" ht="18" x14ac:dyDescent="0.25">
      <c r="A1" s="491" t="s">
        <v>79</v>
      </c>
      <c r="B1" s="491"/>
      <c r="C1" s="491"/>
      <c r="D1" s="491"/>
      <c r="E1" s="491"/>
      <c r="F1" s="491"/>
      <c r="G1" s="491"/>
      <c r="H1" s="491"/>
      <c r="I1" s="491"/>
    </row>
    <row r="2" spans="1:9" ht="18" x14ac:dyDescent="0.25">
      <c r="A2" s="492" t="s">
        <v>510</v>
      </c>
      <c r="B2" s="492"/>
      <c r="C2" s="492"/>
      <c r="D2" s="492"/>
      <c r="E2" s="492"/>
      <c r="F2" s="492"/>
      <c r="G2" s="492"/>
      <c r="H2" s="492"/>
      <c r="I2" s="492"/>
    </row>
    <row r="3" spans="1:9" ht="15.6" x14ac:dyDescent="0.25">
      <c r="A3" s="44"/>
      <c r="B3" s="44"/>
      <c r="C3" s="44"/>
      <c r="D3" s="44"/>
      <c r="E3" s="245"/>
      <c r="F3" s="412"/>
      <c r="G3" s="412"/>
      <c r="H3" s="412"/>
      <c r="I3" s="412"/>
    </row>
    <row r="4" spans="1:9" ht="31.8" thickBot="1" x14ac:dyDescent="0.3">
      <c r="A4" s="571" t="s">
        <v>414</v>
      </c>
      <c r="B4" s="571"/>
      <c r="C4" s="571"/>
      <c r="D4" s="572"/>
      <c r="E4" s="253" t="s">
        <v>509</v>
      </c>
      <c r="F4" s="193" t="s">
        <v>489</v>
      </c>
      <c r="G4" s="193" t="s">
        <v>465</v>
      </c>
      <c r="H4" s="193" t="s">
        <v>466</v>
      </c>
      <c r="I4" s="193" t="s">
        <v>467</v>
      </c>
    </row>
    <row r="5" spans="1:9" ht="15.6" x14ac:dyDescent="0.25">
      <c r="A5" s="299"/>
      <c r="B5" s="388"/>
      <c r="C5" s="393" t="s">
        <v>555</v>
      </c>
      <c r="D5" s="394" t="s">
        <v>561</v>
      </c>
      <c r="E5" s="574">
        <v>180451813</v>
      </c>
      <c r="F5" s="254">
        <f>'1a).Normatíva'!C15</f>
        <v>71214039</v>
      </c>
      <c r="G5" s="413"/>
      <c r="H5" s="413"/>
      <c r="I5" s="413"/>
    </row>
    <row r="6" spans="1:9" ht="15.6" x14ac:dyDescent="0.25">
      <c r="A6" s="388"/>
      <c r="B6" s="388"/>
      <c r="C6" s="393" t="s">
        <v>556</v>
      </c>
      <c r="D6" s="394" t="s">
        <v>562</v>
      </c>
      <c r="E6" s="575"/>
      <c r="F6" s="254">
        <f>'1a).Normatíva'!C23</f>
        <v>47681442</v>
      </c>
      <c r="G6" s="413"/>
      <c r="H6" s="413"/>
      <c r="I6" s="413"/>
    </row>
    <row r="7" spans="1:9" ht="15.6" x14ac:dyDescent="0.25">
      <c r="A7" s="388"/>
      <c r="B7" s="388"/>
      <c r="C7" s="393" t="s">
        <v>557</v>
      </c>
      <c r="D7" s="394" t="s">
        <v>563</v>
      </c>
      <c r="E7" s="575"/>
      <c r="F7" s="254">
        <f>'1a).Normatíva'!C42+'1a).Normatíva'!C49</f>
        <v>56092060</v>
      </c>
      <c r="G7" s="413"/>
      <c r="H7" s="413"/>
      <c r="I7" s="413"/>
    </row>
    <row r="8" spans="1:9" ht="15.6" x14ac:dyDescent="0.25">
      <c r="A8" s="388"/>
      <c r="B8" s="388"/>
      <c r="C8" s="393" t="s">
        <v>558</v>
      </c>
      <c r="D8" s="394" t="s">
        <v>564</v>
      </c>
      <c r="E8" s="575"/>
      <c r="F8" s="254">
        <f>'1a).Normatíva'!C44+'1a).Normatíva'!C51</f>
        <v>3960514</v>
      </c>
      <c r="G8" s="413"/>
      <c r="H8" s="413"/>
      <c r="I8" s="413"/>
    </row>
    <row r="9" spans="1:9" ht="15.6" x14ac:dyDescent="0.25">
      <c r="A9" s="388"/>
      <c r="B9" s="388"/>
      <c r="C9" s="393" t="s">
        <v>559</v>
      </c>
      <c r="D9" s="394" t="s">
        <v>565</v>
      </c>
      <c r="E9" s="575"/>
      <c r="F9" s="254">
        <v>0</v>
      </c>
      <c r="G9" s="413"/>
      <c r="H9" s="413"/>
      <c r="I9" s="413"/>
    </row>
    <row r="10" spans="1:9" ht="15.6" x14ac:dyDescent="0.25">
      <c r="A10" s="388"/>
      <c r="B10" s="388"/>
      <c r="C10" s="393" t="s">
        <v>560</v>
      </c>
      <c r="D10" s="394" t="s">
        <v>566</v>
      </c>
      <c r="E10" s="575"/>
      <c r="F10" s="254">
        <v>49056</v>
      </c>
      <c r="G10" s="413"/>
      <c r="H10" s="413"/>
      <c r="I10" s="413"/>
    </row>
    <row r="11" spans="1:9" ht="15.6" x14ac:dyDescent="0.25">
      <c r="A11" s="388"/>
      <c r="B11" s="395" t="s">
        <v>567</v>
      </c>
      <c r="C11" s="471" t="s">
        <v>146</v>
      </c>
      <c r="D11" s="472"/>
      <c r="E11" s="576"/>
      <c r="F11" s="257">
        <f>SUM(F5:F10)</f>
        <v>178997111</v>
      </c>
      <c r="G11" s="257"/>
      <c r="H11" s="257"/>
      <c r="I11" s="257"/>
    </row>
    <row r="12" spans="1:9" ht="15.6" x14ac:dyDescent="0.25">
      <c r="A12" s="288"/>
      <c r="B12" s="288" t="s">
        <v>301</v>
      </c>
      <c r="C12" s="573" t="s">
        <v>302</v>
      </c>
      <c r="D12" s="470"/>
      <c r="E12" s="457">
        <v>52721775</v>
      </c>
      <c r="F12" s="255">
        <f>'1a).Normatíva'!C70</f>
        <v>45534329</v>
      </c>
      <c r="G12" s="414"/>
      <c r="H12" s="414"/>
      <c r="I12" s="414"/>
    </row>
    <row r="13" spans="1:9" s="1" customFormat="1" ht="15.6" x14ac:dyDescent="0.25">
      <c r="A13" s="289" t="s">
        <v>144</v>
      </c>
      <c r="B13" s="467" t="s">
        <v>145</v>
      </c>
      <c r="C13" s="467"/>
      <c r="D13" s="468"/>
      <c r="E13" s="365">
        <f>SUM(E5:E12)</f>
        <v>233173588</v>
      </c>
      <c r="F13" s="257">
        <f>SUM(F11:F12)</f>
        <v>224531440</v>
      </c>
      <c r="G13" s="365"/>
      <c r="H13" s="365"/>
      <c r="I13" s="365"/>
    </row>
    <row r="14" spans="1:9" ht="15.6" x14ac:dyDescent="0.25">
      <c r="A14" s="288"/>
      <c r="B14" s="288" t="s">
        <v>360</v>
      </c>
      <c r="C14" s="469" t="s">
        <v>65</v>
      </c>
      <c r="D14" s="470"/>
      <c r="E14" s="457">
        <v>0</v>
      </c>
      <c r="F14" s="255">
        <f>('1c).Beruházás felújítás'!E69)</f>
        <v>0</v>
      </c>
      <c r="G14" s="414"/>
      <c r="H14" s="414"/>
      <c r="I14" s="414"/>
    </row>
    <row r="15" spans="1:9" ht="15.6" x14ac:dyDescent="0.25">
      <c r="A15" s="288"/>
      <c r="B15" s="288" t="s">
        <v>168</v>
      </c>
      <c r="C15" s="469" t="s">
        <v>169</v>
      </c>
      <c r="D15" s="470"/>
      <c r="E15" s="457">
        <v>71903307</v>
      </c>
      <c r="F15" s="255">
        <f>('1c).Beruházás felújítás'!D70)</f>
        <v>88856049</v>
      </c>
      <c r="G15" s="414"/>
      <c r="H15" s="414"/>
      <c r="I15" s="414"/>
    </row>
    <row r="16" spans="1:9" s="1" customFormat="1" ht="15.6" x14ac:dyDescent="0.25">
      <c r="A16" s="289" t="s">
        <v>147</v>
      </c>
      <c r="B16" s="467" t="s">
        <v>148</v>
      </c>
      <c r="C16" s="467"/>
      <c r="D16" s="468"/>
      <c r="E16" s="365">
        <f>SUM(E14:E15)</f>
        <v>71903307</v>
      </c>
      <c r="F16" s="257">
        <f>SUM(F14:F15)</f>
        <v>88856049</v>
      </c>
      <c r="G16" s="365"/>
      <c r="H16" s="365"/>
      <c r="I16" s="365"/>
    </row>
    <row r="17" spans="1:9" ht="15.6" x14ac:dyDescent="0.25">
      <c r="A17" s="288"/>
      <c r="B17" s="288"/>
      <c r="C17" s="288" t="s">
        <v>152</v>
      </c>
      <c r="D17" s="287" t="s">
        <v>153</v>
      </c>
      <c r="E17" s="284">
        <v>60000000</v>
      </c>
      <c r="F17" s="259">
        <v>55000000</v>
      </c>
      <c r="G17" s="284"/>
      <c r="H17" s="284"/>
      <c r="I17" s="284"/>
    </row>
    <row r="18" spans="1:9" ht="15.6" x14ac:dyDescent="0.25">
      <c r="A18" s="288"/>
      <c r="B18" s="288"/>
      <c r="C18" s="288" t="s">
        <v>154</v>
      </c>
      <c r="D18" s="287" t="s">
        <v>155</v>
      </c>
      <c r="E18" s="284">
        <v>8500000</v>
      </c>
      <c r="F18" s="259">
        <v>351596</v>
      </c>
      <c r="G18" s="284"/>
      <c r="H18" s="284"/>
      <c r="I18" s="284"/>
    </row>
    <row r="19" spans="1:9" ht="15.6" x14ac:dyDescent="0.25">
      <c r="A19" s="288"/>
      <c r="B19" s="292" t="s">
        <v>150</v>
      </c>
      <c r="C19" s="471" t="s">
        <v>151</v>
      </c>
      <c r="D19" s="472"/>
      <c r="E19" s="365">
        <f>SUM(E17:E18)</f>
        <v>68500000</v>
      </c>
      <c r="F19" s="257">
        <f>SUM(F17:F18)</f>
        <v>55351596</v>
      </c>
      <c r="G19" s="365"/>
      <c r="H19" s="365"/>
      <c r="I19" s="365"/>
    </row>
    <row r="20" spans="1:9" ht="15.6" x14ac:dyDescent="0.25">
      <c r="A20" s="288"/>
      <c r="B20" s="288" t="s">
        <v>156</v>
      </c>
      <c r="C20" s="469" t="s">
        <v>157</v>
      </c>
      <c r="D20" s="470"/>
      <c r="E20" s="284">
        <v>100000</v>
      </c>
      <c r="F20" s="284">
        <v>100000</v>
      </c>
      <c r="G20" s="284"/>
      <c r="H20" s="284"/>
      <c r="I20" s="284"/>
    </row>
    <row r="21" spans="1:9" s="1" customFormat="1" ht="15.6" x14ac:dyDescent="0.25">
      <c r="A21" s="289" t="s">
        <v>149</v>
      </c>
      <c r="B21" s="467" t="s">
        <v>56</v>
      </c>
      <c r="C21" s="467"/>
      <c r="D21" s="468"/>
      <c r="E21" s="365">
        <f>SUM(E19:E20)</f>
        <v>68600000</v>
      </c>
      <c r="F21" s="257">
        <f>SUM(F19:F20)</f>
        <v>55451596</v>
      </c>
      <c r="G21" s="365"/>
      <c r="H21" s="365"/>
      <c r="I21" s="365"/>
    </row>
    <row r="22" spans="1:9" s="1" customFormat="1" ht="15.6" x14ac:dyDescent="0.25">
      <c r="A22" s="289" t="s">
        <v>158</v>
      </c>
      <c r="B22" s="467" t="s">
        <v>28</v>
      </c>
      <c r="C22" s="467"/>
      <c r="D22" s="468"/>
      <c r="E22" s="414">
        <v>12157000</v>
      </c>
      <c r="F22" s="261">
        <f>('1b).Működési bevétel int.'!D14)</f>
        <v>12552000</v>
      </c>
      <c r="G22" s="414"/>
      <c r="H22" s="414"/>
      <c r="I22" s="414"/>
    </row>
    <row r="23" spans="1:9" ht="15.6" x14ac:dyDescent="0.25">
      <c r="A23" s="288"/>
      <c r="B23" s="288" t="s">
        <v>161</v>
      </c>
      <c r="C23" s="469" t="s">
        <v>162</v>
      </c>
      <c r="D23" s="470"/>
      <c r="E23" s="284">
        <f>1068000+1500000+1500000+70000</f>
        <v>4138000</v>
      </c>
      <c r="F23" s="259">
        <f>1068000+1500000+1500000+70000</f>
        <v>4138000</v>
      </c>
      <c r="G23" s="284"/>
      <c r="H23" s="284"/>
      <c r="I23" s="284"/>
    </row>
    <row r="24" spans="1:9" ht="15.6" x14ac:dyDescent="0.25">
      <c r="A24" s="288"/>
      <c r="B24" s="288" t="s">
        <v>346</v>
      </c>
      <c r="C24" s="469" t="s">
        <v>361</v>
      </c>
      <c r="D24" s="470"/>
      <c r="E24" s="284">
        <v>0</v>
      </c>
      <c r="F24" s="259">
        <v>0</v>
      </c>
      <c r="G24" s="284"/>
      <c r="H24" s="284"/>
      <c r="I24" s="284"/>
    </row>
    <row r="25" spans="1:9" s="1" customFormat="1" ht="15.6" x14ac:dyDescent="0.25">
      <c r="A25" s="289" t="s">
        <v>159</v>
      </c>
      <c r="B25" s="467" t="s">
        <v>160</v>
      </c>
      <c r="C25" s="467"/>
      <c r="D25" s="468"/>
      <c r="E25" s="365">
        <f>SUM(E23:E24)</f>
        <v>4138000</v>
      </c>
      <c r="F25" s="257">
        <f>SUM(F23:F24)</f>
        <v>4138000</v>
      </c>
      <c r="G25" s="365"/>
      <c r="H25" s="365"/>
      <c r="I25" s="365"/>
    </row>
    <row r="26" spans="1:9" ht="15.6" x14ac:dyDescent="0.25">
      <c r="A26" s="288"/>
      <c r="B26" s="288" t="s">
        <v>388</v>
      </c>
      <c r="C26" s="577" t="s">
        <v>527</v>
      </c>
      <c r="D26" s="470"/>
      <c r="E26" s="284">
        <v>0</v>
      </c>
      <c r="F26" s="259">
        <v>0</v>
      </c>
      <c r="G26" s="284"/>
      <c r="H26" s="284"/>
      <c r="I26" s="284"/>
    </row>
    <row r="27" spans="1:9" ht="15.6" x14ac:dyDescent="0.25">
      <c r="A27" s="288"/>
      <c r="B27" s="288" t="s">
        <v>363</v>
      </c>
      <c r="C27" s="469" t="s">
        <v>165</v>
      </c>
      <c r="D27" s="470"/>
      <c r="E27" s="284">
        <v>0</v>
      </c>
      <c r="F27" s="259">
        <v>500000</v>
      </c>
      <c r="G27" s="284"/>
      <c r="H27" s="284"/>
      <c r="I27" s="284"/>
    </row>
    <row r="28" spans="1:9" s="1" customFormat="1" ht="15.6" x14ac:dyDescent="0.25">
      <c r="A28" s="289" t="s">
        <v>163</v>
      </c>
      <c r="B28" s="467" t="s">
        <v>164</v>
      </c>
      <c r="C28" s="467"/>
      <c r="D28" s="468"/>
      <c r="E28" s="365">
        <f>SUM(E26:E27)</f>
        <v>0</v>
      </c>
      <c r="F28" s="257">
        <f>SUM(F26:F27)</f>
        <v>500000</v>
      </c>
      <c r="G28" s="365"/>
      <c r="H28" s="365"/>
      <c r="I28" s="365"/>
    </row>
    <row r="29" spans="1:9" ht="15.6" x14ac:dyDescent="0.25">
      <c r="A29" s="288"/>
      <c r="B29" s="288" t="s">
        <v>389</v>
      </c>
      <c r="C29" s="469" t="s">
        <v>170</v>
      </c>
      <c r="D29" s="470"/>
      <c r="E29" s="457">
        <v>35213088</v>
      </c>
      <c r="F29" s="255">
        <f>('1c).Beruházás felújítás'!D75)</f>
        <v>35213088</v>
      </c>
      <c r="G29" s="414"/>
      <c r="H29" s="414"/>
      <c r="I29" s="414"/>
    </row>
    <row r="30" spans="1:9" s="1" customFormat="1" ht="15.6" x14ac:dyDescent="0.25">
      <c r="A30" s="289" t="s">
        <v>166</v>
      </c>
      <c r="B30" s="467" t="s">
        <v>167</v>
      </c>
      <c r="C30" s="467"/>
      <c r="D30" s="468"/>
      <c r="E30" s="365">
        <f>SUM(E29)</f>
        <v>35213088</v>
      </c>
      <c r="F30" s="257">
        <f>SUM(F29)</f>
        <v>35213088</v>
      </c>
      <c r="G30" s="365"/>
      <c r="H30" s="365"/>
      <c r="I30" s="365"/>
    </row>
    <row r="31" spans="1:9" ht="15.6" x14ac:dyDescent="0.25">
      <c r="A31" s="296" t="s">
        <v>175</v>
      </c>
      <c r="B31" s="557" t="s">
        <v>176</v>
      </c>
      <c r="C31" s="557"/>
      <c r="D31" s="558"/>
      <c r="E31" s="367">
        <f>E13+E16+E21+E22+E25+E28+E30</f>
        <v>425184983</v>
      </c>
      <c r="F31" s="262">
        <f>F13+F16+F21+F22+F25+F28+F30</f>
        <v>421242173</v>
      </c>
      <c r="G31" s="367"/>
      <c r="H31" s="367"/>
      <c r="I31" s="367"/>
    </row>
    <row r="32" spans="1:9" ht="15.6" x14ac:dyDescent="0.25">
      <c r="A32" s="288"/>
      <c r="B32" s="288" t="s">
        <v>173</v>
      </c>
      <c r="C32" s="469" t="s">
        <v>174</v>
      </c>
      <c r="D32" s="470"/>
      <c r="E32" s="284">
        <v>98518696</v>
      </c>
      <c r="F32" s="259">
        <v>99160267</v>
      </c>
      <c r="G32" s="284"/>
      <c r="H32" s="284"/>
      <c r="I32" s="284"/>
    </row>
    <row r="33" spans="1:9" ht="15.6" x14ac:dyDescent="0.25">
      <c r="A33" s="288"/>
      <c r="B33" s="288" t="s">
        <v>412</v>
      </c>
      <c r="C33" s="469" t="s">
        <v>413</v>
      </c>
      <c r="D33" s="470"/>
      <c r="E33" s="284">
        <v>6778442</v>
      </c>
      <c r="F33" s="259">
        <v>6778442</v>
      </c>
      <c r="G33" s="284"/>
      <c r="H33" s="284"/>
      <c r="I33" s="284"/>
    </row>
    <row r="34" spans="1:9" ht="15.6" x14ac:dyDescent="0.25">
      <c r="A34" s="292" t="s">
        <v>171</v>
      </c>
      <c r="B34" s="471" t="s">
        <v>172</v>
      </c>
      <c r="C34" s="471"/>
      <c r="D34" s="472"/>
      <c r="E34" s="365">
        <f>SUM(E32:E33)</f>
        <v>105297138</v>
      </c>
      <c r="F34" s="257">
        <f>SUM(F32:F33)</f>
        <v>105938709</v>
      </c>
      <c r="G34" s="365"/>
      <c r="H34" s="365"/>
      <c r="I34" s="365"/>
    </row>
    <row r="35" spans="1:9" ht="15.6" x14ac:dyDescent="0.25">
      <c r="A35" s="559" t="s">
        <v>34</v>
      </c>
      <c r="B35" s="559"/>
      <c r="C35" s="559"/>
      <c r="D35" s="560"/>
      <c r="E35" s="408">
        <f>E31+E34</f>
        <v>530482121</v>
      </c>
      <c r="F35" s="246">
        <f>F31+F34</f>
        <v>527180882</v>
      </c>
      <c r="G35" s="408"/>
      <c r="H35" s="408"/>
      <c r="I35" s="408"/>
    </row>
    <row r="36" spans="1:9" ht="15.6" x14ac:dyDescent="0.25">
      <c r="A36" s="1"/>
      <c r="B36" s="3"/>
      <c r="C36" s="3"/>
      <c r="D36" s="3"/>
      <c r="E36" s="264"/>
      <c r="F36" s="264"/>
      <c r="G36" s="264"/>
      <c r="H36" s="265"/>
      <c r="I36" s="265"/>
    </row>
    <row r="37" spans="1:9" ht="31.8" thickBot="1" x14ac:dyDescent="0.3">
      <c r="A37" s="569" t="s">
        <v>507</v>
      </c>
      <c r="B37" s="569"/>
      <c r="C37" s="569"/>
      <c r="D37" s="570"/>
      <c r="E37" s="253" t="s">
        <v>509</v>
      </c>
      <c r="F37" s="193" t="s">
        <v>489</v>
      </c>
      <c r="G37" s="193" t="s">
        <v>465</v>
      </c>
      <c r="H37" s="193" t="s">
        <v>466</v>
      </c>
      <c r="I37" s="193" t="s">
        <v>467</v>
      </c>
    </row>
    <row r="38" spans="1:9" ht="15.6" x14ac:dyDescent="0.25">
      <c r="A38" s="299" t="s">
        <v>144</v>
      </c>
      <c r="B38" s="563" t="s">
        <v>145</v>
      </c>
      <c r="C38" s="563"/>
      <c r="D38" s="564"/>
      <c r="E38" s="414">
        <v>0</v>
      </c>
      <c r="F38" s="259">
        <v>0</v>
      </c>
      <c r="G38" s="284"/>
      <c r="H38" s="284"/>
      <c r="I38" s="284"/>
    </row>
    <row r="39" spans="1:9" ht="15.6" x14ac:dyDescent="0.25">
      <c r="A39" s="288" t="s">
        <v>147</v>
      </c>
      <c r="B39" s="469" t="s">
        <v>148</v>
      </c>
      <c r="C39" s="469"/>
      <c r="D39" s="470"/>
      <c r="E39" s="284">
        <v>0</v>
      </c>
      <c r="F39" s="259">
        <v>0</v>
      </c>
      <c r="G39" s="284"/>
      <c r="H39" s="284"/>
      <c r="I39" s="284"/>
    </row>
    <row r="40" spans="1:9" ht="15.6" x14ac:dyDescent="0.25">
      <c r="A40" s="288" t="s">
        <v>149</v>
      </c>
      <c r="B40" s="469" t="s">
        <v>56</v>
      </c>
      <c r="C40" s="469"/>
      <c r="D40" s="470"/>
      <c r="E40" s="284">
        <v>0</v>
      </c>
      <c r="F40" s="259">
        <v>0</v>
      </c>
      <c r="G40" s="284"/>
      <c r="H40" s="284"/>
      <c r="I40" s="284"/>
    </row>
    <row r="41" spans="1:9" ht="15.6" x14ac:dyDescent="0.25">
      <c r="A41" s="288" t="s">
        <v>158</v>
      </c>
      <c r="B41" s="469" t="s">
        <v>28</v>
      </c>
      <c r="C41" s="469"/>
      <c r="D41" s="470"/>
      <c r="E41" s="414">
        <v>11803000</v>
      </c>
      <c r="F41" s="456">
        <f>('1b).Működési bevétel int.'!D25)</f>
        <v>11080000</v>
      </c>
      <c r="G41" s="414"/>
      <c r="H41" s="414"/>
      <c r="I41" s="414"/>
    </row>
    <row r="42" spans="1:9" ht="15.6" x14ac:dyDescent="0.25">
      <c r="A42" s="288" t="s">
        <v>159</v>
      </c>
      <c r="B42" s="469" t="s">
        <v>160</v>
      </c>
      <c r="C42" s="469"/>
      <c r="D42" s="470"/>
      <c r="E42" s="284">
        <v>0</v>
      </c>
      <c r="F42" s="259">
        <v>0</v>
      </c>
      <c r="G42" s="284"/>
      <c r="H42" s="284"/>
      <c r="I42" s="284"/>
    </row>
    <row r="43" spans="1:9" ht="15.6" x14ac:dyDescent="0.25">
      <c r="A43" s="288" t="s">
        <v>163</v>
      </c>
      <c r="B43" s="469" t="s">
        <v>164</v>
      </c>
      <c r="C43" s="469"/>
      <c r="D43" s="470"/>
      <c r="E43" s="284">
        <v>0</v>
      </c>
      <c r="F43" s="259">
        <v>0</v>
      </c>
      <c r="G43" s="284"/>
      <c r="H43" s="284"/>
      <c r="I43" s="284"/>
    </row>
    <row r="44" spans="1:9" ht="15.6" x14ac:dyDescent="0.25">
      <c r="A44" s="288" t="s">
        <v>166</v>
      </c>
      <c r="B44" s="469" t="s">
        <v>167</v>
      </c>
      <c r="C44" s="469"/>
      <c r="D44" s="470"/>
      <c r="E44" s="284">
        <v>0</v>
      </c>
      <c r="F44" s="259">
        <v>0</v>
      </c>
      <c r="G44" s="284"/>
      <c r="H44" s="284"/>
      <c r="I44" s="284"/>
    </row>
    <row r="45" spans="1:9" ht="15.6" x14ac:dyDescent="0.25">
      <c r="A45" s="296" t="s">
        <v>175</v>
      </c>
      <c r="B45" s="567" t="s">
        <v>176</v>
      </c>
      <c r="C45" s="567"/>
      <c r="D45" s="568"/>
      <c r="E45" s="367">
        <f>SUM(E38:E44)</f>
        <v>11803000</v>
      </c>
      <c r="F45" s="262">
        <f>SUM(F38:F44)</f>
        <v>11080000</v>
      </c>
      <c r="G45" s="367"/>
      <c r="H45" s="367"/>
      <c r="I45" s="367"/>
    </row>
    <row r="46" spans="1:9" s="3" customFormat="1" ht="15.6" x14ac:dyDescent="0.25">
      <c r="A46" s="288"/>
      <c r="B46" s="288" t="s">
        <v>173</v>
      </c>
      <c r="C46" s="469" t="s">
        <v>174</v>
      </c>
      <c r="D46" s="470"/>
      <c r="E46" s="284">
        <v>15</v>
      </c>
      <c r="F46" s="259">
        <v>15</v>
      </c>
      <c r="G46" s="284"/>
      <c r="H46" s="284"/>
      <c r="I46" s="284"/>
    </row>
    <row r="47" spans="1:9" ht="15.6" x14ac:dyDescent="0.25">
      <c r="A47" s="288"/>
      <c r="B47" s="288" t="s">
        <v>177</v>
      </c>
      <c r="C47" s="469" t="s">
        <v>178</v>
      </c>
      <c r="D47" s="470"/>
      <c r="E47" s="284">
        <v>67264817</v>
      </c>
      <c r="F47" s="259">
        <v>67264817</v>
      </c>
      <c r="G47" s="284"/>
      <c r="H47" s="284"/>
      <c r="I47" s="284"/>
    </row>
    <row r="48" spans="1:9" s="1" customFormat="1" ht="15.6" x14ac:dyDescent="0.25">
      <c r="A48" s="289" t="s">
        <v>171</v>
      </c>
      <c r="B48" s="467" t="s">
        <v>172</v>
      </c>
      <c r="C48" s="467"/>
      <c r="D48" s="468"/>
      <c r="E48" s="365">
        <f>SUM(E46:E47)</f>
        <v>67264832</v>
      </c>
      <c r="F48" s="257">
        <f>SUM(F46:F47)</f>
        <v>67264832</v>
      </c>
      <c r="G48" s="365"/>
      <c r="H48" s="365"/>
      <c r="I48" s="365"/>
    </row>
    <row r="49" spans="1:9" ht="15.6" x14ac:dyDescent="0.25">
      <c r="A49" s="559" t="s">
        <v>34</v>
      </c>
      <c r="B49" s="559"/>
      <c r="C49" s="559"/>
      <c r="D49" s="560"/>
      <c r="E49" s="408">
        <f>E45+E48</f>
        <v>79067832</v>
      </c>
      <c r="F49" s="246">
        <f>F45+F48</f>
        <v>78344832</v>
      </c>
      <c r="G49" s="408"/>
      <c r="H49" s="408"/>
      <c r="I49" s="408"/>
    </row>
    <row r="50" spans="1:9" ht="15.6" x14ac:dyDescent="0.25">
      <c r="E50" s="265"/>
      <c r="F50" s="265"/>
      <c r="G50" s="264"/>
      <c r="H50" s="265"/>
      <c r="I50" s="265"/>
    </row>
    <row r="51" spans="1:9" ht="31.8" thickBot="1" x14ac:dyDescent="0.3">
      <c r="A51" s="565" t="s">
        <v>415</v>
      </c>
      <c r="B51" s="565"/>
      <c r="C51" s="565"/>
      <c r="D51" s="566"/>
      <c r="E51" s="253" t="s">
        <v>509</v>
      </c>
      <c r="F51" s="193" t="s">
        <v>489</v>
      </c>
      <c r="G51" s="193" t="s">
        <v>465</v>
      </c>
      <c r="H51" s="193" t="s">
        <v>466</v>
      </c>
      <c r="I51" s="193" t="s">
        <v>467</v>
      </c>
    </row>
    <row r="52" spans="1:9" ht="15.6" x14ac:dyDescent="0.25">
      <c r="A52" s="299" t="s">
        <v>144</v>
      </c>
      <c r="B52" s="563" t="s">
        <v>145</v>
      </c>
      <c r="C52" s="563"/>
      <c r="D52" s="564"/>
      <c r="E52" s="284">
        <v>0</v>
      </c>
      <c r="F52" s="266">
        <v>0</v>
      </c>
      <c r="G52" s="363"/>
      <c r="H52" s="363"/>
      <c r="I52" s="363"/>
    </row>
    <row r="53" spans="1:9" ht="15.6" x14ac:dyDescent="0.25">
      <c r="A53" s="288" t="s">
        <v>147</v>
      </c>
      <c r="B53" s="469" t="s">
        <v>148</v>
      </c>
      <c r="C53" s="469"/>
      <c r="D53" s="470"/>
      <c r="E53" s="284">
        <v>0</v>
      </c>
      <c r="F53" s="259">
        <v>0</v>
      </c>
      <c r="G53" s="284"/>
      <c r="H53" s="284"/>
      <c r="I53" s="284"/>
    </row>
    <row r="54" spans="1:9" ht="15.6" x14ac:dyDescent="0.25">
      <c r="A54" s="288" t="s">
        <v>149</v>
      </c>
      <c r="B54" s="469" t="s">
        <v>56</v>
      </c>
      <c r="C54" s="469"/>
      <c r="D54" s="470"/>
      <c r="E54" s="284">
        <v>0</v>
      </c>
      <c r="F54" s="259">
        <v>0</v>
      </c>
      <c r="G54" s="284"/>
      <c r="H54" s="284"/>
      <c r="I54" s="284"/>
    </row>
    <row r="55" spans="1:9" ht="15.6" x14ac:dyDescent="0.25">
      <c r="A55" s="288" t="s">
        <v>158</v>
      </c>
      <c r="B55" s="469" t="s">
        <v>28</v>
      </c>
      <c r="C55" s="469"/>
      <c r="D55" s="470"/>
      <c r="E55" s="414">
        <v>1303000</v>
      </c>
      <c r="F55" s="456">
        <f>('1b).Működési bevétel int.'!D36)</f>
        <v>1003000</v>
      </c>
      <c r="G55" s="414"/>
      <c r="H55" s="414"/>
      <c r="I55" s="414"/>
    </row>
    <row r="56" spans="1:9" ht="15.6" x14ac:dyDescent="0.25">
      <c r="A56" s="288" t="s">
        <v>159</v>
      </c>
      <c r="B56" s="469" t="s">
        <v>160</v>
      </c>
      <c r="C56" s="469"/>
      <c r="D56" s="470"/>
      <c r="E56" s="284">
        <v>0</v>
      </c>
      <c r="F56" s="259">
        <v>0</v>
      </c>
      <c r="G56" s="284"/>
      <c r="H56" s="284"/>
      <c r="I56" s="284"/>
    </row>
    <row r="57" spans="1:9" ht="15.6" x14ac:dyDescent="0.25">
      <c r="A57" s="288" t="s">
        <v>163</v>
      </c>
      <c r="B57" s="469" t="s">
        <v>164</v>
      </c>
      <c r="C57" s="469"/>
      <c r="D57" s="470"/>
      <c r="E57" s="284">
        <v>0</v>
      </c>
      <c r="F57" s="259">
        <v>0</v>
      </c>
      <c r="G57" s="284"/>
      <c r="H57" s="284"/>
      <c r="I57" s="284"/>
    </row>
    <row r="58" spans="1:9" ht="15.6" x14ac:dyDescent="0.25">
      <c r="A58" s="288" t="s">
        <v>166</v>
      </c>
      <c r="B58" s="469" t="s">
        <v>167</v>
      </c>
      <c r="C58" s="469"/>
      <c r="D58" s="470"/>
      <c r="E58" s="284">
        <v>0</v>
      </c>
      <c r="F58" s="259">
        <v>0</v>
      </c>
      <c r="G58" s="284"/>
      <c r="H58" s="284"/>
      <c r="I58" s="284"/>
    </row>
    <row r="59" spans="1:9" ht="15.6" x14ac:dyDescent="0.25">
      <c r="A59" s="296" t="s">
        <v>175</v>
      </c>
      <c r="B59" s="557" t="s">
        <v>176</v>
      </c>
      <c r="C59" s="557"/>
      <c r="D59" s="558"/>
      <c r="E59" s="367">
        <f>SUM(E52:E58)</f>
        <v>1303000</v>
      </c>
      <c r="F59" s="262">
        <f>SUM(F52:F58)</f>
        <v>1003000</v>
      </c>
      <c r="G59" s="367"/>
      <c r="H59" s="367"/>
      <c r="I59" s="367"/>
    </row>
    <row r="60" spans="1:9" s="3" customFormat="1" ht="15.6" x14ac:dyDescent="0.25">
      <c r="A60" s="288"/>
      <c r="B60" s="288" t="s">
        <v>173</v>
      </c>
      <c r="C60" s="469" t="s">
        <v>300</v>
      </c>
      <c r="D60" s="470"/>
      <c r="E60" s="284">
        <v>256</v>
      </c>
      <c r="F60" s="259">
        <v>256</v>
      </c>
      <c r="G60" s="284"/>
      <c r="H60" s="284"/>
      <c r="I60" s="284"/>
    </row>
    <row r="61" spans="1:9" ht="15.6" x14ac:dyDescent="0.25">
      <c r="A61" s="288"/>
      <c r="B61" s="288" t="s">
        <v>177</v>
      </c>
      <c r="C61" s="469" t="s">
        <v>178</v>
      </c>
      <c r="D61" s="470"/>
      <c r="E61" s="284">
        <v>29364676</v>
      </c>
      <c r="F61" s="259">
        <f>29364676+399336</f>
        <v>29764012</v>
      </c>
      <c r="G61" s="284"/>
      <c r="H61" s="284"/>
      <c r="I61" s="284"/>
    </row>
    <row r="62" spans="1:9" s="1" customFormat="1" ht="15.6" x14ac:dyDescent="0.25">
      <c r="A62" s="289" t="s">
        <v>171</v>
      </c>
      <c r="B62" s="467" t="s">
        <v>172</v>
      </c>
      <c r="C62" s="467"/>
      <c r="D62" s="468"/>
      <c r="E62" s="365">
        <f>SUM(E60:E61)</f>
        <v>29364932</v>
      </c>
      <c r="F62" s="257">
        <f>SUM(F60:F61)</f>
        <v>29764268</v>
      </c>
      <c r="G62" s="365"/>
      <c r="H62" s="365"/>
      <c r="I62" s="365"/>
    </row>
    <row r="63" spans="1:9" ht="15.6" x14ac:dyDescent="0.25">
      <c r="A63" s="559" t="s">
        <v>34</v>
      </c>
      <c r="B63" s="559"/>
      <c r="C63" s="559"/>
      <c r="D63" s="560"/>
      <c r="E63" s="408">
        <f>E59+E62</f>
        <v>30667932</v>
      </c>
      <c r="F63" s="246">
        <f>F59+F62</f>
        <v>30767268</v>
      </c>
      <c r="G63" s="408"/>
      <c r="H63" s="408"/>
      <c r="I63" s="408"/>
    </row>
    <row r="64" spans="1:9" ht="15.6" x14ac:dyDescent="0.25">
      <c r="E64" s="265"/>
      <c r="F64" s="265"/>
      <c r="G64" s="264"/>
      <c r="H64" s="265"/>
      <c r="I64" s="265"/>
    </row>
    <row r="65" spans="1:9" ht="31.8" thickBot="1" x14ac:dyDescent="0.3">
      <c r="A65" s="561" t="s">
        <v>410</v>
      </c>
      <c r="B65" s="561"/>
      <c r="C65" s="561"/>
      <c r="D65" s="562"/>
      <c r="E65" s="253" t="s">
        <v>509</v>
      </c>
      <c r="F65" s="193" t="s">
        <v>489</v>
      </c>
      <c r="G65" s="193" t="s">
        <v>465</v>
      </c>
      <c r="H65" s="193" t="s">
        <v>466</v>
      </c>
      <c r="I65" s="193" t="s">
        <v>467</v>
      </c>
    </row>
    <row r="66" spans="1:9" ht="15.6" x14ac:dyDescent="0.25">
      <c r="A66" s="299" t="s">
        <v>144</v>
      </c>
      <c r="B66" s="563" t="s">
        <v>145</v>
      </c>
      <c r="C66" s="563"/>
      <c r="D66" s="564"/>
      <c r="E66" s="284">
        <v>0</v>
      </c>
      <c r="F66" s="266">
        <v>0</v>
      </c>
      <c r="G66" s="363"/>
      <c r="H66" s="363"/>
      <c r="I66" s="363"/>
    </row>
    <row r="67" spans="1:9" ht="15.6" x14ac:dyDescent="0.25">
      <c r="A67" s="288" t="s">
        <v>147</v>
      </c>
      <c r="B67" s="469" t="s">
        <v>148</v>
      </c>
      <c r="C67" s="469"/>
      <c r="D67" s="470"/>
      <c r="E67" s="284">
        <v>0</v>
      </c>
      <c r="F67" s="259">
        <v>0</v>
      </c>
      <c r="G67" s="284"/>
      <c r="H67" s="284"/>
      <c r="I67" s="284"/>
    </row>
    <row r="68" spans="1:9" ht="15.6" x14ac:dyDescent="0.25">
      <c r="A68" s="288" t="s">
        <v>149</v>
      </c>
      <c r="B68" s="469" t="s">
        <v>56</v>
      </c>
      <c r="C68" s="469"/>
      <c r="D68" s="470"/>
      <c r="E68" s="284">
        <v>0</v>
      </c>
      <c r="F68" s="259">
        <v>0</v>
      </c>
      <c r="G68" s="284"/>
      <c r="H68" s="284"/>
      <c r="I68" s="284"/>
    </row>
    <row r="69" spans="1:9" ht="15.6" x14ac:dyDescent="0.25">
      <c r="A69" s="288" t="s">
        <v>158</v>
      </c>
      <c r="B69" s="469" t="s">
        <v>28</v>
      </c>
      <c r="C69" s="469"/>
      <c r="D69" s="470"/>
      <c r="E69" s="414">
        <v>3000</v>
      </c>
      <c r="F69" s="456">
        <f>('1b).Működési bevétel int.'!D47)</f>
        <v>3000</v>
      </c>
      <c r="G69" s="414"/>
      <c r="H69" s="414"/>
      <c r="I69" s="414"/>
    </row>
    <row r="70" spans="1:9" ht="15.6" x14ac:dyDescent="0.25">
      <c r="A70" s="288" t="s">
        <v>159</v>
      </c>
      <c r="B70" s="469" t="s">
        <v>160</v>
      </c>
      <c r="C70" s="469"/>
      <c r="D70" s="470"/>
      <c r="E70" s="284">
        <v>0</v>
      </c>
      <c r="F70" s="259">
        <v>0</v>
      </c>
      <c r="G70" s="284"/>
      <c r="H70" s="284"/>
      <c r="I70" s="284"/>
    </row>
    <row r="71" spans="1:9" ht="15.6" x14ac:dyDescent="0.25">
      <c r="A71" s="288" t="s">
        <v>163</v>
      </c>
      <c r="B71" s="469" t="s">
        <v>164</v>
      </c>
      <c r="C71" s="469"/>
      <c r="D71" s="470"/>
      <c r="E71" s="284">
        <v>0</v>
      </c>
      <c r="F71" s="259">
        <v>0</v>
      </c>
      <c r="G71" s="284"/>
      <c r="H71" s="284"/>
      <c r="I71" s="284"/>
    </row>
    <row r="72" spans="1:9" ht="15.6" x14ac:dyDescent="0.25">
      <c r="A72" s="288" t="s">
        <v>166</v>
      </c>
      <c r="B72" s="469" t="s">
        <v>167</v>
      </c>
      <c r="C72" s="469"/>
      <c r="D72" s="470"/>
      <c r="E72" s="284">
        <v>0</v>
      </c>
      <c r="F72" s="259">
        <v>0</v>
      </c>
      <c r="G72" s="284"/>
      <c r="H72" s="284"/>
      <c r="I72" s="284"/>
    </row>
    <row r="73" spans="1:9" ht="15.6" x14ac:dyDescent="0.25">
      <c r="A73" s="296" t="s">
        <v>175</v>
      </c>
      <c r="B73" s="557" t="s">
        <v>176</v>
      </c>
      <c r="C73" s="557"/>
      <c r="D73" s="558"/>
      <c r="E73" s="367">
        <f>SUM(E66:E72)</f>
        <v>3000</v>
      </c>
      <c r="F73" s="262">
        <f>SUM(F66:F72)</f>
        <v>3000</v>
      </c>
      <c r="G73" s="367"/>
      <c r="H73" s="367"/>
      <c r="I73" s="367"/>
    </row>
    <row r="74" spans="1:9" ht="15.6" x14ac:dyDescent="0.25">
      <c r="A74" s="288"/>
      <c r="B74" s="288" t="s">
        <v>173</v>
      </c>
      <c r="C74" s="469" t="s">
        <v>300</v>
      </c>
      <c r="D74" s="470"/>
      <c r="E74" s="284">
        <v>65502</v>
      </c>
      <c r="F74" s="259">
        <v>65502</v>
      </c>
      <c r="G74" s="284"/>
      <c r="H74" s="284"/>
      <c r="I74" s="284"/>
    </row>
    <row r="75" spans="1:9" s="3" customFormat="1" ht="15.6" x14ac:dyDescent="0.25">
      <c r="A75" s="288"/>
      <c r="B75" s="288" t="s">
        <v>177</v>
      </c>
      <c r="C75" s="469" t="s">
        <v>178</v>
      </c>
      <c r="D75" s="470"/>
      <c r="E75" s="284">
        <v>63004458</v>
      </c>
      <c r="F75" s="259">
        <f>63004458-400000+664</f>
        <v>62605122</v>
      </c>
      <c r="G75" s="284"/>
      <c r="H75" s="284"/>
      <c r="I75" s="284"/>
    </row>
    <row r="76" spans="1:9" s="1" customFormat="1" ht="15.6" x14ac:dyDescent="0.25">
      <c r="A76" s="289" t="s">
        <v>171</v>
      </c>
      <c r="B76" s="467" t="s">
        <v>172</v>
      </c>
      <c r="C76" s="467"/>
      <c r="D76" s="468"/>
      <c r="E76" s="365">
        <f>SUM(E74:E75)</f>
        <v>63069960</v>
      </c>
      <c r="F76" s="257">
        <f>SUM(F74:F75)</f>
        <v>62670624</v>
      </c>
      <c r="G76" s="365"/>
      <c r="H76" s="365"/>
      <c r="I76" s="365"/>
    </row>
    <row r="77" spans="1:9" ht="15.6" x14ac:dyDescent="0.25">
      <c r="A77" s="559" t="s">
        <v>34</v>
      </c>
      <c r="B77" s="559"/>
      <c r="C77" s="559"/>
      <c r="D77" s="560"/>
      <c r="E77" s="408">
        <f>E73+E76</f>
        <v>63072960</v>
      </c>
      <c r="F77" s="246">
        <f>F73+F76</f>
        <v>62673624</v>
      </c>
      <c r="G77" s="408"/>
      <c r="H77" s="408"/>
      <c r="I77" s="408"/>
    </row>
    <row r="78" spans="1:9" x14ac:dyDescent="0.25">
      <c r="D78" s="3"/>
    </row>
  </sheetData>
  <mergeCells count="66">
    <mergeCell ref="C19:D19"/>
    <mergeCell ref="C23:D23"/>
    <mergeCell ref="C20:D20"/>
    <mergeCell ref="B22:D22"/>
    <mergeCell ref="C24:D24"/>
    <mergeCell ref="B21:D21"/>
    <mergeCell ref="C26:D26"/>
    <mergeCell ref="C27:D27"/>
    <mergeCell ref="B25:D25"/>
    <mergeCell ref="B28:D28"/>
    <mergeCell ref="C29:D29"/>
    <mergeCell ref="B31:D31"/>
    <mergeCell ref="C32:D32"/>
    <mergeCell ref="A35:D35"/>
    <mergeCell ref="C33:D33"/>
    <mergeCell ref="B30:D30"/>
    <mergeCell ref="B34:D34"/>
    <mergeCell ref="A1:I1"/>
    <mergeCell ref="A2:I2"/>
    <mergeCell ref="A4:D4"/>
    <mergeCell ref="B16:D16"/>
    <mergeCell ref="C12:D12"/>
    <mergeCell ref="C14:D14"/>
    <mergeCell ref="C15:D15"/>
    <mergeCell ref="B13:D13"/>
    <mergeCell ref="C11:D11"/>
    <mergeCell ref="E5:E11"/>
    <mergeCell ref="B42:D42"/>
    <mergeCell ref="B43:D43"/>
    <mergeCell ref="B44:D44"/>
    <mergeCell ref="B45:D45"/>
    <mergeCell ref="A37:D37"/>
    <mergeCell ref="B38:D38"/>
    <mergeCell ref="B39:D39"/>
    <mergeCell ref="B40:D40"/>
    <mergeCell ref="B41:D41"/>
    <mergeCell ref="C46:D46"/>
    <mergeCell ref="C47:D47"/>
    <mergeCell ref="B48:D48"/>
    <mergeCell ref="A49:D49"/>
    <mergeCell ref="A51:D51"/>
    <mergeCell ref="B52:D52"/>
    <mergeCell ref="B53:D53"/>
    <mergeCell ref="B54:D54"/>
    <mergeCell ref="B55:D55"/>
    <mergeCell ref="B56:D56"/>
    <mergeCell ref="B57:D57"/>
    <mergeCell ref="B58:D58"/>
    <mergeCell ref="B59:D59"/>
    <mergeCell ref="C60:D60"/>
    <mergeCell ref="C61:D61"/>
    <mergeCell ref="B62:D62"/>
    <mergeCell ref="A63:D63"/>
    <mergeCell ref="A65:D65"/>
    <mergeCell ref="B66:D66"/>
    <mergeCell ref="B67:D67"/>
    <mergeCell ref="B68:D68"/>
    <mergeCell ref="B69:D69"/>
    <mergeCell ref="B70:D70"/>
    <mergeCell ref="B71:D71"/>
    <mergeCell ref="B72:D72"/>
    <mergeCell ref="B73:D73"/>
    <mergeCell ref="C74:D74"/>
    <mergeCell ref="C75:D75"/>
    <mergeCell ref="B76:D76"/>
    <mergeCell ref="A77:D77"/>
  </mergeCells>
  <phoneticPr fontId="28" type="noConversion"/>
  <printOptions horizontalCentered="1"/>
  <pageMargins left="0.23622047244094491" right="0.23622047244094491" top="0.74803149606299213" bottom="0.23622047244094491" header="0.31496062992125984" footer="0.31496062992125984"/>
  <pageSetup paperSize="9" scale="64" orientation="portrait" r:id="rId1"/>
  <headerFooter>
    <oddHeader>&amp;R2. sz. melléklet
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7">
    <pageSetUpPr fitToPage="1"/>
  </sheetPr>
  <dimension ref="A1:F52"/>
  <sheetViews>
    <sheetView topLeftCell="A31" zoomScale="90" zoomScaleNormal="90" workbookViewId="0">
      <selection activeCell="I63" sqref="I63"/>
    </sheetView>
  </sheetViews>
  <sheetFormatPr defaultColWidth="9.109375" defaultRowHeight="13.2" x14ac:dyDescent="0.25"/>
  <cols>
    <col min="1" max="1" width="9.33203125" style="135" customWidth="1"/>
    <col min="2" max="2" width="30.44140625" style="3" customWidth="1"/>
    <col min="3" max="4" width="20.6640625" style="3" customWidth="1"/>
    <col min="5" max="5" width="21.33203125" style="3" customWidth="1"/>
    <col min="6" max="6" width="20.6640625" style="3" customWidth="1"/>
    <col min="7" max="16384" width="9.109375" style="3"/>
  </cols>
  <sheetData>
    <row r="1" spans="1:6" ht="39" customHeight="1" x14ac:dyDescent="0.25">
      <c r="A1" s="587" t="s">
        <v>537</v>
      </c>
      <c r="B1" s="587"/>
      <c r="C1" s="587"/>
      <c r="D1" s="587"/>
      <c r="E1" s="587"/>
      <c r="F1" s="587"/>
    </row>
    <row r="2" spans="1:6" ht="15.6" x14ac:dyDescent="0.25">
      <c r="A2" s="127"/>
    </row>
    <row r="3" spans="1:6" s="1" customFormat="1" ht="28.8" x14ac:dyDescent="0.25">
      <c r="A3" s="590" t="s">
        <v>448</v>
      </c>
      <c r="B3" s="590" t="s">
        <v>101</v>
      </c>
      <c r="C3" s="588" t="s">
        <v>29</v>
      </c>
      <c r="D3" s="91" t="s">
        <v>56</v>
      </c>
      <c r="E3" s="91" t="s">
        <v>453</v>
      </c>
      <c r="F3" s="590" t="s">
        <v>304</v>
      </c>
    </row>
    <row r="4" spans="1:6" s="1" customFormat="1" ht="29.4" thickBot="1" x14ac:dyDescent="0.3">
      <c r="A4" s="591"/>
      <c r="B4" s="591"/>
      <c r="C4" s="589"/>
      <c r="D4" s="112" t="s">
        <v>102</v>
      </c>
      <c r="E4" s="113" t="s">
        <v>107</v>
      </c>
      <c r="F4" s="591"/>
    </row>
    <row r="5" spans="1:6" s="1" customFormat="1" ht="18" x14ac:dyDescent="0.25">
      <c r="A5" s="592" t="s">
        <v>103</v>
      </c>
      <c r="B5" s="593"/>
      <c r="C5" s="593"/>
      <c r="D5" s="593"/>
      <c r="E5" s="593"/>
      <c r="F5" s="594"/>
    </row>
    <row r="6" spans="1:6" ht="18" x14ac:dyDescent="0.25">
      <c r="A6" s="595" t="s">
        <v>98</v>
      </c>
      <c r="B6" s="596"/>
      <c r="C6" s="596"/>
      <c r="D6" s="596"/>
      <c r="E6" s="596"/>
      <c r="F6" s="597"/>
    </row>
    <row r="7" spans="1:6" ht="15" thickBot="1" x14ac:dyDescent="0.3">
      <c r="A7" s="598" t="s">
        <v>85</v>
      </c>
      <c r="B7" s="546"/>
      <c r="C7" s="546"/>
      <c r="D7" s="546"/>
      <c r="E7" s="546"/>
      <c r="F7" s="599"/>
    </row>
    <row r="8" spans="1:6" s="99" customFormat="1" ht="18" customHeight="1" x14ac:dyDescent="0.25">
      <c r="A8" s="131" t="s">
        <v>7</v>
      </c>
      <c r="B8" s="108" t="s">
        <v>303</v>
      </c>
      <c r="C8" s="109">
        <f>('1b).Működési bevétel int.'!D7)+('1b).Működési bevétel int.'!D8)+('1b).Működési bevétel int.'!D10)</f>
        <v>11900000</v>
      </c>
      <c r="D8" s="108"/>
      <c r="E8" s="108"/>
      <c r="F8" s="110">
        <f>SUM(C8:E8)</f>
        <v>11900000</v>
      </c>
    </row>
    <row r="9" spans="1:6" s="99" customFormat="1" ht="14.4" x14ac:dyDescent="0.25">
      <c r="A9" s="120" t="s">
        <v>8</v>
      </c>
      <c r="B9" s="92" t="s">
        <v>99</v>
      </c>
      <c r="C9" s="102">
        <f>('1b).Működési bevétel int.'!D6)+('1b).Működési bevétel int.'!D12)+('1b).Működési bevétel int.'!D13)</f>
        <v>650000</v>
      </c>
      <c r="D9" s="92"/>
      <c r="E9" s="92"/>
      <c r="F9" s="103">
        <f>SUM(C9:E9)</f>
        <v>650000</v>
      </c>
    </row>
    <row r="10" spans="1:6" s="99" customFormat="1" ht="14.4" x14ac:dyDescent="0.25">
      <c r="A10" s="120" t="s">
        <v>11</v>
      </c>
      <c r="B10" s="92" t="s">
        <v>112</v>
      </c>
      <c r="C10" s="102">
        <f>('1b).Működési bevétel int.'!D11)</f>
        <v>2000</v>
      </c>
      <c r="D10" s="92"/>
      <c r="E10" s="92"/>
      <c r="F10" s="103">
        <f>SUM(C10:E10)</f>
        <v>2000</v>
      </c>
    </row>
    <row r="11" spans="1:6" s="99" customFormat="1" ht="14.4" x14ac:dyDescent="0.25">
      <c r="A11" s="120" t="s">
        <v>12</v>
      </c>
      <c r="B11" s="92" t="s">
        <v>189</v>
      </c>
      <c r="C11" s="102">
        <f>('1b).Működési bevétel int.'!D9)</f>
        <v>0</v>
      </c>
      <c r="D11" s="92"/>
      <c r="E11" s="92"/>
      <c r="F11" s="103">
        <f>SUM(C11:E11)</f>
        <v>0</v>
      </c>
    </row>
    <row r="12" spans="1:6" s="99" customFormat="1" ht="14.4" x14ac:dyDescent="0.25">
      <c r="A12" s="120" t="s">
        <v>12</v>
      </c>
      <c r="B12" s="92" t="s">
        <v>30</v>
      </c>
      <c r="C12" s="92"/>
      <c r="D12" s="102">
        <f>('2).Bevétel intézmény'!F17)</f>
        <v>55000000</v>
      </c>
      <c r="E12" s="92"/>
      <c r="F12" s="103">
        <f t="shared" ref="F12:F20" si="0">SUM(C12:E12)</f>
        <v>55000000</v>
      </c>
    </row>
    <row r="13" spans="1:6" s="99" customFormat="1" ht="14.4" x14ac:dyDescent="0.25">
      <c r="A13" s="120" t="s">
        <v>13</v>
      </c>
      <c r="B13" s="92" t="s">
        <v>58</v>
      </c>
      <c r="C13" s="92"/>
      <c r="D13" s="102">
        <f>('2).Bevétel intézmény'!F18)</f>
        <v>351596</v>
      </c>
      <c r="E13" s="92"/>
      <c r="F13" s="103">
        <f t="shared" si="0"/>
        <v>351596</v>
      </c>
    </row>
    <row r="14" spans="1:6" s="99" customFormat="1" ht="15.75" customHeight="1" x14ac:dyDescent="0.25">
      <c r="A14" s="120" t="s">
        <v>14</v>
      </c>
      <c r="B14" s="92" t="s">
        <v>157</v>
      </c>
      <c r="C14" s="92"/>
      <c r="D14" s="102">
        <f>('2).Bevétel intézmény'!F20)</f>
        <v>100000</v>
      </c>
      <c r="E14" s="92"/>
      <c r="F14" s="103">
        <f t="shared" si="0"/>
        <v>100000</v>
      </c>
    </row>
    <row r="15" spans="1:6" s="99" customFormat="1" ht="17.25" customHeight="1" x14ac:dyDescent="0.25">
      <c r="A15" s="120" t="s">
        <v>15</v>
      </c>
      <c r="B15" s="92" t="s">
        <v>104</v>
      </c>
      <c r="C15" s="92"/>
      <c r="D15" s="92"/>
      <c r="E15" s="102">
        <f>(('1a).Normatíva'!C47))+'1a).Normatíva'!C55</f>
        <v>178948055</v>
      </c>
      <c r="F15" s="103">
        <f t="shared" si="0"/>
        <v>178948055</v>
      </c>
    </row>
    <row r="16" spans="1:6" s="99" customFormat="1" ht="16.5" customHeight="1" x14ac:dyDescent="0.25">
      <c r="A16" s="120" t="s">
        <v>16</v>
      </c>
      <c r="B16" s="92" t="s">
        <v>87</v>
      </c>
      <c r="C16" s="92"/>
      <c r="D16" s="92"/>
      <c r="E16" s="102">
        <f>'1a).Normatíva'!C64</f>
        <v>35344329</v>
      </c>
      <c r="F16" s="103">
        <f t="shared" si="0"/>
        <v>35344329</v>
      </c>
    </row>
    <row r="17" spans="1:6" s="99" customFormat="1" ht="16.5" customHeight="1" x14ac:dyDescent="0.25">
      <c r="A17" s="120" t="s">
        <v>17</v>
      </c>
      <c r="B17" s="92" t="s">
        <v>111</v>
      </c>
      <c r="C17" s="92"/>
      <c r="D17" s="92"/>
      <c r="E17" s="102">
        <f>'1a).Normatíva'!C61</f>
        <v>9000000</v>
      </c>
      <c r="F17" s="103">
        <f t="shared" si="0"/>
        <v>9000000</v>
      </c>
    </row>
    <row r="18" spans="1:6" s="99" customFormat="1" ht="16.5" customHeight="1" x14ac:dyDescent="0.25">
      <c r="A18" s="120" t="s">
        <v>18</v>
      </c>
      <c r="B18" s="92" t="s">
        <v>390</v>
      </c>
      <c r="C18" s="92"/>
      <c r="D18" s="92"/>
      <c r="E18" s="102">
        <f>'1a).Normatíva'!C63+'1a).Normatíva'!C57</f>
        <v>65000</v>
      </c>
      <c r="F18" s="103">
        <f t="shared" si="0"/>
        <v>65000</v>
      </c>
    </row>
    <row r="19" spans="1:6" s="99" customFormat="1" ht="16.5" customHeight="1" x14ac:dyDescent="0.25">
      <c r="A19" s="120" t="s">
        <v>19</v>
      </c>
      <c r="B19" s="92" t="s">
        <v>305</v>
      </c>
      <c r="C19" s="92"/>
      <c r="D19" s="92"/>
      <c r="E19" s="102">
        <f>'1a).Normatíva'!C66+'1a).Normatíva'!C68</f>
        <v>45000</v>
      </c>
      <c r="F19" s="103">
        <f t="shared" si="0"/>
        <v>45000</v>
      </c>
    </row>
    <row r="20" spans="1:6" s="101" customFormat="1" ht="20.25" customHeight="1" x14ac:dyDescent="0.25">
      <c r="A20" s="132" t="s">
        <v>7</v>
      </c>
      <c r="B20" s="104" t="s">
        <v>90</v>
      </c>
      <c r="C20" s="100">
        <f>SUM(C8:C18)</f>
        <v>12552000</v>
      </c>
      <c r="D20" s="100">
        <f>SUM(D8:D18)</f>
        <v>55451596</v>
      </c>
      <c r="E20" s="100">
        <f>SUM(E8:E19)</f>
        <v>223402384</v>
      </c>
      <c r="F20" s="100">
        <f t="shared" si="0"/>
        <v>291405980</v>
      </c>
    </row>
    <row r="21" spans="1:6" s="101" customFormat="1" ht="15.6" customHeight="1" thickBot="1" x14ac:dyDescent="0.3">
      <c r="A21" s="598" t="s">
        <v>105</v>
      </c>
      <c r="B21" s="546"/>
      <c r="C21" s="546"/>
      <c r="D21" s="546"/>
      <c r="E21" s="546"/>
      <c r="F21" s="599"/>
    </row>
    <row r="22" spans="1:6" s="99" customFormat="1" ht="14.4" x14ac:dyDescent="0.25">
      <c r="A22" s="131" t="s">
        <v>7</v>
      </c>
      <c r="B22" s="111" t="s">
        <v>454</v>
      </c>
      <c r="C22" s="108"/>
      <c r="D22" s="108"/>
      <c r="E22" s="109">
        <f>'1a).Normatíva'!C59</f>
        <v>1080000</v>
      </c>
      <c r="F22" s="110">
        <f>SUM(C22:E22)</f>
        <v>1080000</v>
      </c>
    </row>
    <row r="23" spans="1:6" s="101" customFormat="1" ht="14.4" x14ac:dyDescent="0.25">
      <c r="A23" s="132" t="s">
        <v>31</v>
      </c>
      <c r="B23" s="584" t="s">
        <v>91</v>
      </c>
      <c r="C23" s="585"/>
      <c r="D23" s="585"/>
      <c r="E23" s="586"/>
      <c r="F23" s="100">
        <f>SUM(F22:F22)</f>
        <v>1080000</v>
      </c>
    </row>
    <row r="24" spans="1:6" s="99" customFormat="1" ht="14.4" x14ac:dyDescent="0.25">
      <c r="A24" s="248"/>
      <c r="B24" s="249"/>
      <c r="C24" s="105"/>
      <c r="D24" s="105"/>
      <c r="E24" s="105"/>
      <c r="F24" s="105"/>
    </row>
    <row r="25" spans="1:6" s="101" customFormat="1" ht="28.5" customHeight="1" x14ac:dyDescent="0.25">
      <c r="A25" s="247" t="s">
        <v>27</v>
      </c>
      <c r="B25" s="250" t="s">
        <v>306</v>
      </c>
      <c r="C25" s="106">
        <f>C23+C20</f>
        <v>12552000</v>
      </c>
      <c r="D25" s="106">
        <f>D23+D20</f>
        <v>55451596</v>
      </c>
      <c r="E25" s="106">
        <f>(E20+E22)</f>
        <v>224482384</v>
      </c>
      <c r="F25" s="106">
        <f>SUM(C25:E25)</f>
        <v>292485980</v>
      </c>
    </row>
    <row r="26" spans="1:6" ht="15.6" x14ac:dyDescent="0.25">
      <c r="A26" s="127"/>
    </row>
    <row r="27" spans="1:6" ht="18.600000000000001" customHeight="1" thickBot="1" x14ac:dyDescent="0.3">
      <c r="A27" s="600" t="s">
        <v>95</v>
      </c>
      <c r="B27" s="601"/>
      <c r="C27" s="601"/>
      <c r="D27" s="601"/>
      <c r="E27" s="601"/>
      <c r="F27" s="602"/>
    </row>
    <row r="28" spans="1:6" s="1" customFormat="1" ht="29.4" thickBot="1" x14ac:dyDescent="0.3">
      <c r="A28" s="427" t="s">
        <v>448</v>
      </c>
      <c r="B28" s="427" t="s">
        <v>101</v>
      </c>
      <c r="C28" s="112" t="s">
        <v>29</v>
      </c>
      <c r="D28" s="112"/>
      <c r="E28" s="112" t="s">
        <v>107</v>
      </c>
      <c r="F28" s="112" t="s">
        <v>304</v>
      </c>
    </row>
    <row r="29" spans="1:6" s="1" customFormat="1" ht="20.25" customHeight="1" x14ac:dyDescent="0.25">
      <c r="A29" s="133" t="s">
        <v>7</v>
      </c>
      <c r="B29" s="114" t="s">
        <v>106</v>
      </c>
      <c r="C29" s="115"/>
      <c r="D29" s="116"/>
      <c r="E29" s="115"/>
      <c r="F29" s="115"/>
    </row>
    <row r="30" spans="1:6" s="97" customFormat="1" ht="25.5" customHeight="1" x14ac:dyDescent="0.25">
      <c r="A30" s="120"/>
      <c r="B30" s="107" t="s">
        <v>189</v>
      </c>
      <c r="C30" s="96">
        <f>('2).Bevétel intézmény'!F41)</f>
        <v>11080000</v>
      </c>
      <c r="D30" s="95"/>
      <c r="E30" s="95"/>
      <c r="F30" s="62">
        <f>SUM(C30:E30)</f>
        <v>11080000</v>
      </c>
    </row>
    <row r="31" spans="1:6" s="97" customFormat="1" ht="14.4" x14ac:dyDescent="0.25">
      <c r="A31" s="120"/>
      <c r="B31" s="107" t="s">
        <v>107</v>
      </c>
      <c r="C31" s="95"/>
      <c r="D31" s="95"/>
      <c r="E31" s="96">
        <f>('2).Bevétel intézmény'!F48)</f>
        <v>67264832</v>
      </c>
      <c r="F31" s="62">
        <f>SUM(C31:E31)</f>
        <v>67264832</v>
      </c>
    </row>
    <row r="32" spans="1:6" s="97" customFormat="1" ht="14.4" x14ac:dyDescent="0.25">
      <c r="A32" s="120"/>
      <c r="B32" s="93" t="s">
        <v>434</v>
      </c>
      <c r="C32" s="95"/>
      <c r="D32" s="95"/>
      <c r="E32" s="96">
        <f>('2).Bevétel intézmény'!F38)</f>
        <v>0</v>
      </c>
      <c r="F32" s="62">
        <f>SUM(C32:E32)</f>
        <v>0</v>
      </c>
    </row>
    <row r="33" spans="1:6" s="97" customFormat="1" ht="28.8" x14ac:dyDescent="0.25">
      <c r="A33" s="119" t="s">
        <v>31</v>
      </c>
      <c r="B33" s="94" t="s">
        <v>108</v>
      </c>
      <c r="C33" s="98">
        <f>SUM(C30:C32)</f>
        <v>11080000</v>
      </c>
      <c r="D33" s="98">
        <v>0</v>
      </c>
      <c r="E33" s="98">
        <f>SUM(E30:E32)</f>
        <v>67264832</v>
      </c>
      <c r="F33" s="98">
        <f>SUM(F30:F32)</f>
        <v>78344832</v>
      </c>
    </row>
    <row r="34" spans="1:6" x14ac:dyDescent="0.25">
      <c r="A34" s="128"/>
      <c r="B34" s="30"/>
      <c r="C34" s="31"/>
      <c r="D34" s="30"/>
      <c r="E34" s="31"/>
      <c r="F34" s="31"/>
    </row>
    <row r="35" spans="1:6" ht="18.600000000000001" customHeight="1" x14ac:dyDescent="0.25">
      <c r="A35" s="581" t="s">
        <v>583</v>
      </c>
      <c r="B35" s="582"/>
      <c r="C35" s="582"/>
      <c r="D35" s="582"/>
      <c r="E35" s="582"/>
      <c r="F35" s="583"/>
    </row>
    <row r="36" spans="1:6" s="1" customFormat="1" ht="29.4" thickBot="1" x14ac:dyDescent="0.3">
      <c r="A36" s="427" t="s">
        <v>448</v>
      </c>
      <c r="B36" s="427" t="s">
        <v>101</v>
      </c>
      <c r="C36" s="112" t="s">
        <v>29</v>
      </c>
      <c r="D36" s="112"/>
      <c r="E36" s="112" t="s">
        <v>107</v>
      </c>
      <c r="F36" s="112" t="s">
        <v>304</v>
      </c>
    </row>
    <row r="37" spans="1:6" s="1" customFormat="1" ht="18" customHeight="1" x14ac:dyDescent="0.25">
      <c r="A37" s="131"/>
      <c r="B37" s="72" t="s">
        <v>109</v>
      </c>
      <c r="C37" s="117"/>
      <c r="D37" s="117"/>
      <c r="E37" s="117"/>
      <c r="F37" s="118">
        <f>SUM(F34:F36)</f>
        <v>0</v>
      </c>
    </row>
    <row r="38" spans="1:6" s="1" customFormat="1" ht="14.4" x14ac:dyDescent="0.25">
      <c r="A38" s="120"/>
      <c r="B38" s="45" t="s">
        <v>110</v>
      </c>
      <c r="C38" s="96">
        <f>('2).Bevétel intézmény'!F73)</f>
        <v>3000</v>
      </c>
      <c r="D38" s="53"/>
      <c r="E38" s="53"/>
      <c r="F38" s="62">
        <f t="shared" ref="F38:F39" si="1">SUM(F36:F37)</f>
        <v>0</v>
      </c>
    </row>
    <row r="39" spans="1:6" s="1" customFormat="1" ht="26.25" customHeight="1" x14ac:dyDescent="0.25">
      <c r="A39" s="132" t="s">
        <v>7</v>
      </c>
      <c r="B39" s="82" t="s">
        <v>90</v>
      </c>
      <c r="C39" s="88">
        <f>SUM(C37:C38)</f>
        <v>3000</v>
      </c>
      <c r="D39" s="88">
        <f>SUM(D37:D38)</f>
        <v>0</v>
      </c>
      <c r="E39" s="88">
        <f>SUM(E37:E38)</f>
        <v>0</v>
      </c>
      <c r="F39" s="88">
        <f t="shared" si="1"/>
        <v>0</v>
      </c>
    </row>
    <row r="40" spans="1:6" ht="14.4" x14ac:dyDescent="0.25">
      <c r="A40" s="120"/>
      <c r="B40" s="45" t="s">
        <v>107</v>
      </c>
      <c r="C40" s="95"/>
      <c r="D40" s="95"/>
      <c r="E40" s="96">
        <f>('2).Bevétel intézmény'!F76)</f>
        <v>62670624</v>
      </c>
      <c r="F40" s="62">
        <f>SUM(C40:E40)</f>
        <v>62670624</v>
      </c>
    </row>
    <row r="41" spans="1:6" ht="28.8" x14ac:dyDescent="0.25">
      <c r="A41" s="119" t="s">
        <v>32</v>
      </c>
      <c r="B41" s="46" t="s">
        <v>457</v>
      </c>
      <c r="C41" s="98">
        <f>SUM(C39:C40)</f>
        <v>3000</v>
      </c>
      <c r="D41" s="98">
        <f t="shared" ref="D41:F41" si="2">SUM(D39:D40)</f>
        <v>0</v>
      </c>
      <c r="E41" s="98">
        <f t="shared" si="2"/>
        <v>62670624</v>
      </c>
      <c r="F41" s="98">
        <f t="shared" si="2"/>
        <v>62670624</v>
      </c>
    </row>
    <row r="42" spans="1:6" ht="20.25" customHeight="1" x14ac:dyDescent="0.25">
      <c r="A42" s="129"/>
      <c r="B42" s="26"/>
      <c r="C42" s="32"/>
      <c r="D42" s="32"/>
      <c r="E42" s="32"/>
      <c r="F42" s="32"/>
    </row>
    <row r="43" spans="1:6" ht="20.25" customHeight="1" x14ac:dyDescent="0.25">
      <c r="A43" s="578" t="s">
        <v>456</v>
      </c>
      <c r="B43" s="579"/>
      <c r="C43" s="579"/>
      <c r="D43" s="579"/>
      <c r="E43" s="579"/>
      <c r="F43" s="580"/>
    </row>
    <row r="44" spans="1:6" s="1" customFormat="1" ht="29.4" thickBot="1" x14ac:dyDescent="0.3">
      <c r="A44" s="427" t="s">
        <v>448</v>
      </c>
      <c r="B44" s="427" t="s">
        <v>101</v>
      </c>
      <c r="C44" s="112" t="s">
        <v>29</v>
      </c>
      <c r="D44" s="112"/>
      <c r="E44" s="112" t="s">
        <v>107</v>
      </c>
      <c r="F44" s="112" t="s">
        <v>304</v>
      </c>
    </row>
    <row r="45" spans="1:6" s="1" customFormat="1" ht="14.4" x14ac:dyDescent="0.25">
      <c r="A45" s="131"/>
      <c r="B45" s="72" t="s">
        <v>109</v>
      </c>
      <c r="C45" s="117"/>
      <c r="D45" s="117"/>
      <c r="E45" s="117"/>
      <c r="F45" s="118">
        <v>0</v>
      </c>
    </row>
    <row r="46" spans="1:6" s="1" customFormat="1" ht="22.95" customHeight="1" x14ac:dyDescent="0.25">
      <c r="A46" s="132" t="s">
        <v>7</v>
      </c>
      <c r="B46" s="82" t="s">
        <v>90</v>
      </c>
      <c r="C46" s="88">
        <f t="shared" ref="C46:D46" si="3">SUM(C45)</f>
        <v>0</v>
      </c>
      <c r="D46" s="88">
        <f t="shared" si="3"/>
        <v>0</v>
      </c>
      <c r="E46" s="88">
        <f>SUM(E45)</f>
        <v>0</v>
      </c>
      <c r="F46" s="88">
        <v>0</v>
      </c>
    </row>
    <row r="47" spans="1:6" ht="14.4" x14ac:dyDescent="0.25">
      <c r="A47" s="120"/>
      <c r="B47" s="45" t="s">
        <v>330</v>
      </c>
      <c r="C47" s="96">
        <f>('2).Bevétel intézmény'!F59)</f>
        <v>1003000</v>
      </c>
      <c r="D47" s="53"/>
      <c r="E47" s="53"/>
      <c r="F47" s="62">
        <f>SUM(C47:E47)</f>
        <v>1003000</v>
      </c>
    </row>
    <row r="48" spans="1:6" ht="14.4" x14ac:dyDescent="0.25">
      <c r="A48" s="120"/>
      <c r="B48" s="45" t="s">
        <v>107</v>
      </c>
      <c r="C48" s="95"/>
      <c r="D48" s="95"/>
      <c r="E48" s="96">
        <f>('2).Bevétel intézmény'!F62)</f>
        <v>29764268</v>
      </c>
      <c r="F48" s="62">
        <f>SUM(C48:E48)</f>
        <v>29764268</v>
      </c>
    </row>
    <row r="49" spans="1:6" ht="28.8" x14ac:dyDescent="0.25">
      <c r="A49" s="119" t="s">
        <v>33</v>
      </c>
      <c r="B49" s="46" t="s">
        <v>455</v>
      </c>
      <c r="C49" s="98">
        <f>SUM(C46:C48)</f>
        <v>1003000</v>
      </c>
      <c r="D49" s="98">
        <f t="shared" ref="D49:F49" si="4">SUM(D46:D48)</f>
        <v>0</v>
      </c>
      <c r="E49" s="98">
        <f t="shared" si="4"/>
        <v>29764268</v>
      </c>
      <c r="F49" s="98">
        <f t="shared" si="4"/>
        <v>30767268</v>
      </c>
    </row>
    <row r="50" spans="1:6" ht="14.4" x14ac:dyDescent="0.25">
      <c r="A50" s="130"/>
      <c r="B50" s="35"/>
      <c r="C50" s="36"/>
      <c r="D50" s="35"/>
      <c r="E50" s="36"/>
      <c r="F50" s="36"/>
    </row>
    <row r="51" spans="1:6" ht="14.4" x14ac:dyDescent="0.3">
      <c r="A51" s="134"/>
      <c r="B51" s="33"/>
      <c r="C51" s="33"/>
      <c r="D51" s="33"/>
      <c r="E51" s="33"/>
      <c r="F51" s="33"/>
    </row>
    <row r="52" spans="1:6" ht="15.6" x14ac:dyDescent="0.25">
      <c r="A52" s="127"/>
    </row>
  </sheetData>
  <mergeCells count="13">
    <mergeCell ref="A43:F43"/>
    <mergeCell ref="A35:F35"/>
    <mergeCell ref="B23:E23"/>
    <mergeCell ref="A1:F1"/>
    <mergeCell ref="C3:C4"/>
    <mergeCell ref="B3:B4"/>
    <mergeCell ref="A5:F5"/>
    <mergeCell ref="A3:A4"/>
    <mergeCell ref="A6:F6"/>
    <mergeCell ref="F3:F4"/>
    <mergeCell ref="A21:F21"/>
    <mergeCell ref="A7:F7"/>
    <mergeCell ref="A27:F27"/>
  </mergeCells>
  <pageMargins left="0.70866141732283461" right="0.70866141732283461" top="0.74803149606299213" bottom="0.74803149606299213" header="0.31496062992125984" footer="0.31496062992125984"/>
  <pageSetup paperSize="9" scale="72" orientation="portrait" r:id="rId1"/>
  <headerFooter>
    <oddHeader>&amp;R2./a sz. melléklet
Ft-ban</oddHeader>
  </headerFooter>
  <ignoredErrors>
    <ignoredError sqref="F4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8">
    <pageSetUpPr fitToPage="1"/>
  </sheetPr>
  <dimension ref="A1:K36"/>
  <sheetViews>
    <sheetView tabSelected="1" zoomScale="80" zoomScaleNormal="80" workbookViewId="0">
      <selection activeCell="N48" sqref="N48"/>
    </sheetView>
  </sheetViews>
  <sheetFormatPr defaultRowHeight="13.2" x14ac:dyDescent="0.25"/>
  <cols>
    <col min="1" max="1" width="5.88671875" bestFit="1" customWidth="1"/>
    <col min="2" max="2" width="4.44140625" customWidth="1"/>
    <col min="3" max="3" width="8.6640625" style="448" customWidth="1"/>
    <col min="4" max="4" width="19.33203125" customWidth="1"/>
    <col min="5" max="6" width="17.88671875" bestFit="1" customWidth="1"/>
    <col min="7" max="8" width="16.88671875" bestFit="1" customWidth="1"/>
    <col min="9" max="9" width="15.5546875" customWidth="1"/>
    <col min="11" max="11" width="11.44140625" bestFit="1" customWidth="1"/>
  </cols>
  <sheetData>
    <row r="1" spans="1:11" ht="18" x14ac:dyDescent="0.25">
      <c r="A1" s="477" t="s">
        <v>538</v>
      </c>
      <c r="B1" s="477"/>
      <c r="C1" s="477"/>
      <c r="D1" s="477"/>
      <c r="E1" s="477"/>
      <c r="F1" s="477"/>
      <c r="G1" s="477"/>
      <c r="H1" s="477"/>
      <c r="I1" s="477"/>
    </row>
    <row r="2" spans="1:11" s="3" customFormat="1" ht="15.6" x14ac:dyDescent="0.25">
      <c r="A2" s="127"/>
      <c r="B2" s="127"/>
      <c r="C2" s="446"/>
    </row>
    <row r="3" spans="1:11" ht="28.8" customHeight="1" x14ac:dyDescent="0.25">
      <c r="A3" s="658" t="s">
        <v>414</v>
      </c>
      <c r="B3" s="659"/>
      <c r="C3" s="659"/>
      <c r="D3" s="301" t="s">
        <v>409</v>
      </c>
      <c r="E3" s="609" t="s">
        <v>509</v>
      </c>
      <c r="F3" s="611" t="s">
        <v>489</v>
      </c>
      <c r="G3" s="611" t="s">
        <v>465</v>
      </c>
      <c r="H3" s="611" t="s">
        <v>466</v>
      </c>
      <c r="I3" s="611" t="s">
        <v>467</v>
      </c>
    </row>
    <row r="4" spans="1:11" ht="31.2" x14ac:dyDescent="0.25">
      <c r="A4" s="658" t="s">
        <v>534</v>
      </c>
      <c r="B4" s="659"/>
      <c r="C4" s="659"/>
      <c r="D4" s="301" t="s">
        <v>415</v>
      </c>
      <c r="E4" s="610"/>
      <c r="F4" s="612"/>
      <c r="G4" s="612"/>
      <c r="H4" s="612"/>
      <c r="I4" s="612"/>
    </row>
    <row r="5" spans="1:11" s="1" customFormat="1" ht="14.4" x14ac:dyDescent="0.25">
      <c r="A5" s="508" t="s">
        <v>122</v>
      </c>
      <c r="B5" s="510"/>
      <c r="C5" s="656" t="s">
        <v>36</v>
      </c>
      <c r="D5" s="657"/>
      <c r="E5" s="124">
        <f>'3a).Személyi jutt intézmény'!C72</f>
        <v>177692961</v>
      </c>
      <c r="F5" s="124">
        <f>'3a).Személyi jutt intézmény'!D72</f>
        <v>177198530</v>
      </c>
      <c r="G5" s="124"/>
      <c r="H5" s="124"/>
      <c r="I5" s="124"/>
      <c r="K5" s="186"/>
    </row>
    <row r="6" spans="1:11" s="1" customFormat="1" ht="14.4" x14ac:dyDescent="0.25">
      <c r="A6" s="508" t="s">
        <v>121</v>
      </c>
      <c r="B6" s="510"/>
      <c r="C6" s="656" t="s">
        <v>123</v>
      </c>
      <c r="D6" s="657"/>
      <c r="E6" s="124">
        <f>'3a).Személyi jutt intézmény'!C74</f>
        <v>29526816</v>
      </c>
      <c r="F6" s="124">
        <f>'3a).Személyi jutt intézmény'!D74</f>
        <v>25874761</v>
      </c>
      <c r="G6" s="124"/>
      <c r="H6" s="124"/>
      <c r="I6" s="124"/>
    </row>
    <row r="7" spans="1:11" s="1" customFormat="1" ht="14.4" x14ac:dyDescent="0.25">
      <c r="A7" s="508" t="s">
        <v>124</v>
      </c>
      <c r="B7" s="510"/>
      <c r="C7" s="656" t="s">
        <v>37</v>
      </c>
      <c r="D7" s="657"/>
      <c r="E7" s="124">
        <f>'3b).Dologi kiad intézmény'!C97</f>
        <v>90505000</v>
      </c>
      <c r="F7" s="124">
        <f>'3b).Dologi kiad intézmény'!D97</f>
        <v>77072432</v>
      </c>
      <c r="G7" s="124"/>
      <c r="H7" s="124"/>
      <c r="I7" s="124"/>
    </row>
    <row r="8" spans="1:11" ht="14.4" x14ac:dyDescent="0.25">
      <c r="A8" s="603"/>
      <c r="B8" s="604"/>
      <c r="C8" s="449" t="s">
        <v>584</v>
      </c>
      <c r="D8" s="288" t="s">
        <v>128</v>
      </c>
      <c r="E8" s="171">
        <f>('4).Kiadás intézmény'!C8)</f>
        <v>0</v>
      </c>
      <c r="F8" s="171">
        <f>('4).Kiadás intézmény'!D8)</f>
        <v>0</v>
      </c>
      <c r="G8" s="171"/>
      <c r="H8" s="171"/>
      <c r="I8" s="171"/>
    </row>
    <row r="9" spans="1:11" ht="28.8" x14ac:dyDescent="0.25">
      <c r="A9" s="603"/>
      <c r="B9" s="604"/>
      <c r="C9" s="449" t="s">
        <v>585</v>
      </c>
      <c r="D9" s="288" t="s">
        <v>130</v>
      </c>
      <c r="E9" s="171">
        <f>('4).Kiadás intézmény'!C9)</f>
        <v>0</v>
      </c>
      <c r="F9" s="171">
        <f>('4).Kiadás intézmény'!D9)</f>
        <v>0</v>
      </c>
      <c r="G9" s="171"/>
      <c r="H9" s="171"/>
      <c r="I9" s="171"/>
    </row>
    <row r="10" spans="1:11" ht="28.8" x14ac:dyDescent="0.25">
      <c r="A10" s="603"/>
      <c r="B10" s="604"/>
      <c r="C10" s="449" t="s">
        <v>586</v>
      </c>
      <c r="D10" s="288" t="s">
        <v>132</v>
      </c>
      <c r="E10" s="171">
        <f>('4).Kiadás intézmény'!C10)</f>
        <v>0</v>
      </c>
      <c r="F10" s="171">
        <f>('4).Kiadás intézmény'!D10)</f>
        <v>0</v>
      </c>
      <c r="G10" s="171"/>
      <c r="H10" s="171"/>
      <c r="I10" s="171"/>
    </row>
    <row r="11" spans="1:11" s="1" customFormat="1" ht="28.8" x14ac:dyDescent="0.25">
      <c r="A11" s="603"/>
      <c r="B11" s="604"/>
      <c r="C11" s="449" t="s">
        <v>587</v>
      </c>
      <c r="D11" s="288" t="s">
        <v>134</v>
      </c>
      <c r="E11" s="171">
        <f>('4).Kiadás intézmény'!C11)</f>
        <v>2800000</v>
      </c>
      <c r="F11" s="171">
        <f>('4).Kiadás intézmény'!D11)</f>
        <v>2800000</v>
      </c>
      <c r="G11" s="171"/>
      <c r="H11" s="171"/>
      <c r="I11" s="171"/>
    </row>
    <row r="12" spans="1:11" s="1" customFormat="1" ht="14.4" x14ac:dyDescent="0.25">
      <c r="A12" s="508" t="s">
        <v>125</v>
      </c>
      <c r="B12" s="510"/>
      <c r="C12" s="656" t="s">
        <v>126</v>
      </c>
      <c r="D12" s="657"/>
      <c r="E12" s="124">
        <f>SUM(E8:E11)</f>
        <v>2800000</v>
      </c>
      <c r="F12" s="124">
        <f>SUM(F8:F11)</f>
        <v>2800000</v>
      </c>
      <c r="G12" s="124"/>
      <c r="H12" s="124"/>
      <c r="I12" s="124"/>
    </row>
    <row r="13" spans="1:11" ht="14.4" x14ac:dyDescent="0.25">
      <c r="A13" s="603"/>
      <c r="B13" s="604"/>
      <c r="C13" s="126" t="s">
        <v>351</v>
      </c>
      <c r="D13" s="288" t="s">
        <v>352</v>
      </c>
      <c r="E13" s="171">
        <f>('4).Kiadás intézmény'!C13)</f>
        <v>0</v>
      </c>
      <c r="F13" s="171">
        <f>('4).Kiadás intézmény'!D13)</f>
        <v>2540</v>
      </c>
      <c r="G13" s="171"/>
      <c r="H13" s="171"/>
      <c r="I13" s="171"/>
    </row>
    <row r="14" spans="1:11" ht="57.6" x14ac:dyDescent="0.25">
      <c r="A14" s="603"/>
      <c r="B14" s="604"/>
      <c r="C14" s="126" t="s">
        <v>391</v>
      </c>
      <c r="D14" s="288" t="s">
        <v>298</v>
      </c>
      <c r="E14" s="171">
        <f>('4).Kiadás intézmény'!C14)</f>
        <v>520000</v>
      </c>
      <c r="F14" s="171">
        <f>('4).Kiadás intézmény'!D14)</f>
        <v>520000</v>
      </c>
      <c r="G14" s="171"/>
      <c r="H14" s="171"/>
      <c r="I14" s="171"/>
    </row>
    <row r="15" spans="1:11" s="6" customFormat="1" ht="28.8" x14ac:dyDescent="0.25">
      <c r="A15" s="603"/>
      <c r="B15" s="604"/>
      <c r="C15" s="126" t="s">
        <v>353</v>
      </c>
      <c r="D15" s="298" t="s">
        <v>354</v>
      </c>
      <c r="E15" s="171">
        <f>('4).Kiadás intézmény'!C15)</f>
        <v>0</v>
      </c>
      <c r="F15" s="171">
        <f>('4).Kiadás intézmény'!D15)</f>
        <v>0</v>
      </c>
      <c r="G15" s="171"/>
      <c r="H15" s="171"/>
      <c r="I15" s="171"/>
    </row>
    <row r="16" spans="1:11" ht="28.8" x14ac:dyDescent="0.25">
      <c r="A16" s="603"/>
      <c r="B16" s="604"/>
      <c r="C16" s="126" t="s">
        <v>377</v>
      </c>
      <c r="D16" s="655" t="s">
        <v>475</v>
      </c>
      <c r="E16" s="171">
        <f>('10).Adott támogatások'!$B15)</f>
        <v>3360000</v>
      </c>
      <c r="F16" s="171">
        <f>'10).Adott támogatások'!C15</f>
        <v>490000</v>
      </c>
      <c r="G16" s="171"/>
      <c r="H16" s="171"/>
      <c r="I16" s="171"/>
    </row>
    <row r="17" spans="1:9" s="1" customFormat="1" ht="14.4" x14ac:dyDescent="0.25">
      <c r="A17" s="603"/>
      <c r="B17" s="604"/>
      <c r="C17" s="126" t="s">
        <v>378</v>
      </c>
      <c r="D17" s="55" t="s">
        <v>423</v>
      </c>
      <c r="E17" s="171">
        <f>('4).Kiadás intézmény'!C19)</f>
        <v>69637249</v>
      </c>
      <c r="F17" s="171">
        <f>('4).Kiadás intézmény'!D19)</f>
        <v>61256463</v>
      </c>
      <c r="G17" s="171"/>
      <c r="H17" s="171"/>
      <c r="I17" s="171"/>
    </row>
    <row r="18" spans="1:9" s="1" customFormat="1" ht="14.4" x14ac:dyDescent="0.25">
      <c r="A18" s="508" t="s">
        <v>135</v>
      </c>
      <c r="B18" s="510"/>
      <c r="C18" s="656" t="s">
        <v>136</v>
      </c>
      <c r="D18" s="657"/>
      <c r="E18" s="124">
        <f>(E13+E14+E15+E16+E17)</f>
        <v>73517249</v>
      </c>
      <c r="F18" s="124">
        <f>(F13+F14+F15+F16+F17)</f>
        <v>62269003</v>
      </c>
      <c r="G18" s="124"/>
      <c r="H18" s="124"/>
      <c r="I18" s="124"/>
    </row>
    <row r="19" spans="1:9" ht="14.4" x14ac:dyDescent="0.25">
      <c r="A19" s="603"/>
      <c r="B19" s="604"/>
      <c r="C19" s="447" t="s">
        <v>424</v>
      </c>
      <c r="D19" s="288" t="s">
        <v>400</v>
      </c>
      <c r="E19" s="171">
        <f>('1c).Beruházás felújítás'!$H69)</f>
        <v>0</v>
      </c>
      <c r="F19" s="171">
        <f>('1c).Beruházás felújítás'!$H69)</f>
        <v>0</v>
      </c>
      <c r="G19" s="171"/>
      <c r="H19" s="171"/>
      <c r="I19" s="171"/>
    </row>
    <row r="20" spans="1:9" ht="28.8" x14ac:dyDescent="0.25">
      <c r="A20" s="603"/>
      <c r="B20" s="604"/>
      <c r="C20" s="447" t="s">
        <v>425</v>
      </c>
      <c r="D20" s="288" t="s">
        <v>191</v>
      </c>
      <c r="E20" s="171">
        <f>('1c).Beruházás felújítás'!$H70)</f>
        <v>0</v>
      </c>
      <c r="F20" s="171">
        <f>('1c).Beruházás felújítás'!$H70)</f>
        <v>0</v>
      </c>
      <c r="G20" s="171"/>
      <c r="H20" s="171"/>
      <c r="I20" s="171"/>
    </row>
    <row r="21" spans="1:9" ht="28.8" x14ac:dyDescent="0.25">
      <c r="A21" s="603"/>
      <c r="B21" s="604"/>
      <c r="C21" s="447" t="s">
        <v>426</v>
      </c>
      <c r="D21" s="288" t="s">
        <v>359</v>
      </c>
      <c r="E21" s="171">
        <f>('1c).Beruházás felújítás'!$H71)</f>
        <v>540000</v>
      </c>
      <c r="F21" s="171">
        <f>('1c).Beruházás felújítás'!$H71)</f>
        <v>540000</v>
      </c>
      <c r="G21" s="171"/>
      <c r="H21" s="171"/>
      <c r="I21" s="171"/>
    </row>
    <row r="22" spans="1:9" ht="28.8" x14ac:dyDescent="0.25">
      <c r="A22" s="603"/>
      <c r="B22" s="604"/>
      <c r="C22" s="447" t="s">
        <v>427</v>
      </c>
      <c r="D22" s="288" t="s">
        <v>192</v>
      </c>
      <c r="E22" s="171">
        <f>('1c).Beruházás felújítás'!$H72)</f>
        <v>7342349.6062992122</v>
      </c>
      <c r="F22" s="171">
        <f>('1c).Beruházás felújítás'!$H72)</f>
        <v>7342349.6062992122</v>
      </c>
      <c r="G22" s="171"/>
      <c r="H22" s="171"/>
      <c r="I22" s="171"/>
    </row>
    <row r="23" spans="1:9" ht="28.8" x14ac:dyDescent="0.25">
      <c r="A23" s="603"/>
      <c r="B23" s="604"/>
      <c r="C23" s="447" t="s">
        <v>428</v>
      </c>
      <c r="D23" s="288" t="s">
        <v>193</v>
      </c>
      <c r="E23" s="171">
        <f>('1c).Beruházás felújítás'!$H73)</f>
        <v>1847434.3937007873</v>
      </c>
      <c r="F23" s="171">
        <f>('1c).Beruházás felújítás'!$H73)</f>
        <v>1847434.3937007873</v>
      </c>
      <c r="G23" s="171"/>
      <c r="H23" s="171"/>
      <c r="I23" s="171"/>
    </row>
    <row r="24" spans="1:9" s="1" customFormat="1" ht="14.4" x14ac:dyDescent="0.25">
      <c r="A24" s="508" t="s">
        <v>137</v>
      </c>
      <c r="B24" s="510"/>
      <c r="C24" s="656" t="s">
        <v>35</v>
      </c>
      <c r="D24" s="657"/>
      <c r="E24" s="124">
        <f>SUM(E19:E23)</f>
        <v>9729784</v>
      </c>
      <c r="F24" s="124">
        <f>SUM(F19:F23)</f>
        <v>9729784</v>
      </c>
      <c r="G24" s="124"/>
      <c r="H24" s="124"/>
      <c r="I24" s="124"/>
    </row>
    <row r="25" spans="1:9" ht="14.4" x14ac:dyDescent="0.25">
      <c r="A25" s="603"/>
      <c r="B25" s="604"/>
      <c r="C25" s="126" t="s">
        <v>429</v>
      </c>
      <c r="D25" s="288" t="s">
        <v>194</v>
      </c>
      <c r="E25" s="171">
        <f>('1c).Beruházás felújítás'!$H75)</f>
        <v>139850151.8425197</v>
      </c>
      <c r="F25" s="171">
        <f>('1c).Beruházás felújítás'!$H75)</f>
        <v>139850151.8425197</v>
      </c>
      <c r="G25" s="171"/>
      <c r="H25" s="171"/>
      <c r="I25" s="171"/>
    </row>
    <row r="26" spans="1:9" ht="14.4" x14ac:dyDescent="0.25">
      <c r="A26" s="603"/>
      <c r="B26" s="604"/>
      <c r="C26" s="126" t="s">
        <v>430</v>
      </c>
      <c r="D26" s="288" t="s">
        <v>195</v>
      </c>
      <c r="E26" s="171">
        <f>('1c).Beruházás felújítás'!$H76)</f>
        <v>0</v>
      </c>
      <c r="F26" s="171">
        <f>('1c).Beruházás felújítás'!$H76)</f>
        <v>0</v>
      </c>
      <c r="G26" s="171"/>
      <c r="H26" s="171"/>
      <c r="I26" s="171"/>
    </row>
    <row r="27" spans="1:9" ht="28.8" x14ac:dyDescent="0.25">
      <c r="A27" s="603"/>
      <c r="B27" s="604"/>
      <c r="C27" s="126" t="s">
        <v>431</v>
      </c>
      <c r="D27" s="288" t="s">
        <v>196</v>
      </c>
      <c r="E27" s="171">
        <f>('1c).Beruházás felújítás'!$H77)</f>
        <v>37759551.157480314</v>
      </c>
      <c r="F27" s="171">
        <f>('1c).Beruházás felújítás'!$H77)</f>
        <v>37759551.157480314</v>
      </c>
      <c r="G27" s="171"/>
      <c r="H27" s="171"/>
      <c r="I27" s="171"/>
    </row>
    <row r="28" spans="1:9" s="1" customFormat="1" ht="14.4" x14ac:dyDescent="0.25">
      <c r="A28" s="508" t="s">
        <v>138</v>
      </c>
      <c r="B28" s="510"/>
      <c r="C28" s="656" t="s">
        <v>38</v>
      </c>
      <c r="D28" s="657"/>
      <c r="E28" s="124">
        <f>SUM(E25:E27)</f>
        <v>177609703</v>
      </c>
      <c r="F28" s="124">
        <f>SUM(F25:F27)</f>
        <v>177609703</v>
      </c>
      <c r="G28" s="124"/>
      <c r="H28" s="124"/>
      <c r="I28" s="124"/>
    </row>
    <row r="29" spans="1:9" ht="43.2" x14ac:dyDescent="0.25">
      <c r="A29" s="603"/>
      <c r="B29" s="604"/>
      <c r="C29" s="126" t="s">
        <v>432</v>
      </c>
      <c r="D29" s="288" t="s">
        <v>141</v>
      </c>
      <c r="E29" s="171">
        <f>('4).Kiadás intézmény'!C23)</f>
        <v>0</v>
      </c>
      <c r="F29" s="171">
        <f>('4).Kiadás intézmény'!D23)</f>
        <v>0</v>
      </c>
      <c r="G29" s="171"/>
      <c r="H29" s="171"/>
      <c r="I29" s="171"/>
    </row>
    <row r="30" spans="1:9" s="1" customFormat="1" ht="14.4" x14ac:dyDescent="0.25">
      <c r="A30" s="508" t="s">
        <v>139</v>
      </c>
      <c r="B30" s="510"/>
      <c r="C30" s="656" t="s">
        <v>140</v>
      </c>
      <c r="D30" s="657"/>
      <c r="E30" s="124">
        <f>E29</f>
        <v>0</v>
      </c>
      <c r="F30" s="124">
        <f>F29</f>
        <v>0</v>
      </c>
      <c r="G30" s="124"/>
      <c r="H30" s="124"/>
      <c r="I30" s="124"/>
    </row>
    <row r="31" spans="1:9" s="2" customFormat="1" ht="15.6" x14ac:dyDescent="0.3">
      <c r="A31" s="605" t="s">
        <v>589</v>
      </c>
      <c r="B31" s="606"/>
      <c r="C31" s="607"/>
      <c r="D31" s="296" t="s">
        <v>341</v>
      </c>
      <c r="E31" s="125">
        <f>(E5+E6+E7+E12+E18+E24+E28+E30)</f>
        <v>561381513</v>
      </c>
      <c r="F31" s="125">
        <f>(F5+F6+F7+F12+F18+F24+F28+F30)</f>
        <v>532554213</v>
      </c>
      <c r="G31" s="125"/>
      <c r="H31" s="125"/>
      <c r="I31" s="125"/>
    </row>
    <row r="32" spans="1:9" ht="28.8" x14ac:dyDescent="0.25">
      <c r="A32" s="603"/>
      <c r="B32" s="604"/>
      <c r="C32" s="449" t="s">
        <v>333</v>
      </c>
      <c r="D32" s="288" t="s">
        <v>334</v>
      </c>
      <c r="E32" s="171">
        <f>('2).Bevétel intézmény'!E33)</f>
        <v>6778442</v>
      </c>
      <c r="F32" s="171">
        <f>('2).Bevétel intézmény'!F33)</f>
        <v>6778442</v>
      </c>
      <c r="G32" s="171"/>
      <c r="H32" s="171"/>
      <c r="I32" s="171"/>
    </row>
    <row r="33" spans="1:9" s="1" customFormat="1" ht="14.4" x14ac:dyDescent="0.25">
      <c r="A33" s="508" t="s">
        <v>142</v>
      </c>
      <c r="B33" s="510"/>
      <c r="C33" s="656" t="s">
        <v>143</v>
      </c>
      <c r="D33" s="657"/>
      <c r="E33" s="124">
        <f>E32</f>
        <v>6778442</v>
      </c>
      <c r="F33" s="124">
        <f>F32</f>
        <v>6778442</v>
      </c>
      <c r="G33" s="124"/>
      <c r="H33" s="124"/>
      <c r="I33" s="124"/>
    </row>
    <row r="34" spans="1:9" s="9" customFormat="1" ht="18" x14ac:dyDescent="0.35">
      <c r="A34" s="473" t="s">
        <v>343</v>
      </c>
      <c r="B34" s="473"/>
      <c r="C34" s="473"/>
      <c r="D34" s="473"/>
      <c r="E34" s="160">
        <f>(E31+E33)</f>
        <v>568159955</v>
      </c>
      <c r="F34" s="160">
        <f>(F31+F33)</f>
        <v>539332655</v>
      </c>
      <c r="G34" s="160"/>
      <c r="H34" s="160"/>
      <c r="I34" s="160"/>
    </row>
    <row r="35" spans="1:9" ht="14.4" x14ac:dyDescent="0.25">
      <c r="A35" s="603"/>
      <c r="B35" s="604"/>
      <c r="C35" s="449" t="s">
        <v>588</v>
      </c>
      <c r="D35" s="288" t="s">
        <v>311</v>
      </c>
      <c r="E35" s="171">
        <f>('1).Bevételek összesen'!E36)</f>
        <v>159633951</v>
      </c>
      <c r="F35" s="171">
        <f>('1).Bevételek összesen'!F36)</f>
        <v>159633951</v>
      </c>
      <c r="G35" s="171"/>
      <c r="H35" s="171"/>
      <c r="I35" s="171"/>
    </row>
    <row r="36" spans="1:9" s="6" customFormat="1" ht="15.6" x14ac:dyDescent="0.25">
      <c r="A36" s="608" t="s">
        <v>40</v>
      </c>
      <c r="B36" s="608"/>
      <c r="C36" s="608"/>
      <c r="D36" s="608"/>
      <c r="E36" s="161">
        <f>SUM(E34:E35)</f>
        <v>727793906</v>
      </c>
      <c r="F36" s="161">
        <f>SUM(F34:F35)</f>
        <v>698966606</v>
      </c>
      <c r="G36" s="161"/>
      <c r="H36" s="161"/>
      <c r="I36" s="161"/>
    </row>
  </sheetData>
  <mergeCells count="49">
    <mergeCell ref="A3:C3"/>
    <mergeCell ref="A4:C4"/>
    <mergeCell ref="C18:D18"/>
    <mergeCell ref="C24:D24"/>
    <mergeCell ref="C28:D28"/>
    <mergeCell ref="C30:D30"/>
    <mergeCell ref="C33:D33"/>
    <mergeCell ref="C5:D5"/>
    <mergeCell ref="C6:D6"/>
    <mergeCell ref="C7:D7"/>
    <mergeCell ref="C12:D12"/>
    <mergeCell ref="A1:I1"/>
    <mergeCell ref="A36:D36"/>
    <mergeCell ref="E3:E4"/>
    <mergeCell ref="F3:F4"/>
    <mergeCell ref="G3:G4"/>
    <mergeCell ref="H3:H4"/>
    <mergeCell ref="I3:I4"/>
    <mergeCell ref="A5:B5"/>
    <mergeCell ref="A6:B6"/>
    <mergeCell ref="A7:B7"/>
    <mergeCell ref="A8:B8"/>
    <mergeCell ref="A9:B9"/>
    <mergeCell ref="A10:B10"/>
    <mergeCell ref="A11:B11"/>
    <mergeCell ref="A12:B12"/>
    <mergeCell ref="A18:B18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5:B35"/>
    <mergeCell ref="A31:C31"/>
    <mergeCell ref="A24:B24"/>
    <mergeCell ref="A28:B28"/>
    <mergeCell ref="A30:B30"/>
    <mergeCell ref="A33:B33"/>
    <mergeCell ref="A25:B25"/>
    <mergeCell ref="A26:B26"/>
    <mergeCell ref="A27:B27"/>
    <mergeCell ref="A29:B29"/>
    <mergeCell ref="A32:B32"/>
    <mergeCell ref="A34:D34"/>
  </mergeCells>
  <phoneticPr fontId="28" type="noConversion"/>
  <printOptions horizontalCentered="1" verticalCentered="1"/>
  <pageMargins left="0.25" right="0.25" top="0.75" bottom="0.75" header="0.3" footer="0.3"/>
  <pageSetup paperSize="9" scale="65" orientation="landscape" r:id="rId1"/>
  <headerFooter>
    <oddHeader>&amp;R3. sz. melléklet
Ft-ban</oddHeader>
  </headerFooter>
  <ignoredErrors>
    <ignoredError sqref="E1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0"/>
  <sheetViews>
    <sheetView zoomScale="80" zoomScaleNormal="80" workbookViewId="0">
      <pane xSplit="1" topLeftCell="B1" activePane="topRight" state="frozen"/>
      <selection activeCell="J74" sqref="J74"/>
      <selection pane="topRight" activeCell="K14" sqref="K14"/>
    </sheetView>
  </sheetViews>
  <sheetFormatPr defaultColWidth="9.109375" defaultRowHeight="13.2" x14ac:dyDescent="0.25"/>
  <cols>
    <col min="1" max="1" width="6" style="3" bestFit="1" customWidth="1"/>
    <col min="2" max="2" width="53.88671875" style="3" customWidth="1"/>
    <col min="3" max="3" width="16.88671875" style="21" bestFit="1" customWidth="1"/>
    <col min="4" max="5" width="17.33203125" style="21" customWidth="1"/>
    <col min="6" max="6" width="16.109375" style="21" customWidth="1"/>
    <col min="7" max="7" width="17.88671875" style="21" customWidth="1"/>
    <col min="8" max="8" width="9.109375" style="21"/>
    <col min="9" max="9" width="11.33203125" style="21" bestFit="1" customWidth="1"/>
    <col min="10" max="16384" width="9.109375" style="21"/>
  </cols>
  <sheetData>
    <row r="1" spans="1:7" customFormat="1" ht="18" x14ac:dyDescent="0.25">
      <c r="A1" s="615" t="s">
        <v>522</v>
      </c>
      <c r="B1" s="616"/>
      <c r="C1" s="616"/>
      <c r="D1" s="616"/>
      <c r="E1" s="616"/>
      <c r="F1" s="616"/>
      <c r="G1" s="617"/>
    </row>
    <row r="2" spans="1:7" customFormat="1" ht="18" x14ac:dyDescent="0.25">
      <c r="A2" s="618" t="s">
        <v>510</v>
      </c>
      <c r="B2" s="619"/>
      <c r="C2" s="619"/>
      <c r="D2" s="619"/>
      <c r="E2" s="619"/>
      <c r="F2" s="619"/>
      <c r="G2" s="620"/>
    </row>
    <row r="3" spans="1:7" s="3" customFormat="1" ht="15.6" x14ac:dyDescent="0.25">
      <c r="A3" s="127"/>
    </row>
    <row r="4" spans="1:7" s="198" customFormat="1" ht="31.8" thickBot="1" x14ac:dyDescent="0.3">
      <c r="A4" s="621" t="s">
        <v>414</v>
      </c>
      <c r="B4" s="622"/>
      <c r="C4" s="384" t="s">
        <v>509</v>
      </c>
      <c r="D4" s="291" t="s">
        <v>489</v>
      </c>
      <c r="E4" s="291" t="s">
        <v>465</v>
      </c>
      <c r="F4" s="291" t="s">
        <v>466</v>
      </c>
      <c r="G4" s="291" t="s">
        <v>467</v>
      </c>
    </row>
    <row r="5" spans="1:7" s="3" customFormat="1" ht="15.6" x14ac:dyDescent="0.25">
      <c r="A5" s="298" t="s">
        <v>217</v>
      </c>
      <c r="B5" s="237" t="s">
        <v>218</v>
      </c>
      <c r="C5" s="284">
        <v>15574245</v>
      </c>
      <c r="D5" s="361">
        <v>15410400</v>
      </c>
      <c r="E5" s="284"/>
      <c r="F5" s="260"/>
      <c r="G5" s="260"/>
    </row>
    <row r="6" spans="1:7" s="3" customFormat="1" ht="15.6" x14ac:dyDescent="0.25">
      <c r="A6" s="298" t="s">
        <v>217</v>
      </c>
      <c r="B6" s="237" t="s">
        <v>524</v>
      </c>
      <c r="C6" s="284">
        <v>28952800</v>
      </c>
      <c r="D6" s="361">
        <f>11305350+19223400</f>
        <v>30528750</v>
      </c>
      <c r="E6" s="284"/>
      <c r="F6" s="260"/>
      <c r="G6" s="260"/>
    </row>
    <row r="7" spans="1:7" s="3" customFormat="1" ht="15.6" x14ac:dyDescent="0.25">
      <c r="A7" s="298" t="s">
        <v>220</v>
      </c>
      <c r="B7" s="237" t="s">
        <v>221</v>
      </c>
      <c r="C7" s="284">
        <v>243288</v>
      </c>
      <c r="D7" s="361">
        <v>243288</v>
      </c>
      <c r="E7" s="284"/>
      <c r="F7" s="260"/>
      <c r="G7" s="260"/>
    </row>
    <row r="8" spans="1:7" s="3" customFormat="1" ht="15.6" x14ac:dyDescent="0.25">
      <c r="A8" s="298" t="s">
        <v>222</v>
      </c>
      <c r="B8" s="237" t="s">
        <v>223</v>
      </c>
      <c r="C8" s="284">
        <v>0</v>
      </c>
      <c r="D8" s="361">
        <v>0</v>
      </c>
      <c r="E8" s="284"/>
      <c r="F8" s="260"/>
      <c r="G8" s="260"/>
    </row>
    <row r="9" spans="1:7" s="3" customFormat="1" ht="15.6" x14ac:dyDescent="0.25">
      <c r="A9" s="298" t="s">
        <v>224</v>
      </c>
      <c r="B9" s="237" t="s">
        <v>225</v>
      </c>
      <c r="C9" s="284">
        <v>0</v>
      </c>
      <c r="D9" s="361">
        <v>0</v>
      </c>
      <c r="E9" s="284"/>
      <c r="F9" s="260"/>
      <c r="G9" s="260"/>
    </row>
    <row r="10" spans="1:7" s="3" customFormat="1" ht="15.6" x14ac:dyDescent="0.25">
      <c r="A10" s="298" t="s">
        <v>226</v>
      </c>
      <c r="B10" s="237" t="s">
        <v>227</v>
      </c>
      <c r="C10" s="284">
        <v>0</v>
      </c>
      <c r="D10" s="361">
        <v>0</v>
      </c>
      <c r="E10" s="284"/>
      <c r="F10" s="260"/>
      <c r="G10" s="260"/>
    </row>
    <row r="11" spans="1:7" s="3" customFormat="1" ht="15.6" x14ac:dyDescent="0.25">
      <c r="A11" s="298" t="s">
        <v>228</v>
      </c>
      <c r="B11" s="237" t="s">
        <v>229</v>
      </c>
      <c r="C11" s="284">
        <v>1000000</v>
      </c>
      <c r="D11" s="361">
        <v>1000000</v>
      </c>
      <c r="E11" s="284"/>
      <c r="F11" s="260"/>
      <c r="G11" s="260"/>
    </row>
    <row r="12" spans="1:7" s="1" customFormat="1" ht="15.6" x14ac:dyDescent="0.25">
      <c r="A12" s="289" t="s">
        <v>418</v>
      </c>
      <c r="B12" s="242" t="s">
        <v>230</v>
      </c>
      <c r="C12" s="365">
        <f>SUM(C5:C11)</f>
        <v>45770333</v>
      </c>
      <c r="D12" s="364">
        <f>SUM(D5:D11)</f>
        <v>47182438</v>
      </c>
      <c r="E12" s="365"/>
      <c r="F12" s="258"/>
      <c r="G12" s="258"/>
    </row>
    <row r="13" spans="1:7" s="3" customFormat="1" ht="15.6" x14ac:dyDescent="0.25">
      <c r="A13" s="298" t="s">
        <v>231</v>
      </c>
      <c r="B13" s="237" t="s">
        <v>232</v>
      </c>
      <c r="C13" s="284">
        <v>11500000</v>
      </c>
      <c r="D13" s="361">
        <v>11212800</v>
      </c>
      <c r="E13" s="284"/>
      <c r="F13" s="260"/>
      <c r="G13" s="260"/>
    </row>
    <row r="14" spans="1:7" s="1" customFormat="1" ht="15.6" x14ac:dyDescent="0.25">
      <c r="A14" s="298" t="s">
        <v>233</v>
      </c>
      <c r="B14" s="237" t="s">
        <v>356</v>
      </c>
      <c r="C14" s="284">
        <v>800000</v>
      </c>
      <c r="D14" s="361">
        <v>800000</v>
      </c>
      <c r="E14" s="284"/>
      <c r="F14" s="260"/>
      <c r="G14" s="260"/>
    </row>
    <row r="15" spans="1:7" s="3" customFormat="1" ht="15.6" x14ac:dyDescent="0.25">
      <c r="A15" s="298" t="s">
        <v>234</v>
      </c>
      <c r="B15" s="237" t="s">
        <v>235</v>
      </c>
      <c r="C15" s="284">
        <v>1300000</v>
      </c>
      <c r="D15" s="361">
        <v>700000</v>
      </c>
      <c r="E15" s="284"/>
      <c r="F15" s="260"/>
      <c r="G15" s="260"/>
    </row>
    <row r="16" spans="1:7" s="1" customFormat="1" ht="14.4" customHeight="1" x14ac:dyDescent="0.25">
      <c r="A16" s="289" t="s">
        <v>419</v>
      </c>
      <c r="B16" s="242" t="s">
        <v>236</v>
      </c>
      <c r="C16" s="365">
        <f>SUM(C13:C15)</f>
        <v>13600000</v>
      </c>
      <c r="D16" s="364">
        <f>SUM(D13:D15)</f>
        <v>12712800</v>
      </c>
      <c r="E16" s="365"/>
      <c r="F16" s="258"/>
      <c r="G16" s="258"/>
    </row>
    <row r="17" spans="1:7" s="1" customFormat="1" ht="13.95" customHeight="1" x14ac:dyDescent="0.25">
      <c r="A17" s="293" t="s">
        <v>237</v>
      </c>
      <c r="B17" s="238" t="s">
        <v>42</v>
      </c>
      <c r="C17" s="367">
        <f>(C12+C16)</f>
        <v>59370333</v>
      </c>
      <c r="D17" s="366">
        <f>(D12+D16)</f>
        <v>59895238</v>
      </c>
      <c r="E17" s="367"/>
      <c r="F17" s="263"/>
      <c r="G17" s="263"/>
    </row>
    <row r="18" spans="1:7" s="3" customFormat="1" ht="15.6" x14ac:dyDescent="0.25">
      <c r="A18" s="298" t="s">
        <v>240</v>
      </c>
      <c r="B18" s="237" t="s">
        <v>45</v>
      </c>
      <c r="C18" s="284">
        <v>5685720</v>
      </c>
      <c r="D18" s="361">
        <v>2542716</v>
      </c>
      <c r="E18" s="284"/>
      <c r="F18" s="260"/>
      <c r="G18" s="260"/>
    </row>
    <row r="19" spans="1:7" s="3" customFormat="1" ht="15.6" x14ac:dyDescent="0.25">
      <c r="A19" s="423" t="s">
        <v>240</v>
      </c>
      <c r="B19" s="424" t="s">
        <v>574</v>
      </c>
      <c r="C19" s="284">
        <v>0</v>
      </c>
      <c r="D19" s="361">
        <v>1850112</v>
      </c>
      <c r="E19" s="284"/>
      <c r="F19" s="260"/>
      <c r="G19" s="260"/>
    </row>
    <row r="20" spans="1:7" ht="15.6" x14ac:dyDescent="0.25">
      <c r="A20" s="298" t="s">
        <v>240</v>
      </c>
      <c r="B20" s="237" t="s">
        <v>523</v>
      </c>
      <c r="C20" s="284">
        <v>4100000</v>
      </c>
      <c r="D20" s="361">
        <f>439653+486758+574950+980572</f>
        <v>2481933</v>
      </c>
      <c r="E20" s="284"/>
      <c r="F20" s="260"/>
      <c r="G20" s="260"/>
    </row>
    <row r="21" spans="1:7" s="3" customFormat="1" ht="15.6" x14ac:dyDescent="0.25">
      <c r="A21" s="298" t="s">
        <v>241</v>
      </c>
      <c r="B21" s="237" t="s">
        <v>242</v>
      </c>
      <c r="C21" s="284">
        <v>0</v>
      </c>
      <c r="D21" s="361">
        <v>0</v>
      </c>
      <c r="E21" s="284"/>
      <c r="F21" s="260"/>
      <c r="G21" s="260"/>
    </row>
    <row r="22" spans="1:7" s="1" customFormat="1" ht="15.6" x14ac:dyDescent="0.25">
      <c r="A22" s="293" t="s">
        <v>238</v>
      </c>
      <c r="B22" s="238" t="s">
        <v>239</v>
      </c>
      <c r="C22" s="367">
        <f>SUM(C18:C21)</f>
        <v>9785720</v>
      </c>
      <c r="D22" s="271">
        <f>SUM(D18:D21)</f>
        <v>6874761</v>
      </c>
      <c r="E22" s="263"/>
      <c r="F22" s="263"/>
      <c r="G22" s="263"/>
    </row>
    <row r="23" spans="1:7" s="3" customFormat="1" ht="15.6" x14ac:dyDescent="0.3">
      <c r="C23" s="2"/>
      <c r="D23" s="6"/>
      <c r="E23" s="272"/>
      <c r="F23" s="6"/>
      <c r="G23" s="6"/>
    </row>
    <row r="24" spans="1:7" s="1" customFormat="1" ht="31.8" thickBot="1" x14ac:dyDescent="0.3">
      <c r="A24" s="623" t="s">
        <v>507</v>
      </c>
      <c r="B24" s="624"/>
      <c r="C24" s="384" t="s">
        <v>509</v>
      </c>
      <c r="D24" s="291" t="s">
        <v>487</v>
      </c>
      <c r="E24" s="291" t="s">
        <v>465</v>
      </c>
      <c r="F24" s="291" t="s">
        <v>466</v>
      </c>
      <c r="G24" s="291" t="s">
        <v>467</v>
      </c>
    </row>
    <row r="25" spans="1:7" s="1" customFormat="1" ht="15.6" x14ac:dyDescent="0.25">
      <c r="A25" s="298" t="s">
        <v>217</v>
      </c>
      <c r="B25" s="237" t="s">
        <v>218</v>
      </c>
      <c r="C25" s="284">
        <v>40802400</v>
      </c>
      <c r="D25" s="361">
        <v>40802400</v>
      </c>
      <c r="E25" s="284"/>
      <c r="F25" s="284"/>
      <c r="G25" s="260"/>
    </row>
    <row r="26" spans="1:7" s="1" customFormat="1" ht="15.6" x14ac:dyDescent="0.25">
      <c r="A26" s="298" t="s">
        <v>219</v>
      </c>
      <c r="B26" s="237" t="s">
        <v>41</v>
      </c>
      <c r="C26" s="284">
        <v>1410000</v>
      </c>
      <c r="D26" s="361">
        <v>850000</v>
      </c>
      <c r="E26" s="284"/>
      <c r="F26" s="284"/>
      <c r="G26" s="260"/>
    </row>
    <row r="27" spans="1:7" s="3" customFormat="1" ht="15.6" x14ac:dyDescent="0.25">
      <c r="A27" s="298" t="s">
        <v>220</v>
      </c>
      <c r="B27" s="237" t="s">
        <v>221</v>
      </c>
      <c r="C27" s="284">
        <v>2000000</v>
      </c>
      <c r="D27" s="361">
        <v>1360000</v>
      </c>
      <c r="E27" s="284"/>
      <c r="F27" s="284"/>
      <c r="G27" s="260"/>
    </row>
    <row r="28" spans="1:7" s="1" customFormat="1" ht="15.6" x14ac:dyDescent="0.25">
      <c r="A28" s="298" t="s">
        <v>222</v>
      </c>
      <c r="B28" s="237" t="s">
        <v>223</v>
      </c>
      <c r="C28" s="284">
        <v>0</v>
      </c>
      <c r="D28" s="361">
        <v>0</v>
      </c>
      <c r="E28" s="284"/>
      <c r="F28" s="284"/>
      <c r="G28" s="260"/>
    </row>
    <row r="29" spans="1:7" s="1" customFormat="1" ht="15.6" x14ac:dyDescent="0.25">
      <c r="A29" s="298" t="s">
        <v>224</v>
      </c>
      <c r="B29" s="237" t="s">
        <v>225</v>
      </c>
      <c r="C29" s="284">
        <v>300000</v>
      </c>
      <c r="D29" s="361">
        <v>300000</v>
      </c>
      <c r="E29" s="284"/>
      <c r="F29" s="284"/>
      <c r="G29" s="260"/>
    </row>
    <row r="30" spans="1:7" s="3" customFormat="1" ht="15.6" x14ac:dyDescent="0.25">
      <c r="A30" s="298" t="s">
        <v>226</v>
      </c>
      <c r="B30" s="237" t="s">
        <v>227</v>
      </c>
      <c r="C30" s="284">
        <v>120000</v>
      </c>
      <c r="D30" s="361">
        <v>120000</v>
      </c>
      <c r="E30" s="284"/>
      <c r="F30" s="284"/>
      <c r="G30" s="260"/>
    </row>
    <row r="31" spans="1:7" s="3" customFormat="1" ht="15.6" x14ac:dyDescent="0.25">
      <c r="A31" s="298" t="s">
        <v>228</v>
      </c>
      <c r="B31" s="237" t="s">
        <v>229</v>
      </c>
      <c r="C31" s="284">
        <v>100000</v>
      </c>
      <c r="D31" s="361">
        <v>400000</v>
      </c>
      <c r="E31" s="284"/>
      <c r="F31" s="284"/>
      <c r="G31" s="260"/>
    </row>
    <row r="32" spans="1:7" s="1" customFormat="1" ht="14.4" customHeight="1" x14ac:dyDescent="0.25">
      <c r="A32" s="289" t="s">
        <v>418</v>
      </c>
      <c r="B32" s="242" t="s">
        <v>230</v>
      </c>
      <c r="C32" s="365">
        <f>SUM(C25:C31)</f>
        <v>44732400</v>
      </c>
      <c r="D32" s="364">
        <f>SUM(D25:D31)</f>
        <v>43832400</v>
      </c>
      <c r="E32" s="365"/>
      <c r="F32" s="365"/>
      <c r="G32" s="258"/>
    </row>
    <row r="33" spans="1:7" s="1" customFormat="1" ht="15.6" x14ac:dyDescent="0.25">
      <c r="A33" s="383" t="s">
        <v>234</v>
      </c>
      <c r="B33" s="237" t="s">
        <v>235</v>
      </c>
      <c r="C33" s="284">
        <v>150000</v>
      </c>
      <c r="D33" s="361">
        <v>50000</v>
      </c>
      <c r="E33" s="284"/>
      <c r="F33" s="284"/>
      <c r="G33" s="260"/>
    </row>
    <row r="34" spans="1:7" s="3" customFormat="1" ht="15.6" x14ac:dyDescent="0.25">
      <c r="A34" s="289" t="s">
        <v>419</v>
      </c>
      <c r="B34" s="242" t="s">
        <v>236</v>
      </c>
      <c r="C34" s="365">
        <f>SUM(C33:C33)</f>
        <v>150000</v>
      </c>
      <c r="D34" s="364">
        <f>SUM(D33:D33)</f>
        <v>50000</v>
      </c>
      <c r="E34" s="365"/>
      <c r="F34" s="365"/>
      <c r="G34" s="258"/>
    </row>
    <row r="35" spans="1:7" s="1" customFormat="1" ht="15.6" x14ac:dyDescent="0.25">
      <c r="A35" s="293" t="s">
        <v>237</v>
      </c>
      <c r="B35" s="238" t="s">
        <v>42</v>
      </c>
      <c r="C35" s="367">
        <f>(C32+C34)</f>
        <v>44882400</v>
      </c>
      <c r="D35" s="366">
        <f>(D32+D34)</f>
        <v>43882400</v>
      </c>
      <c r="E35" s="367"/>
      <c r="F35" s="367"/>
      <c r="G35" s="263"/>
    </row>
    <row r="36" spans="1:7" s="3" customFormat="1" ht="15.6" x14ac:dyDescent="0.25">
      <c r="A36" s="298" t="s">
        <v>240</v>
      </c>
      <c r="B36" s="237" t="s">
        <v>45</v>
      </c>
      <c r="C36" s="284">
        <v>7140432</v>
      </c>
      <c r="D36" s="361">
        <v>7000000</v>
      </c>
      <c r="E36" s="284"/>
      <c r="F36" s="284"/>
      <c r="G36" s="260"/>
    </row>
    <row r="37" spans="1:7" s="3" customFormat="1" ht="15.6" x14ac:dyDescent="0.25">
      <c r="A37" s="298" t="s">
        <v>241</v>
      </c>
      <c r="B37" s="237" t="s">
        <v>242</v>
      </c>
      <c r="C37" s="284">
        <v>0</v>
      </c>
      <c r="D37" s="361">
        <v>0</v>
      </c>
      <c r="E37" s="284"/>
      <c r="F37" s="284"/>
      <c r="G37" s="260"/>
    </row>
    <row r="38" spans="1:7" s="3" customFormat="1" ht="15.6" x14ac:dyDescent="0.25">
      <c r="A38" s="293" t="s">
        <v>238</v>
      </c>
      <c r="B38" s="238" t="s">
        <v>239</v>
      </c>
      <c r="C38" s="367">
        <f>SUM(C36:C37)</f>
        <v>7140432</v>
      </c>
      <c r="D38" s="271">
        <f>SUM(D36:D37)</f>
        <v>7000000</v>
      </c>
      <c r="E38" s="263"/>
      <c r="F38" s="263"/>
      <c r="G38" s="263"/>
    </row>
    <row r="39" spans="1:7" s="3" customFormat="1" ht="15" x14ac:dyDescent="0.25">
      <c r="C39" s="6"/>
      <c r="D39" s="6"/>
      <c r="E39" s="6"/>
      <c r="F39" s="6"/>
      <c r="G39" s="6"/>
    </row>
    <row r="40" spans="1:7" s="3" customFormat="1" ht="31.8" thickBot="1" x14ac:dyDescent="0.3">
      <c r="A40" s="625" t="s">
        <v>415</v>
      </c>
      <c r="B40" s="626"/>
      <c r="C40" s="384" t="s">
        <v>509</v>
      </c>
      <c r="D40" s="291" t="s">
        <v>487</v>
      </c>
      <c r="E40" s="291" t="s">
        <v>465</v>
      </c>
      <c r="F40" s="291" t="s">
        <v>466</v>
      </c>
      <c r="G40" s="291" t="s">
        <v>467</v>
      </c>
    </row>
    <row r="41" spans="1:7" s="1" customFormat="1" ht="15.6" x14ac:dyDescent="0.25">
      <c r="A41" s="298" t="s">
        <v>217</v>
      </c>
      <c r="B41" s="237" t="s">
        <v>218</v>
      </c>
      <c r="C41" s="284">
        <v>23432268</v>
      </c>
      <c r="D41" s="361">
        <v>23432268</v>
      </c>
      <c r="E41" s="284"/>
      <c r="F41" s="284"/>
      <c r="G41" s="260"/>
    </row>
    <row r="42" spans="1:7" s="1" customFormat="1" ht="15.6" x14ac:dyDescent="0.25">
      <c r="A42" s="298" t="s">
        <v>220</v>
      </c>
      <c r="B42" s="237" t="s">
        <v>221</v>
      </c>
      <c r="C42" s="284">
        <v>50000</v>
      </c>
      <c r="D42" s="361">
        <v>0</v>
      </c>
      <c r="E42" s="284"/>
      <c r="F42" s="284"/>
      <c r="G42" s="260"/>
    </row>
    <row r="43" spans="1:7" s="3" customFormat="1" ht="15.6" x14ac:dyDescent="0.25">
      <c r="A43" s="298" t="s">
        <v>222</v>
      </c>
      <c r="B43" s="237" t="s">
        <v>223</v>
      </c>
      <c r="C43" s="284">
        <v>0</v>
      </c>
      <c r="D43" s="361">
        <v>0</v>
      </c>
      <c r="E43" s="284"/>
      <c r="F43" s="284"/>
      <c r="G43" s="260"/>
    </row>
    <row r="44" spans="1:7" ht="15.6" x14ac:dyDescent="0.25">
      <c r="A44" s="298" t="s">
        <v>224</v>
      </c>
      <c r="B44" s="237" t="s">
        <v>225</v>
      </c>
      <c r="C44" s="284">
        <v>0</v>
      </c>
      <c r="D44" s="361">
        <v>0</v>
      </c>
      <c r="E44" s="284"/>
      <c r="F44" s="284"/>
      <c r="G44" s="260"/>
    </row>
    <row r="45" spans="1:7" s="198" customFormat="1" ht="15.6" x14ac:dyDescent="0.25">
      <c r="A45" s="298" t="s">
        <v>226</v>
      </c>
      <c r="B45" s="237" t="s">
        <v>227</v>
      </c>
      <c r="C45" s="284">
        <v>0</v>
      </c>
      <c r="D45" s="361">
        <v>0</v>
      </c>
      <c r="E45" s="284"/>
      <c r="F45" s="284"/>
      <c r="G45" s="260"/>
    </row>
    <row r="46" spans="1:7" s="1" customFormat="1" ht="15.6" x14ac:dyDescent="0.25">
      <c r="A46" s="298" t="s">
        <v>228</v>
      </c>
      <c r="B46" s="237" t="s">
        <v>229</v>
      </c>
      <c r="C46" s="284">
        <v>300000</v>
      </c>
      <c r="D46" s="361">
        <v>350000</v>
      </c>
      <c r="E46" s="284"/>
      <c r="F46" s="284"/>
      <c r="G46" s="260"/>
    </row>
    <row r="47" spans="1:7" s="1" customFormat="1" ht="15.6" x14ac:dyDescent="0.25">
      <c r="A47" s="289" t="s">
        <v>418</v>
      </c>
      <c r="B47" s="242" t="s">
        <v>230</v>
      </c>
      <c r="C47" s="365">
        <f>SUM(C41:C46)</f>
        <v>23782268</v>
      </c>
      <c r="D47" s="364">
        <f>SUM(D41:D46)</f>
        <v>23782268</v>
      </c>
      <c r="E47" s="365"/>
      <c r="F47" s="365"/>
      <c r="G47" s="258"/>
    </row>
    <row r="48" spans="1:7" s="1" customFormat="1" ht="15.6" x14ac:dyDescent="0.25">
      <c r="A48" s="298" t="s">
        <v>233</v>
      </c>
      <c r="B48" s="237" t="s">
        <v>356</v>
      </c>
      <c r="C48" s="284">
        <v>50000</v>
      </c>
      <c r="D48" s="361">
        <v>30000</v>
      </c>
      <c r="E48" s="284"/>
      <c r="F48" s="284"/>
      <c r="G48" s="260"/>
    </row>
    <row r="49" spans="1:7" s="1" customFormat="1" ht="15.6" x14ac:dyDescent="0.25">
      <c r="A49" s="298" t="s">
        <v>234</v>
      </c>
      <c r="B49" s="237" t="s">
        <v>235</v>
      </c>
      <c r="C49" s="284">
        <v>0</v>
      </c>
      <c r="D49" s="361">
        <v>0</v>
      </c>
      <c r="E49" s="284"/>
      <c r="F49" s="284"/>
      <c r="G49" s="260"/>
    </row>
    <row r="50" spans="1:7" s="3" customFormat="1" ht="15.6" x14ac:dyDescent="0.25">
      <c r="A50" s="289" t="s">
        <v>419</v>
      </c>
      <c r="B50" s="242" t="s">
        <v>236</v>
      </c>
      <c r="C50" s="365">
        <f>SUM(C48:C49)</f>
        <v>50000</v>
      </c>
      <c r="D50" s="364">
        <f>SUM(D48:D49)</f>
        <v>30000</v>
      </c>
      <c r="E50" s="365"/>
      <c r="F50" s="365"/>
      <c r="G50" s="258"/>
    </row>
    <row r="51" spans="1:7" s="3" customFormat="1" ht="15.6" x14ac:dyDescent="0.25">
      <c r="A51" s="293" t="s">
        <v>237</v>
      </c>
      <c r="B51" s="238" t="s">
        <v>42</v>
      </c>
      <c r="C51" s="367">
        <f>(C47+C50)</f>
        <v>23832268</v>
      </c>
      <c r="D51" s="366">
        <f>(D47+D50)</f>
        <v>23812268</v>
      </c>
      <c r="E51" s="367"/>
      <c r="F51" s="367"/>
      <c r="G51" s="263"/>
    </row>
    <row r="52" spans="1:7" s="1" customFormat="1" ht="15.6" x14ac:dyDescent="0.25">
      <c r="A52" s="298" t="s">
        <v>240</v>
      </c>
      <c r="B52" s="237" t="s">
        <v>45</v>
      </c>
      <c r="C52" s="284">
        <v>4100664</v>
      </c>
      <c r="D52" s="361">
        <v>3900000</v>
      </c>
      <c r="E52" s="284"/>
      <c r="F52" s="284"/>
      <c r="G52" s="260"/>
    </row>
    <row r="53" spans="1:7" s="1" customFormat="1" ht="15.6" x14ac:dyDescent="0.25">
      <c r="A53" s="298" t="s">
        <v>241</v>
      </c>
      <c r="B53" s="237" t="s">
        <v>242</v>
      </c>
      <c r="C53" s="284">
        <v>0</v>
      </c>
      <c r="D53" s="361">
        <v>0</v>
      </c>
      <c r="E53" s="284"/>
      <c r="F53" s="284"/>
      <c r="G53" s="260"/>
    </row>
    <row r="54" spans="1:7" s="1" customFormat="1" ht="15.6" x14ac:dyDescent="0.25">
      <c r="A54" s="293" t="s">
        <v>238</v>
      </c>
      <c r="B54" s="238" t="s">
        <v>239</v>
      </c>
      <c r="C54" s="367">
        <f>SUM(C52:C53)</f>
        <v>4100664</v>
      </c>
      <c r="D54" s="271">
        <f>SUM(D52:D53)</f>
        <v>3900000</v>
      </c>
      <c r="E54" s="263"/>
      <c r="F54" s="263"/>
      <c r="G54" s="263"/>
    </row>
    <row r="55" spans="1:7" s="3" customFormat="1" ht="15" x14ac:dyDescent="0.25">
      <c r="C55" s="6"/>
      <c r="D55" s="6"/>
      <c r="E55" s="6"/>
      <c r="F55" s="6"/>
      <c r="G55" s="6"/>
    </row>
    <row r="56" spans="1:7" s="3" customFormat="1" ht="31.8" thickBot="1" x14ac:dyDescent="0.3">
      <c r="A56" s="613" t="s">
        <v>410</v>
      </c>
      <c r="B56" s="614"/>
      <c r="C56" s="384" t="s">
        <v>509</v>
      </c>
      <c r="D56" s="291" t="s">
        <v>487</v>
      </c>
      <c r="E56" s="291" t="s">
        <v>465</v>
      </c>
      <c r="F56" s="291" t="s">
        <v>466</v>
      </c>
      <c r="G56" s="291" t="s">
        <v>467</v>
      </c>
    </row>
    <row r="57" spans="1:7" s="1" customFormat="1" ht="15.6" x14ac:dyDescent="0.25">
      <c r="A57" s="298" t="s">
        <v>217</v>
      </c>
      <c r="B57" s="237" t="s">
        <v>218</v>
      </c>
      <c r="C57" s="284">
        <v>48207960</v>
      </c>
      <c r="D57" s="361">
        <f>48207960+664</f>
        <v>48208624</v>
      </c>
      <c r="E57" s="284"/>
      <c r="F57" s="284"/>
      <c r="G57" s="260"/>
    </row>
    <row r="58" spans="1:7" ht="15.6" x14ac:dyDescent="0.25">
      <c r="A58" s="298" t="s">
        <v>220</v>
      </c>
      <c r="B58" s="237" t="s">
        <v>221</v>
      </c>
      <c r="C58" s="284">
        <v>0</v>
      </c>
      <c r="D58" s="361">
        <v>0</v>
      </c>
      <c r="E58" s="284"/>
      <c r="F58" s="284"/>
      <c r="G58" s="260"/>
    </row>
    <row r="59" spans="1:7" ht="15.6" x14ac:dyDescent="0.25">
      <c r="A59" s="298" t="s">
        <v>222</v>
      </c>
      <c r="B59" s="237" t="s">
        <v>223</v>
      </c>
      <c r="C59" s="284">
        <v>0</v>
      </c>
      <c r="D59" s="361">
        <v>0</v>
      </c>
      <c r="E59" s="284"/>
      <c r="F59" s="284"/>
      <c r="G59" s="260"/>
    </row>
    <row r="60" spans="1:7" ht="15.6" x14ac:dyDescent="0.25">
      <c r="A60" s="298" t="s">
        <v>224</v>
      </c>
      <c r="B60" s="237" t="s">
        <v>225</v>
      </c>
      <c r="C60" s="284">
        <v>200000</v>
      </c>
      <c r="D60" s="361">
        <v>200000</v>
      </c>
      <c r="E60" s="284"/>
      <c r="F60" s="284"/>
      <c r="G60" s="260"/>
    </row>
    <row r="61" spans="1:7" ht="15.6" x14ac:dyDescent="0.25">
      <c r="A61" s="298" t="s">
        <v>226</v>
      </c>
      <c r="B61" s="237" t="s">
        <v>227</v>
      </c>
      <c r="C61" s="284">
        <v>0</v>
      </c>
      <c r="D61" s="361">
        <v>0</v>
      </c>
      <c r="E61" s="284"/>
      <c r="F61" s="284"/>
      <c r="G61" s="260"/>
    </row>
    <row r="62" spans="1:7" s="1" customFormat="1" ht="15.6" x14ac:dyDescent="0.25">
      <c r="A62" s="298" t="s">
        <v>228</v>
      </c>
      <c r="B62" s="237" t="s">
        <v>229</v>
      </c>
      <c r="C62" s="284">
        <v>800000</v>
      </c>
      <c r="D62" s="361">
        <v>800000</v>
      </c>
      <c r="E62" s="284"/>
      <c r="F62" s="284"/>
      <c r="G62" s="260"/>
    </row>
    <row r="63" spans="1:7" ht="15.6" x14ac:dyDescent="0.25">
      <c r="A63" s="289" t="s">
        <v>418</v>
      </c>
      <c r="B63" s="242" t="s">
        <v>230</v>
      </c>
      <c r="C63" s="365">
        <f>SUM(C57:C62)</f>
        <v>49207960</v>
      </c>
      <c r="D63" s="364">
        <f>SUM(D57:D62)</f>
        <v>49208624</v>
      </c>
      <c r="E63" s="365"/>
      <c r="F63" s="365"/>
      <c r="G63" s="258"/>
    </row>
    <row r="64" spans="1:7" ht="15.6" x14ac:dyDescent="0.25">
      <c r="A64" s="298" t="s">
        <v>233</v>
      </c>
      <c r="B64" s="237" t="s">
        <v>356</v>
      </c>
      <c r="C64" s="284">
        <v>400000</v>
      </c>
      <c r="D64" s="361">
        <v>400000</v>
      </c>
      <c r="E64" s="284"/>
      <c r="F64" s="284"/>
      <c r="G64" s="260"/>
    </row>
    <row r="65" spans="1:8" s="1" customFormat="1" ht="15.6" x14ac:dyDescent="0.25">
      <c r="A65" s="298" t="s">
        <v>234</v>
      </c>
      <c r="B65" s="237" t="s">
        <v>235</v>
      </c>
      <c r="C65" s="284">
        <v>0</v>
      </c>
      <c r="D65" s="361">
        <v>0</v>
      </c>
      <c r="E65" s="284"/>
      <c r="F65" s="284"/>
      <c r="G65" s="260"/>
    </row>
    <row r="66" spans="1:8" ht="15.6" x14ac:dyDescent="0.25">
      <c r="A66" s="289" t="s">
        <v>419</v>
      </c>
      <c r="B66" s="242" t="s">
        <v>236</v>
      </c>
      <c r="C66" s="365">
        <f>SUM(C64:C65)</f>
        <v>400000</v>
      </c>
      <c r="D66" s="364">
        <f>SUM(D64:D65)</f>
        <v>400000</v>
      </c>
      <c r="E66" s="365"/>
      <c r="F66" s="365"/>
      <c r="G66" s="258"/>
    </row>
    <row r="67" spans="1:8" ht="15.6" x14ac:dyDescent="0.25">
      <c r="A67" s="293" t="s">
        <v>237</v>
      </c>
      <c r="B67" s="238" t="s">
        <v>42</v>
      </c>
      <c r="C67" s="367">
        <f>(C63+C66)</f>
        <v>49607960</v>
      </c>
      <c r="D67" s="366">
        <f>(D63+D66)</f>
        <v>49608624</v>
      </c>
      <c r="E67" s="367"/>
      <c r="F67" s="367"/>
      <c r="G67" s="263"/>
    </row>
    <row r="68" spans="1:8" ht="15.6" x14ac:dyDescent="0.25">
      <c r="A68" s="298" t="s">
        <v>240</v>
      </c>
      <c r="B68" s="237" t="s">
        <v>45</v>
      </c>
      <c r="C68" s="284">
        <v>8500000</v>
      </c>
      <c r="D68" s="361">
        <v>8100000</v>
      </c>
      <c r="E68" s="284"/>
      <c r="F68" s="284"/>
      <c r="G68" s="260"/>
    </row>
    <row r="69" spans="1:8" ht="15.6" x14ac:dyDescent="0.25">
      <c r="A69" s="298" t="s">
        <v>241</v>
      </c>
      <c r="B69" s="237" t="s">
        <v>242</v>
      </c>
      <c r="C69" s="284">
        <v>0</v>
      </c>
      <c r="D69" s="361">
        <v>0</v>
      </c>
      <c r="E69" s="284"/>
      <c r="F69" s="284"/>
      <c r="G69" s="260"/>
    </row>
    <row r="70" spans="1:8" ht="15.6" x14ac:dyDescent="0.25">
      <c r="A70" s="293" t="s">
        <v>238</v>
      </c>
      <c r="B70" s="238" t="s">
        <v>239</v>
      </c>
      <c r="C70" s="367">
        <f>SUM(C68:C69)</f>
        <v>8500000</v>
      </c>
      <c r="D70" s="271">
        <f>SUM(D68:D69)</f>
        <v>8100000</v>
      </c>
      <c r="E70" s="263"/>
      <c r="F70" s="263"/>
      <c r="G70" s="263"/>
    </row>
    <row r="71" spans="1:8" s="2" customFormat="1" ht="15.6" x14ac:dyDescent="0.3">
      <c r="A71" s="3"/>
      <c r="B71" s="3"/>
      <c r="C71" s="6"/>
      <c r="D71" s="6"/>
      <c r="E71" s="6"/>
      <c r="F71" s="6"/>
      <c r="G71" s="6"/>
      <c r="H71" s="174"/>
    </row>
    <row r="72" spans="1:8" ht="15.6" x14ac:dyDescent="0.25">
      <c r="A72" s="293" t="s">
        <v>237</v>
      </c>
      <c r="B72" s="172" t="s">
        <v>42</v>
      </c>
      <c r="C72" s="263">
        <f>C17+C35+C51+C67</f>
        <v>177692961</v>
      </c>
      <c r="D72" s="263">
        <f>D17+D35+D51+D67</f>
        <v>177198530</v>
      </c>
      <c r="E72" s="263"/>
      <c r="F72" s="263"/>
      <c r="G72" s="263"/>
    </row>
    <row r="73" spans="1:8" s="3" customFormat="1" ht="15" x14ac:dyDescent="0.25">
      <c r="C73" s="6"/>
      <c r="D73" s="6"/>
      <c r="E73" s="6"/>
      <c r="F73" s="6"/>
      <c r="G73" s="6"/>
      <c r="H73" s="173"/>
    </row>
    <row r="74" spans="1:8" ht="15.6" x14ac:dyDescent="0.25">
      <c r="A74" s="293" t="s">
        <v>238</v>
      </c>
      <c r="B74" s="172" t="s">
        <v>239</v>
      </c>
      <c r="C74" s="263">
        <f>C22+C38+C54+C70</f>
        <v>29526816</v>
      </c>
      <c r="D74" s="263">
        <f>D22+D38+D54+D70</f>
        <v>25874761</v>
      </c>
      <c r="E74" s="263"/>
      <c r="F74" s="263"/>
      <c r="G74" s="263"/>
    </row>
    <row r="75" spans="1:8" s="241" customFormat="1" x14ac:dyDescent="0.25">
      <c r="A75" s="3"/>
      <c r="B75" s="3"/>
      <c r="C75" s="21"/>
      <c r="D75" s="21"/>
      <c r="E75" s="21"/>
      <c r="F75" s="21"/>
      <c r="G75" s="21"/>
    </row>
    <row r="76" spans="1:8" s="420" customFormat="1" ht="28.8" x14ac:dyDescent="0.25">
      <c r="B76" s="426" t="s">
        <v>535</v>
      </c>
      <c r="C76" s="426" t="s">
        <v>6</v>
      </c>
      <c r="D76" s="426" t="s">
        <v>409</v>
      </c>
      <c r="E76" s="426" t="s">
        <v>415</v>
      </c>
      <c r="F76" s="426" t="s">
        <v>534</v>
      </c>
      <c r="G76" s="426" t="s">
        <v>20</v>
      </c>
    </row>
    <row r="77" spans="1:8" s="3" customFormat="1" ht="14.4" x14ac:dyDescent="0.3">
      <c r="A77" s="1"/>
      <c r="B77" s="429" t="s">
        <v>80</v>
      </c>
      <c r="C77" s="430">
        <v>7</v>
      </c>
      <c r="D77" s="431">
        <v>12</v>
      </c>
      <c r="E77" s="432">
        <v>7</v>
      </c>
      <c r="F77" s="433">
        <v>16</v>
      </c>
      <c r="G77" s="434">
        <f>SUM(C77:F77)</f>
        <v>42</v>
      </c>
    </row>
    <row r="78" spans="1:8" s="1" customFormat="1" ht="14.4" x14ac:dyDescent="0.3">
      <c r="B78" s="429" t="s">
        <v>81</v>
      </c>
      <c r="C78" s="430">
        <v>31</v>
      </c>
      <c r="D78" s="431" t="s">
        <v>71</v>
      </c>
      <c r="E78" s="432" t="s">
        <v>71</v>
      </c>
      <c r="F78" s="433" t="s">
        <v>71</v>
      </c>
      <c r="G78" s="434">
        <f>SUM(C78:F78)</f>
        <v>31</v>
      </c>
    </row>
    <row r="79" spans="1:8" s="3" customFormat="1" ht="14.4" x14ac:dyDescent="0.3">
      <c r="A79" s="1"/>
      <c r="B79" s="429" t="s">
        <v>477</v>
      </c>
      <c r="C79" s="430" t="s">
        <v>71</v>
      </c>
      <c r="D79" s="431" t="s">
        <v>71</v>
      </c>
      <c r="E79" s="432" t="s">
        <v>71</v>
      </c>
      <c r="F79" s="433" t="s">
        <v>71</v>
      </c>
      <c r="G79" s="434">
        <f>SUM(C79:F79)</f>
        <v>0</v>
      </c>
    </row>
    <row r="80" spans="1:8" ht="14.4" x14ac:dyDescent="0.3">
      <c r="A80" s="1"/>
      <c r="B80" s="435" t="s">
        <v>1</v>
      </c>
      <c r="C80" s="436">
        <f>SUM(C77:C79)</f>
        <v>38</v>
      </c>
      <c r="D80" s="436">
        <f>SUM(D77:D79)</f>
        <v>12</v>
      </c>
      <c r="E80" s="436">
        <f>SUM(E77:E79)</f>
        <v>7</v>
      </c>
      <c r="F80" s="436">
        <f>SUM(F77:F79)</f>
        <v>16</v>
      </c>
      <c r="G80" s="437"/>
    </row>
  </sheetData>
  <mergeCells count="6">
    <mergeCell ref="A56:B56"/>
    <mergeCell ref="A1:G1"/>
    <mergeCell ref="A2:G2"/>
    <mergeCell ref="A4:B4"/>
    <mergeCell ref="A24:B24"/>
    <mergeCell ref="A40:B40"/>
  </mergeCells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4" orientation="portrait" r:id="rId1"/>
  <headerFooter>
    <oddHeader>&amp;R3./a sz. melléklet
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97"/>
  <sheetViews>
    <sheetView topLeftCell="A67" zoomScale="70" zoomScaleNormal="70" workbookViewId="0">
      <selection activeCell="J74" sqref="J74"/>
    </sheetView>
  </sheetViews>
  <sheetFormatPr defaultColWidth="9.109375" defaultRowHeight="13.2" x14ac:dyDescent="0.25"/>
  <cols>
    <col min="1" max="1" width="5.5546875" style="21" bestFit="1" customWidth="1"/>
    <col min="2" max="2" width="47.88671875" style="21" customWidth="1"/>
    <col min="3" max="3" width="18.88671875" style="21" customWidth="1"/>
    <col min="4" max="4" width="16.77734375" style="21" customWidth="1"/>
    <col min="5" max="5" width="16.21875" style="21" customWidth="1"/>
    <col min="6" max="6" width="18" style="21" customWidth="1"/>
    <col min="7" max="7" width="16.88671875" style="21" customWidth="1"/>
    <col min="8" max="16384" width="9.109375" style="21"/>
  </cols>
  <sheetData>
    <row r="1" spans="1:7" customFormat="1" ht="18" x14ac:dyDescent="0.25">
      <c r="A1" s="615" t="s">
        <v>521</v>
      </c>
      <c r="B1" s="616"/>
      <c r="C1" s="616"/>
      <c r="D1" s="616"/>
      <c r="E1" s="616"/>
      <c r="F1" s="616"/>
      <c r="G1" s="617"/>
    </row>
    <row r="2" spans="1:7" customFormat="1" ht="18" x14ac:dyDescent="0.25">
      <c r="A2" s="618" t="s">
        <v>510</v>
      </c>
      <c r="B2" s="619"/>
      <c r="C2" s="619"/>
      <c r="D2" s="619"/>
      <c r="E2" s="619"/>
      <c r="F2" s="619"/>
      <c r="G2" s="620"/>
    </row>
    <row r="3" spans="1:7" s="3" customFormat="1" ht="15.6" x14ac:dyDescent="0.25">
      <c r="A3" s="127"/>
    </row>
    <row r="4" spans="1:7" s="198" customFormat="1" ht="31.8" thickBot="1" x14ac:dyDescent="0.3">
      <c r="A4" s="621" t="s">
        <v>414</v>
      </c>
      <c r="B4" s="622"/>
      <c r="C4" s="385" t="s">
        <v>509</v>
      </c>
      <c r="D4" s="291" t="s">
        <v>489</v>
      </c>
      <c r="E4" s="291" t="s">
        <v>465</v>
      </c>
      <c r="F4" s="291" t="s">
        <v>466</v>
      </c>
      <c r="G4" s="291" t="s">
        <v>467</v>
      </c>
    </row>
    <row r="5" spans="1:7" s="3" customFormat="1" ht="15.6" x14ac:dyDescent="0.25">
      <c r="A5" s="299" t="s">
        <v>243</v>
      </c>
      <c r="B5" s="300" t="s">
        <v>244</v>
      </c>
      <c r="C5" s="386">
        <v>200000</v>
      </c>
      <c r="D5" s="362">
        <v>50000</v>
      </c>
      <c r="E5" s="363"/>
      <c r="F5" s="363"/>
      <c r="G5" s="363"/>
    </row>
    <row r="6" spans="1:7" s="3" customFormat="1" ht="15.6" x14ac:dyDescent="0.25">
      <c r="A6" s="288" t="s">
        <v>245</v>
      </c>
      <c r="B6" s="287" t="s">
        <v>246</v>
      </c>
      <c r="C6" s="386">
        <v>15000000</v>
      </c>
      <c r="D6" s="361">
        <v>8000000</v>
      </c>
      <c r="E6" s="284"/>
      <c r="F6" s="284"/>
      <c r="G6" s="284"/>
    </row>
    <row r="7" spans="1:7" s="1" customFormat="1" ht="15.6" x14ac:dyDescent="0.25">
      <c r="A7" s="289" t="s">
        <v>247</v>
      </c>
      <c r="B7" s="290" t="s">
        <v>0</v>
      </c>
      <c r="C7" s="124">
        <f>SUM(C5:C6)</f>
        <v>15200000</v>
      </c>
      <c r="D7" s="364">
        <f>SUM(D5:D6)</f>
        <v>8050000</v>
      </c>
      <c r="E7" s="365"/>
      <c r="F7" s="365"/>
      <c r="G7" s="365"/>
    </row>
    <row r="8" spans="1:7" s="1" customFormat="1" ht="15.6" x14ac:dyDescent="0.25">
      <c r="A8" s="288" t="s">
        <v>248</v>
      </c>
      <c r="B8" s="287" t="s">
        <v>285</v>
      </c>
      <c r="C8" s="386">
        <v>700000</v>
      </c>
      <c r="D8" s="361">
        <v>700000</v>
      </c>
      <c r="E8" s="284"/>
      <c r="F8" s="284"/>
      <c r="G8" s="284"/>
    </row>
    <row r="9" spans="1:7" s="3" customFormat="1" ht="15.6" x14ac:dyDescent="0.25">
      <c r="A9" s="288" t="s">
        <v>249</v>
      </c>
      <c r="B9" s="287" t="s">
        <v>3</v>
      </c>
      <c r="C9" s="386">
        <v>150000</v>
      </c>
      <c r="D9" s="361">
        <v>150000</v>
      </c>
      <c r="E9" s="284"/>
      <c r="F9" s="284"/>
      <c r="G9" s="284"/>
    </row>
    <row r="10" spans="1:7" s="1" customFormat="1" ht="15.6" x14ac:dyDescent="0.25">
      <c r="A10" s="289" t="s">
        <v>250</v>
      </c>
      <c r="B10" s="290" t="s">
        <v>2</v>
      </c>
      <c r="C10" s="124">
        <f>SUM(C8:C9)</f>
        <v>850000</v>
      </c>
      <c r="D10" s="364">
        <f>SUM(D8:D9)</f>
        <v>850000</v>
      </c>
      <c r="E10" s="365"/>
      <c r="F10" s="365"/>
      <c r="G10" s="365"/>
    </row>
    <row r="11" spans="1:7" s="1" customFormat="1" ht="15.6" x14ac:dyDescent="0.25">
      <c r="A11" s="288" t="s">
        <v>251</v>
      </c>
      <c r="B11" s="287" t="s">
        <v>252</v>
      </c>
      <c r="C11" s="386">
        <v>7000000</v>
      </c>
      <c r="D11" s="361">
        <v>7000000</v>
      </c>
      <c r="E11" s="284"/>
      <c r="F11" s="284"/>
      <c r="G11" s="284"/>
    </row>
    <row r="12" spans="1:7" s="3" customFormat="1" ht="15.6" x14ac:dyDescent="0.25">
      <c r="A12" s="288" t="s">
        <v>253</v>
      </c>
      <c r="B12" s="287" t="s">
        <v>4</v>
      </c>
      <c r="C12" s="386">
        <v>30000</v>
      </c>
      <c r="D12" s="361">
        <v>30000</v>
      </c>
      <c r="E12" s="284"/>
      <c r="F12" s="284"/>
      <c r="G12" s="284"/>
    </row>
    <row r="13" spans="1:7" s="3" customFormat="1" ht="15.6" x14ac:dyDescent="0.25">
      <c r="A13" s="288" t="s">
        <v>254</v>
      </c>
      <c r="B13" s="287" t="s">
        <v>5</v>
      </c>
      <c r="C13" s="386">
        <v>520000</v>
      </c>
      <c r="D13" s="361">
        <v>500000</v>
      </c>
      <c r="E13" s="284"/>
      <c r="F13" s="284"/>
      <c r="G13" s="284"/>
    </row>
    <row r="14" spans="1:7" s="3" customFormat="1" ht="15.6" x14ac:dyDescent="0.25">
      <c r="A14" s="288" t="s">
        <v>255</v>
      </c>
      <c r="B14" s="287" t="s">
        <v>257</v>
      </c>
      <c r="C14" s="386">
        <v>1500000</v>
      </c>
      <c r="D14" s="361">
        <v>800000</v>
      </c>
      <c r="E14" s="284"/>
      <c r="F14" s="284"/>
      <c r="G14" s="284"/>
    </row>
    <row r="15" spans="1:7" s="3" customFormat="1" ht="15.6" x14ac:dyDescent="0.25">
      <c r="A15" s="288" t="s">
        <v>256</v>
      </c>
      <c r="B15" s="287" t="s">
        <v>258</v>
      </c>
      <c r="C15" s="386">
        <v>2500000</v>
      </c>
      <c r="D15" s="361">
        <v>2500000</v>
      </c>
      <c r="E15" s="284"/>
      <c r="F15" s="284"/>
      <c r="G15" s="284"/>
    </row>
    <row r="16" spans="1:7" s="3" customFormat="1" ht="15.6" x14ac:dyDescent="0.25">
      <c r="A16" s="288" t="s">
        <v>259</v>
      </c>
      <c r="B16" s="287" t="s">
        <v>260</v>
      </c>
      <c r="C16" s="386">
        <v>1500000</v>
      </c>
      <c r="D16" s="361">
        <v>1500000</v>
      </c>
      <c r="E16" s="284"/>
      <c r="F16" s="284"/>
      <c r="G16" s="284"/>
    </row>
    <row r="17" spans="1:7" s="3" customFormat="1" ht="15.6" x14ac:dyDescent="0.25">
      <c r="A17" s="288" t="s">
        <v>261</v>
      </c>
      <c r="B17" s="287" t="s">
        <v>262</v>
      </c>
      <c r="C17" s="386">
        <v>13000000</v>
      </c>
      <c r="D17" s="361">
        <v>9000000</v>
      </c>
      <c r="E17" s="284"/>
      <c r="F17" s="284"/>
      <c r="G17" s="284"/>
    </row>
    <row r="18" spans="1:7" s="1" customFormat="1" ht="15.6" x14ac:dyDescent="0.25">
      <c r="A18" s="289" t="s">
        <v>263</v>
      </c>
      <c r="B18" s="290" t="s">
        <v>264</v>
      </c>
      <c r="C18" s="124">
        <f>SUM(C11:C17)</f>
        <v>26050000</v>
      </c>
      <c r="D18" s="364">
        <f>SUM(D11:D17)</f>
        <v>21330000</v>
      </c>
      <c r="E18" s="365"/>
      <c r="F18" s="365"/>
      <c r="G18" s="365"/>
    </row>
    <row r="19" spans="1:7" s="3" customFormat="1" ht="15.6" x14ac:dyDescent="0.25">
      <c r="A19" s="288" t="s">
        <v>265</v>
      </c>
      <c r="B19" s="287" t="s">
        <v>266</v>
      </c>
      <c r="C19" s="386">
        <v>400000</v>
      </c>
      <c r="D19" s="361">
        <v>200000</v>
      </c>
      <c r="E19" s="284"/>
      <c r="F19" s="284"/>
      <c r="G19" s="284"/>
    </row>
    <row r="20" spans="1:7" s="1" customFormat="1" ht="15.6" x14ac:dyDescent="0.25">
      <c r="A20" s="289" t="s">
        <v>267</v>
      </c>
      <c r="B20" s="290" t="s">
        <v>268</v>
      </c>
      <c r="C20" s="124">
        <f>SUM(C19:C19)</f>
        <v>400000</v>
      </c>
      <c r="D20" s="364">
        <f>SUM(D19:D19)</f>
        <v>200000</v>
      </c>
      <c r="E20" s="365"/>
      <c r="F20" s="365"/>
      <c r="G20" s="365"/>
    </row>
    <row r="21" spans="1:7" s="3" customFormat="1" ht="15.6" x14ac:dyDescent="0.25">
      <c r="A21" s="288" t="s">
        <v>269</v>
      </c>
      <c r="B21" s="287" t="s">
        <v>270</v>
      </c>
      <c r="C21" s="386">
        <v>8800000</v>
      </c>
      <c r="D21" s="361">
        <v>8000000</v>
      </c>
      <c r="E21" s="284"/>
      <c r="F21" s="284"/>
      <c r="G21" s="284"/>
    </row>
    <row r="22" spans="1:7" s="3" customFormat="1" ht="15.6" x14ac:dyDescent="0.25">
      <c r="A22" s="288" t="s">
        <v>271</v>
      </c>
      <c r="B22" s="287" t="s">
        <v>272</v>
      </c>
      <c r="C22" s="386">
        <v>5000000</v>
      </c>
      <c r="D22" s="361">
        <v>4000000</v>
      </c>
      <c r="E22" s="284"/>
      <c r="F22" s="284"/>
      <c r="G22" s="284"/>
    </row>
    <row r="23" spans="1:7" s="1" customFormat="1" ht="14.4" customHeight="1" x14ac:dyDescent="0.25">
      <c r="A23" s="288" t="s">
        <v>273</v>
      </c>
      <c r="B23" s="287" t="s">
        <v>274</v>
      </c>
      <c r="C23" s="386">
        <v>0</v>
      </c>
      <c r="D23" s="361">
        <v>0</v>
      </c>
      <c r="E23" s="284"/>
      <c r="F23" s="284"/>
      <c r="G23" s="284"/>
    </row>
    <row r="24" spans="1:7" s="3" customFormat="1" ht="15.6" x14ac:dyDescent="0.25">
      <c r="A24" s="288" t="s">
        <v>275</v>
      </c>
      <c r="B24" s="287" t="s">
        <v>276</v>
      </c>
      <c r="C24" s="386">
        <v>500000</v>
      </c>
      <c r="D24" s="361">
        <v>200000</v>
      </c>
      <c r="E24" s="284"/>
      <c r="F24" s="284"/>
      <c r="G24" s="284"/>
    </row>
    <row r="25" spans="1:7" s="1" customFormat="1" ht="15.6" x14ac:dyDescent="0.25">
      <c r="A25" s="289" t="s">
        <v>277</v>
      </c>
      <c r="B25" s="290" t="s">
        <v>278</v>
      </c>
      <c r="C25" s="124">
        <f>SUM(C21:C24)</f>
        <v>14300000</v>
      </c>
      <c r="D25" s="364">
        <f>SUM(D21:D24)</f>
        <v>12200000</v>
      </c>
      <c r="E25" s="365"/>
      <c r="F25" s="365"/>
      <c r="G25" s="365"/>
    </row>
    <row r="26" spans="1:7" s="3" customFormat="1" ht="15.6" x14ac:dyDescent="0.25">
      <c r="A26" s="296" t="s">
        <v>279</v>
      </c>
      <c r="B26" s="297" t="s">
        <v>37</v>
      </c>
      <c r="C26" s="387">
        <f>(C7+C10+C18+C20+C25)</f>
        <v>56800000</v>
      </c>
      <c r="D26" s="271">
        <f>(D7+D10+D18+D20+D25)</f>
        <v>42630000</v>
      </c>
      <c r="E26" s="263"/>
      <c r="F26" s="263"/>
      <c r="G26" s="263"/>
    </row>
    <row r="27" spans="1:7" ht="15.6" x14ac:dyDescent="0.3">
      <c r="B27" s="23"/>
      <c r="C27" s="2"/>
      <c r="D27" s="6"/>
      <c r="E27" s="272"/>
      <c r="F27" s="6"/>
      <c r="G27" s="6"/>
    </row>
    <row r="28" spans="1:7" s="198" customFormat="1" ht="31.8" thickBot="1" x14ac:dyDescent="0.3">
      <c r="A28" s="623" t="s">
        <v>507</v>
      </c>
      <c r="B28" s="624"/>
      <c r="C28" s="385" t="s">
        <v>509</v>
      </c>
      <c r="D28" s="291" t="s">
        <v>487</v>
      </c>
      <c r="E28" s="291" t="s">
        <v>465</v>
      </c>
      <c r="F28" s="291" t="s">
        <v>466</v>
      </c>
      <c r="G28" s="291" t="s">
        <v>467</v>
      </c>
    </row>
    <row r="29" spans="1:7" s="3" customFormat="1" ht="15.6" x14ac:dyDescent="0.25">
      <c r="A29" s="299" t="s">
        <v>243</v>
      </c>
      <c r="B29" s="300" t="s">
        <v>244</v>
      </c>
      <c r="C29" s="386">
        <v>15000</v>
      </c>
      <c r="D29" s="362">
        <v>150000</v>
      </c>
      <c r="E29" s="363"/>
      <c r="F29" s="363"/>
      <c r="G29" s="363"/>
    </row>
    <row r="30" spans="1:7" s="3" customFormat="1" ht="15.6" x14ac:dyDescent="0.25">
      <c r="A30" s="288" t="s">
        <v>245</v>
      </c>
      <c r="B30" s="287" t="s">
        <v>246</v>
      </c>
      <c r="C30" s="386">
        <v>16000000</v>
      </c>
      <c r="D30" s="361">
        <f>16500000+122432</f>
        <v>16622432</v>
      </c>
      <c r="E30" s="284"/>
      <c r="F30" s="284"/>
      <c r="G30" s="284"/>
    </row>
    <row r="31" spans="1:7" s="1" customFormat="1" ht="15.6" x14ac:dyDescent="0.25">
      <c r="A31" s="289" t="s">
        <v>247</v>
      </c>
      <c r="B31" s="290" t="s">
        <v>0</v>
      </c>
      <c r="C31" s="124">
        <f>SUM(C29:C30)</f>
        <v>16015000</v>
      </c>
      <c r="D31" s="364">
        <f>SUM(D29:D30)</f>
        <v>16772432</v>
      </c>
      <c r="E31" s="365"/>
      <c r="F31" s="365"/>
      <c r="G31" s="365"/>
    </row>
    <row r="32" spans="1:7" s="1" customFormat="1" ht="15.6" x14ac:dyDescent="0.25">
      <c r="A32" s="288" t="s">
        <v>248</v>
      </c>
      <c r="B32" s="287" t="s">
        <v>285</v>
      </c>
      <c r="C32" s="386">
        <v>500000</v>
      </c>
      <c r="D32" s="361">
        <v>400000</v>
      </c>
      <c r="E32" s="284"/>
      <c r="F32" s="284"/>
      <c r="G32" s="284"/>
    </row>
    <row r="33" spans="1:7" s="3" customFormat="1" ht="15.6" x14ac:dyDescent="0.25">
      <c r="A33" s="288" t="s">
        <v>249</v>
      </c>
      <c r="B33" s="287" t="s">
        <v>3</v>
      </c>
      <c r="C33" s="386">
        <v>250000</v>
      </c>
      <c r="D33" s="361">
        <v>250000</v>
      </c>
      <c r="E33" s="284"/>
      <c r="F33" s="284"/>
      <c r="G33" s="284"/>
    </row>
    <row r="34" spans="1:7" s="1" customFormat="1" ht="15.6" x14ac:dyDescent="0.25">
      <c r="A34" s="289" t="s">
        <v>250</v>
      </c>
      <c r="B34" s="290" t="s">
        <v>2</v>
      </c>
      <c r="C34" s="124">
        <f>SUM(C32:C33)</f>
        <v>750000</v>
      </c>
      <c r="D34" s="364">
        <f>SUM(D32:D33)</f>
        <v>650000</v>
      </c>
      <c r="E34" s="365"/>
      <c r="F34" s="365"/>
      <c r="G34" s="365"/>
    </row>
    <row r="35" spans="1:7" s="1" customFormat="1" ht="15.6" x14ac:dyDescent="0.25">
      <c r="A35" s="288" t="s">
        <v>251</v>
      </c>
      <c r="B35" s="287" t="s">
        <v>252</v>
      </c>
      <c r="C35" s="386">
        <v>2000000</v>
      </c>
      <c r="D35" s="361">
        <v>2000000</v>
      </c>
      <c r="E35" s="284"/>
      <c r="F35" s="284"/>
      <c r="G35" s="284"/>
    </row>
    <row r="36" spans="1:7" s="3" customFormat="1" ht="15.6" x14ac:dyDescent="0.25">
      <c r="A36" s="288" t="s">
        <v>253</v>
      </c>
      <c r="B36" s="287" t="s">
        <v>4</v>
      </c>
      <c r="C36" s="386">
        <v>10000</v>
      </c>
      <c r="D36" s="361">
        <v>10000</v>
      </c>
      <c r="E36" s="284"/>
      <c r="F36" s="284"/>
      <c r="G36" s="284"/>
    </row>
    <row r="37" spans="1:7" s="3" customFormat="1" ht="15.6" x14ac:dyDescent="0.25">
      <c r="A37" s="288" t="s">
        <v>254</v>
      </c>
      <c r="B37" s="287" t="s">
        <v>5</v>
      </c>
      <c r="C37" s="386">
        <v>50000</v>
      </c>
      <c r="D37" s="361">
        <v>30000</v>
      </c>
      <c r="E37" s="284"/>
      <c r="F37" s="284"/>
      <c r="G37" s="284"/>
    </row>
    <row r="38" spans="1:7" s="3" customFormat="1" ht="15.6" x14ac:dyDescent="0.25">
      <c r="A38" s="288" t="s">
        <v>255</v>
      </c>
      <c r="B38" s="287" t="s">
        <v>257</v>
      </c>
      <c r="C38" s="386">
        <v>100000</v>
      </c>
      <c r="D38" s="361">
        <v>80000</v>
      </c>
      <c r="E38" s="284"/>
      <c r="F38" s="284"/>
      <c r="G38" s="284"/>
    </row>
    <row r="39" spans="1:7" s="3" customFormat="1" ht="15.6" x14ac:dyDescent="0.25">
      <c r="A39" s="288" t="s">
        <v>259</v>
      </c>
      <c r="B39" s="287" t="s">
        <v>260</v>
      </c>
      <c r="C39" s="386">
        <v>300000</v>
      </c>
      <c r="D39" s="361">
        <v>200000</v>
      </c>
      <c r="E39" s="284"/>
      <c r="F39" s="284"/>
      <c r="G39" s="284"/>
    </row>
    <row r="40" spans="1:7" s="3" customFormat="1" ht="15.6" x14ac:dyDescent="0.25">
      <c r="A40" s="288" t="s">
        <v>261</v>
      </c>
      <c r="B40" s="287" t="s">
        <v>262</v>
      </c>
      <c r="C40" s="386">
        <v>1000000</v>
      </c>
      <c r="D40" s="361">
        <v>1000000</v>
      </c>
      <c r="E40" s="284"/>
      <c r="F40" s="284"/>
      <c r="G40" s="284"/>
    </row>
    <row r="41" spans="1:7" s="1" customFormat="1" ht="15.6" x14ac:dyDescent="0.25">
      <c r="A41" s="289" t="s">
        <v>263</v>
      </c>
      <c r="B41" s="290" t="s">
        <v>264</v>
      </c>
      <c r="C41" s="124">
        <f>SUM(C35:C40)</f>
        <v>3460000</v>
      </c>
      <c r="D41" s="364">
        <f>SUM(D35:D40)</f>
        <v>3320000</v>
      </c>
      <c r="E41" s="365"/>
      <c r="F41" s="365"/>
      <c r="G41" s="365"/>
    </row>
    <row r="42" spans="1:7" s="3" customFormat="1" ht="15.6" x14ac:dyDescent="0.25">
      <c r="A42" s="288" t="s">
        <v>265</v>
      </c>
      <c r="B42" s="287" t="s">
        <v>266</v>
      </c>
      <c r="C42" s="386">
        <v>330000</v>
      </c>
      <c r="D42" s="361">
        <v>230000</v>
      </c>
      <c r="E42" s="284"/>
      <c r="F42" s="284"/>
      <c r="G42" s="284"/>
    </row>
    <row r="43" spans="1:7" s="1" customFormat="1" ht="15.6" x14ac:dyDescent="0.25">
      <c r="A43" s="289" t="s">
        <v>267</v>
      </c>
      <c r="B43" s="290" t="s">
        <v>268</v>
      </c>
      <c r="C43" s="124">
        <f>SUM(C42:C42)</f>
        <v>330000</v>
      </c>
      <c r="D43" s="364">
        <f>SUM(D42:D42)</f>
        <v>230000</v>
      </c>
      <c r="E43" s="365"/>
      <c r="F43" s="365"/>
      <c r="G43" s="365"/>
    </row>
    <row r="44" spans="1:7" s="3" customFormat="1" ht="15.6" x14ac:dyDescent="0.25">
      <c r="A44" s="288" t="s">
        <v>269</v>
      </c>
      <c r="B44" s="287" t="s">
        <v>270</v>
      </c>
      <c r="C44" s="386">
        <v>3800000</v>
      </c>
      <c r="D44" s="361">
        <v>3800000</v>
      </c>
      <c r="E44" s="284"/>
      <c r="F44" s="284"/>
      <c r="G44" s="284"/>
    </row>
    <row r="45" spans="1:7" s="3" customFormat="1" ht="15.6" x14ac:dyDescent="0.25">
      <c r="A45" s="288" t="s">
        <v>271</v>
      </c>
      <c r="B45" s="287" t="s">
        <v>272</v>
      </c>
      <c r="C45" s="386">
        <v>1800000</v>
      </c>
      <c r="D45" s="361">
        <v>1800000</v>
      </c>
      <c r="E45" s="284"/>
      <c r="F45" s="284"/>
      <c r="G45" s="284"/>
    </row>
    <row r="46" spans="1:7" s="1" customFormat="1" ht="14.4" customHeight="1" x14ac:dyDescent="0.25">
      <c r="A46" s="288" t="s">
        <v>273</v>
      </c>
      <c r="B46" s="287" t="s">
        <v>274</v>
      </c>
      <c r="C46" s="386">
        <v>0</v>
      </c>
      <c r="D46" s="361">
        <v>0</v>
      </c>
      <c r="E46" s="284"/>
      <c r="F46" s="284"/>
      <c r="G46" s="284"/>
    </row>
    <row r="47" spans="1:7" s="3" customFormat="1" ht="13.95" customHeight="1" x14ac:dyDescent="0.25">
      <c r="A47" s="288" t="s">
        <v>275</v>
      </c>
      <c r="B47" s="287" t="s">
        <v>276</v>
      </c>
      <c r="C47" s="386">
        <v>350000</v>
      </c>
      <c r="D47" s="361">
        <v>350000</v>
      </c>
      <c r="E47" s="284"/>
      <c r="F47" s="284"/>
      <c r="G47" s="284"/>
    </row>
    <row r="48" spans="1:7" s="1" customFormat="1" ht="15.6" x14ac:dyDescent="0.25">
      <c r="A48" s="289" t="s">
        <v>277</v>
      </c>
      <c r="B48" s="290" t="s">
        <v>278</v>
      </c>
      <c r="C48" s="124">
        <f>SUM(C44:C47)</f>
        <v>5950000</v>
      </c>
      <c r="D48" s="268">
        <f>SUM(D44:D47)</f>
        <v>5950000</v>
      </c>
      <c r="E48" s="258"/>
      <c r="F48" s="258"/>
      <c r="G48" s="258"/>
    </row>
    <row r="49" spans="1:7" s="3" customFormat="1" ht="15.6" x14ac:dyDescent="0.25">
      <c r="A49" s="296" t="s">
        <v>279</v>
      </c>
      <c r="B49" s="297" t="s">
        <v>37</v>
      </c>
      <c r="C49" s="387">
        <f>(C31+C34+C41+C43+C48)</f>
        <v>26505000</v>
      </c>
      <c r="D49" s="271">
        <f>(D31+D34+D41+D43+D48)</f>
        <v>26922432</v>
      </c>
      <c r="E49" s="263"/>
      <c r="F49" s="263"/>
      <c r="G49" s="263"/>
    </row>
    <row r="50" spans="1:7" ht="15" x14ac:dyDescent="0.25">
      <c r="C50" s="6"/>
      <c r="D50" s="6"/>
      <c r="E50" s="6"/>
      <c r="F50" s="6"/>
      <c r="G50" s="6"/>
    </row>
    <row r="51" spans="1:7" s="198" customFormat="1" ht="31.8" thickBot="1" x14ac:dyDescent="0.3">
      <c r="A51" s="625" t="s">
        <v>415</v>
      </c>
      <c r="B51" s="626"/>
      <c r="C51" s="385" t="s">
        <v>509</v>
      </c>
      <c r="D51" s="291" t="s">
        <v>487</v>
      </c>
      <c r="E51" s="291" t="s">
        <v>465</v>
      </c>
      <c r="F51" s="291" t="s">
        <v>466</v>
      </c>
      <c r="G51" s="291" t="s">
        <v>467</v>
      </c>
    </row>
    <row r="52" spans="1:7" s="3" customFormat="1" ht="15.6" x14ac:dyDescent="0.25">
      <c r="A52" s="299" t="s">
        <v>243</v>
      </c>
      <c r="B52" s="300" t="s">
        <v>244</v>
      </c>
      <c r="C52" s="386">
        <v>80000</v>
      </c>
      <c r="D52" s="362">
        <v>50000</v>
      </c>
      <c r="E52" s="363"/>
      <c r="F52" s="363"/>
      <c r="G52" s="363"/>
    </row>
    <row r="53" spans="1:7" s="3" customFormat="1" ht="15.6" x14ac:dyDescent="0.25">
      <c r="A53" s="288" t="s">
        <v>245</v>
      </c>
      <c r="B53" s="287" t="s">
        <v>246</v>
      </c>
      <c r="C53" s="386">
        <v>300000</v>
      </c>
      <c r="D53" s="361">
        <v>400000</v>
      </c>
      <c r="E53" s="284"/>
      <c r="F53" s="284"/>
      <c r="G53" s="284"/>
    </row>
    <row r="54" spans="1:7" s="1" customFormat="1" ht="15.6" x14ac:dyDescent="0.25">
      <c r="A54" s="289" t="s">
        <v>247</v>
      </c>
      <c r="B54" s="290" t="s">
        <v>0</v>
      </c>
      <c r="C54" s="124">
        <f>SUM(C52:C53)</f>
        <v>380000</v>
      </c>
      <c r="D54" s="364">
        <f>SUM(D52:D53)</f>
        <v>450000</v>
      </c>
      <c r="E54" s="365"/>
      <c r="F54" s="365"/>
      <c r="G54" s="365"/>
    </row>
    <row r="55" spans="1:7" s="1" customFormat="1" ht="15.6" x14ac:dyDescent="0.25">
      <c r="A55" s="288" t="s">
        <v>248</v>
      </c>
      <c r="B55" s="287" t="s">
        <v>285</v>
      </c>
      <c r="C55" s="386">
        <v>180000</v>
      </c>
      <c r="D55" s="361">
        <v>180000</v>
      </c>
      <c r="E55" s="284"/>
      <c r="F55" s="284"/>
      <c r="G55" s="284"/>
    </row>
    <row r="56" spans="1:7" s="3" customFormat="1" ht="15.6" x14ac:dyDescent="0.25">
      <c r="A56" s="288" t="s">
        <v>249</v>
      </c>
      <c r="B56" s="287" t="s">
        <v>3</v>
      </c>
      <c r="C56" s="386">
        <v>180000</v>
      </c>
      <c r="D56" s="361">
        <v>175000</v>
      </c>
      <c r="E56" s="284"/>
      <c r="F56" s="284"/>
      <c r="G56" s="284"/>
    </row>
    <row r="57" spans="1:7" s="1" customFormat="1" ht="15.6" x14ac:dyDescent="0.25">
      <c r="A57" s="289" t="s">
        <v>250</v>
      </c>
      <c r="B57" s="290" t="s">
        <v>2</v>
      </c>
      <c r="C57" s="124">
        <f>SUM(C55:C56)</f>
        <v>360000</v>
      </c>
      <c r="D57" s="364">
        <f>SUM(D55:D56)</f>
        <v>355000</v>
      </c>
      <c r="E57" s="365"/>
      <c r="F57" s="365"/>
      <c r="G57" s="365"/>
    </row>
    <row r="58" spans="1:7" s="1" customFormat="1" ht="15.6" x14ac:dyDescent="0.25">
      <c r="A58" s="288" t="s">
        <v>251</v>
      </c>
      <c r="B58" s="287" t="s">
        <v>252</v>
      </c>
      <c r="C58" s="386">
        <v>780000</v>
      </c>
      <c r="D58" s="361">
        <v>1000000</v>
      </c>
      <c r="E58" s="284"/>
      <c r="F58" s="284"/>
      <c r="G58" s="284"/>
    </row>
    <row r="59" spans="1:7" s="3" customFormat="1" ht="15.6" x14ac:dyDescent="0.25">
      <c r="A59" s="288" t="s">
        <v>253</v>
      </c>
      <c r="B59" s="287" t="s">
        <v>4</v>
      </c>
      <c r="C59" s="386">
        <v>10000</v>
      </c>
      <c r="D59" s="361">
        <v>10000</v>
      </c>
      <c r="E59" s="284"/>
      <c r="F59" s="284"/>
      <c r="G59" s="284"/>
    </row>
    <row r="60" spans="1:7" s="3" customFormat="1" ht="15.6" x14ac:dyDescent="0.25">
      <c r="A60" s="288" t="s">
        <v>254</v>
      </c>
      <c r="B60" s="287" t="s">
        <v>5</v>
      </c>
      <c r="C60" s="386">
        <v>0</v>
      </c>
      <c r="D60" s="361">
        <v>0</v>
      </c>
      <c r="E60" s="284"/>
      <c r="F60" s="284"/>
      <c r="G60" s="284"/>
    </row>
    <row r="61" spans="1:7" s="3" customFormat="1" ht="15.6" x14ac:dyDescent="0.25">
      <c r="A61" s="288" t="s">
        <v>255</v>
      </c>
      <c r="B61" s="287" t="s">
        <v>257</v>
      </c>
      <c r="C61" s="386">
        <v>50000</v>
      </c>
      <c r="D61" s="361">
        <v>50000</v>
      </c>
      <c r="E61" s="284"/>
      <c r="F61" s="284"/>
      <c r="G61" s="284"/>
    </row>
    <row r="62" spans="1:7" s="3" customFormat="1" ht="15.6" x14ac:dyDescent="0.25">
      <c r="A62" s="288" t="s">
        <v>259</v>
      </c>
      <c r="B62" s="287" t="s">
        <v>260</v>
      </c>
      <c r="C62" s="386">
        <v>300000</v>
      </c>
      <c r="D62" s="361">
        <v>300000</v>
      </c>
      <c r="E62" s="284"/>
      <c r="F62" s="284"/>
      <c r="G62" s="284"/>
    </row>
    <row r="63" spans="1:7" s="3" customFormat="1" ht="15.6" x14ac:dyDescent="0.25">
      <c r="A63" s="288" t="s">
        <v>261</v>
      </c>
      <c r="B63" s="287" t="s">
        <v>262</v>
      </c>
      <c r="C63" s="386">
        <v>250000</v>
      </c>
      <c r="D63" s="361">
        <v>250000</v>
      </c>
      <c r="E63" s="284"/>
      <c r="F63" s="284"/>
      <c r="G63" s="284"/>
    </row>
    <row r="64" spans="1:7" s="1" customFormat="1" ht="15.6" x14ac:dyDescent="0.25">
      <c r="A64" s="289" t="s">
        <v>263</v>
      </c>
      <c r="B64" s="290" t="s">
        <v>264</v>
      </c>
      <c r="C64" s="124">
        <f>SUM(C58:C63)</f>
        <v>1390000</v>
      </c>
      <c r="D64" s="364">
        <f>SUM(D58:D63)</f>
        <v>1610000</v>
      </c>
      <c r="E64" s="365"/>
      <c r="F64" s="365"/>
      <c r="G64" s="365"/>
    </row>
    <row r="65" spans="1:7" s="3" customFormat="1" ht="15.6" x14ac:dyDescent="0.25">
      <c r="A65" s="288" t="s">
        <v>265</v>
      </c>
      <c r="B65" s="287" t="s">
        <v>266</v>
      </c>
      <c r="C65" s="386">
        <v>85000</v>
      </c>
      <c r="D65" s="361">
        <v>120000</v>
      </c>
      <c r="E65" s="284"/>
      <c r="F65" s="284"/>
      <c r="G65" s="284"/>
    </row>
    <row r="66" spans="1:7" s="1" customFormat="1" ht="15.6" x14ac:dyDescent="0.25">
      <c r="A66" s="289" t="s">
        <v>267</v>
      </c>
      <c r="B66" s="290" t="s">
        <v>268</v>
      </c>
      <c r="C66" s="124">
        <f>SUM(C65:C65)</f>
        <v>85000</v>
      </c>
      <c r="D66" s="364">
        <f>SUM(D65:D65)</f>
        <v>120000</v>
      </c>
      <c r="E66" s="365"/>
      <c r="F66" s="365"/>
      <c r="G66" s="365"/>
    </row>
    <row r="67" spans="1:7" s="3" customFormat="1" ht="15.6" x14ac:dyDescent="0.25">
      <c r="A67" s="288" t="s">
        <v>269</v>
      </c>
      <c r="B67" s="287" t="s">
        <v>270</v>
      </c>
      <c r="C67" s="386">
        <v>460000</v>
      </c>
      <c r="D67" s="361">
        <v>460000</v>
      </c>
      <c r="E67" s="284"/>
      <c r="F67" s="284"/>
      <c r="G67" s="284"/>
    </row>
    <row r="68" spans="1:7" s="3" customFormat="1" ht="15.6" x14ac:dyDescent="0.25">
      <c r="A68" s="288" t="s">
        <v>271</v>
      </c>
      <c r="B68" s="287" t="s">
        <v>272</v>
      </c>
      <c r="C68" s="386">
        <v>0</v>
      </c>
      <c r="D68" s="361">
        <v>0</v>
      </c>
      <c r="E68" s="284"/>
      <c r="F68" s="284"/>
      <c r="G68" s="284"/>
    </row>
    <row r="69" spans="1:7" s="1" customFormat="1" ht="14.4" customHeight="1" x14ac:dyDescent="0.25">
      <c r="A69" s="288" t="s">
        <v>273</v>
      </c>
      <c r="B69" s="287" t="s">
        <v>274</v>
      </c>
      <c r="C69" s="386">
        <v>0</v>
      </c>
      <c r="D69" s="361">
        <v>0</v>
      </c>
      <c r="E69" s="284"/>
      <c r="F69" s="284"/>
      <c r="G69" s="284"/>
    </row>
    <row r="70" spans="1:7" s="3" customFormat="1" ht="13.95" customHeight="1" x14ac:dyDescent="0.25">
      <c r="A70" s="288" t="s">
        <v>275</v>
      </c>
      <c r="B70" s="287" t="s">
        <v>276</v>
      </c>
      <c r="C70" s="386">
        <v>60000</v>
      </c>
      <c r="D70" s="361">
        <v>60000</v>
      </c>
      <c r="E70" s="284"/>
      <c r="F70" s="284"/>
      <c r="G70" s="284"/>
    </row>
    <row r="71" spans="1:7" s="1" customFormat="1" ht="15.6" x14ac:dyDescent="0.25">
      <c r="A71" s="289" t="s">
        <v>277</v>
      </c>
      <c r="B71" s="290" t="s">
        <v>278</v>
      </c>
      <c r="C71" s="124">
        <f>SUM(C67:C70)</f>
        <v>520000</v>
      </c>
      <c r="D71" s="268">
        <f>SUM(D67:D70)</f>
        <v>520000</v>
      </c>
      <c r="E71" s="258"/>
      <c r="F71" s="258"/>
      <c r="G71" s="258"/>
    </row>
    <row r="72" spans="1:7" s="3" customFormat="1" ht="15.6" x14ac:dyDescent="0.25">
      <c r="A72" s="296" t="s">
        <v>279</v>
      </c>
      <c r="B72" s="297" t="s">
        <v>37</v>
      </c>
      <c r="C72" s="387">
        <f>(C54+C57+C64+C66+C71)</f>
        <v>2735000</v>
      </c>
      <c r="D72" s="271">
        <f>(D54+D57+D64+D66+D71)</f>
        <v>3055000</v>
      </c>
      <c r="E72" s="263"/>
      <c r="F72" s="263"/>
      <c r="G72" s="263"/>
    </row>
    <row r="73" spans="1:7" ht="15" x14ac:dyDescent="0.25">
      <c r="C73" s="6"/>
      <c r="D73" s="6"/>
      <c r="E73" s="6"/>
      <c r="F73" s="6"/>
      <c r="G73" s="6"/>
    </row>
    <row r="74" spans="1:7" s="198" customFormat="1" ht="31.8" thickBot="1" x14ac:dyDescent="0.3">
      <c r="A74" s="613" t="s">
        <v>410</v>
      </c>
      <c r="B74" s="614"/>
      <c r="C74" s="385" t="s">
        <v>509</v>
      </c>
      <c r="D74" s="291" t="s">
        <v>487</v>
      </c>
      <c r="E74" s="291" t="s">
        <v>465</v>
      </c>
      <c r="F74" s="291" t="s">
        <v>466</v>
      </c>
      <c r="G74" s="291" t="s">
        <v>467</v>
      </c>
    </row>
    <row r="75" spans="1:7" s="3" customFormat="1" ht="15.6" x14ac:dyDescent="0.25">
      <c r="A75" s="299" t="s">
        <v>243</v>
      </c>
      <c r="B75" s="300" t="s">
        <v>244</v>
      </c>
      <c r="C75" s="386">
        <v>50000</v>
      </c>
      <c r="D75" s="362">
        <v>50000</v>
      </c>
      <c r="E75" s="363"/>
      <c r="F75" s="363"/>
      <c r="G75" s="363"/>
    </row>
    <row r="76" spans="1:7" s="3" customFormat="1" ht="15.6" x14ac:dyDescent="0.25">
      <c r="A76" s="288" t="s">
        <v>245</v>
      </c>
      <c r="B76" s="287" t="s">
        <v>246</v>
      </c>
      <c r="C76" s="386">
        <v>1500000</v>
      </c>
      <c r="D76" s="361">
        <v>1400000</v>
      </c>
      <c r="E76" s="284"/>
      <c r="F76" s="284"/>
      <c r="G76" s="284"/>
    </row>
    <row r="77" spans="1:7" s="1" customFormat="1" ht="15.6" x14ac:dyDescent="0.25">
      <c r="A77" s="289" t="s">
        <v>247</v>
      </c>
      <c r="B77" s="290" t="s">
        <v>0</v>
      </c>
      <c r="C77" s="124">
        <f>SUM(C75:C76)</f>
        <v>1550000</v>
      </c>
      <c r="D77" s="364">
        <f>SUM(D75:D76)</f>
        <v>1450000</v>
      </c>
      <c r="E77" s="365"/>
      <c r="F77" s="365"/>
      <c r="G77" s="365"/>
    </row>
    <row r="78" spans="1:7" s="1" customFormat="1" ht="15.6" x14ac:dyDescent="0.25">
      <c r="A78" s="288" t="s">
        <v>248</v>
      </c>
      <c r="B78" s="287" t="s">
        <v>285</v>
      </c>
      <c r="C78" s="386">
        <v>0</v>
      </c>
      <c r="D78" s="361">
        <v>0</v>
      </c>
      <c r="E78" s="284"/>
      <c r="F78" s="284"/>
      <c r="G78" s="284"/>
    </row>
    <row r="79" spans="1:7" s="3" customFormat="1" ht="15.6" x14ac:dyDescent="0.25">
      <c r="A79" s="288" t="s">
        <v>249</v>
      </c>
      <c r="B79" s="287" t="s">
        <v>3</v>
      </c>
      <c r="C79" s="386">
        <v>100000</v>
      </c>
      <c r="D79" s="361">
        <v>100000</v>
      </c>
      <c r="E79" s="284"/>
      <c r="F79" s="284"/>
      <c r="G79" s="284"/>
    </row>
    <row r="80" spans="1:7" s="1" customFormat="1" ht="15.6" x14ac:dyDescent="0.25">
      <c r="A80" s="289" t="s">
        <v>250</v>
      </c>
      <c r="B80" s="290" t="s">
        <v>2</v>
      </c>
      <c r="C80" s="124">
        <f>SUM(C78:C79)</f>
        <v>100000</v>
      </c>
      <c r="D80" s="364">
        <f>SUM(D78:D79)</f>
        <v>100000</v>
      </c>
      <c r="E80" s="365"/>
      <c r="F80" s="365"/>
      <c r="G80" s="365"/>
    </row>
    <row r="81" spans="1:7" s="1" customFormat="1" ht="15.6" x14ac:dyDescent="0.25">
      <c r="A81" s="288" t="s">
        <v>251</v>
      </c>
      <c r="B81" s="287" t="s">
        <v>252</v>
      </c>
      <c r="C81" s="386">
        <v>1000000</v>
      </c>
      <c r="D81" s="361">
        <v>1000000</v>
      </c>
      <c r="E81" s="284"/>
      <c r="F81" s="284"/>
      <c r="G81" s="284"/>
    </row>
    <row r="82" spans="1:7" s="3" customFormat="1" ht="15.6" x14ac:dyDescent="0.25">
      <c r="A82" s="288" t="s">
        <v>253</v>
      </c>
      <c r="B82" s="287" t="s">
        <v>4</v>
      </c>
      <c r="C82" s="386">
        <v>5000</v>
      </c>
      <c r="D82" s="361">
        <v>5000</v>
      </c>
      <c r="E82" s="284"/>
      <c r="F82" s="284"/>
      <c r="G82" s="284"/>
    </row>
    <row r="83" spans="1:7" s="3" customFormat="1" ht="15.6" x14ac:dyDescent="0.25">
      <c r="A83" s="288" t="s">
        <v>254</v>
      </c>
      <c r="B83" s="287" t="s">
        <v>5</v>
      </c>
      <c r="C83" s="386">
        <v>50000</v>
      </c>
      <c r="D83" s="361">
        <v>50000</v>
      </c>
      <c r="E83" s="284"/>
      <c r="F83" s="284"/>
      <c r="G83" s="284"/>
    </row>
    <row r="84" spans="1:7" s="3" customFormat="1" ht="15.6" x14ac:dyDescent="0.25">
      <c r="A84" s="288" t="s">
        <v>255</v>
      </c>
      <c r="B84" s="287" t="s">
        <v>257</v>
      </c>
      <c r="C84" s="386">
        <v>130000</v>
      </c>
      <c r="D84" s="361">
        <v>130000</v>
      </c>
      <c r="E84" s="284"/>
      <c r="F84" s="284"/>
      <c r="G84" s="284"/>
    </row>
    <row r="85" spans="1:7" s="3" customFormat="1" ht="15.6" x14ac:dyDescent="0.25">
      <c r="A85" s="288" t="s">
        <v>259</v>
      </c>
      <c r="B85" s="287" t="s">
        <v>260</v>
      </c>
      <c r="C85" s="386">
        <v>300000</v>
      </c>
      <c r="D85" s="361">
        <v>400000</v>
      </c>
      <c r="E85" s="284"/>
      <c r="F85" s="284"/>
      <c r="G85" s="284"/>
    </row>
    <row r="86" spans="1:7" s="3" customFormat="1" ht="15.6" x14ac:dyDescent="0.25">
      <c r="A86" s="288" t="s">
        <v>261</v>
      </c>
      <c r="B86" s="287" t="s">
        <v>262</v>
      </c>
      <c r="C86" s="386">
        <v>400000</v>
      </c>
      <c r="D86" s="361">
        <v>400000</v>
      </c>
      <c r="E86" s="284"/>
      <c r="F86" s="284"/>
      <c r="G86" s="284"/>
    </row>
    <row r="87" spans="1:7" s="1" customFormat="1" ht="15.6" x14ac:dyDescent="0.25">
      <c r="A87" s="289" t="s">
        <v>263</v>
      </c>
      <c r="B87" s="290" t="s">
        <v>264</v>
      </c>
      <c r="C87" s="124">
        <f>SUM(C81:C86)</f>
        <v>1885000</v>
      </c>
      <c r="D87" s="364">
        <f>SUM(D81:D86)</f>
        <v>1985000</v>
      </c>
      <c r="E87" s="365"/>
      <c r="F87" s="365"/>
      <c r="G87" s="365"/>
    </row>
    <row r="88" spans="1:7" s="3" customFormat="1" ht="15.6" x14ac:dyDescent="0.25">
      <c r="A88" s="288" t="s">
        <v>265</v>
      </c>
      <c r="B88" s="287" t="s">
        <v>266</v>
      </c>
      <c r="C88" s="386">
        <v>80000</v>
      </c>
      <c r="D88" s="361">
        <v>80000</v>
      </c>
      <c r="E88" s="284"/>
      <c r="F88" s="284"/>
      <c r="G88" s="284"/>
    </row>
    <row r="89" spans="1:7" s="1" customFormat="1" ht="15.6" x14ac:dyDescent="0.25">
      <c r="A89" s="289" t="s">
        <v>267</v>
      </c>
      <c r="B89" s="290" t="s">
        <v>268</v>
      </c>
      <c r="C89" s="124">
        <f>SUM(C88:C88)</f>
        <v>80000</v>
      </c>
      <c r="D89" s="364">
        <f>SUM(D88:D88)</f>
        <v>80000</v>
      </c>
      <c r="E89" s="365"/>
      <c r="F89" s="365"/>
      <c r="G89" s="365"/>
    </row>
    <row r="90" spans="1:7" s="3" customFormat="1" ht="15.6" x14ac:dyDescent="0.25">
      <c r="A90" s="288" t="s">
        <v>269</v>
      </c>
      <c r="B90" s="287" t="s">
        <v>270</v>
      </c>
      <c r="C90" s="386">
        <v>800000</v>
      </c>
      <c r="D90" s="361">
        <v>800000</v>
      </c>
      <c r="E90" s="284"/>
      <c r="F90" s="284"/>
      <c r="G90" s="284"/>
    </row>
    <row r="91" spans="1:7" s="3" customFormat="1" ht="15.6" x14ac:dyDescent="0.25">
      <c r="A91" s="288" t="s">
        <v>271</v>
      </c>
      <c r="B91" s="287" t="s">
        <v>272</v>
      </c>
      <c r="C91" s="386">
        <v>0</v>
      </c>
      <c r="D91" s="361">
        <v>0</v>
      </c>
      <c r="E91" s="284"/>
      <c r="F91" s="284"/>
      <c r="G91" s="284"/>
    </row>
    <row r="92" spans="1:7" s="1" customFormat="1" ht="14.4" customHeight="1" x14ac:dyDescent="0.25">
      <c r="A92" s="288" t="s">
        <v>273</v>
      </c>
      <c r="B92" s="287" t="s">
        <v>274</v>
      </c>
      <c r="C92" s="386">
        <v>0</v>
      </c>
      <c r="D92" s="361">
        <v>0</v>
      </c>
      <c r="E92" s="284"/>
      <c r="F92" s="284"/>
      <c r="G92" s="284"/>
    </row>
    <row r="93" spans="1:7" s="3" customFormat="1" ht="13.95" customHeight="1" x14ac:dyDescent="0.25">
      <c r="A93" s="288" t="s">
        <v>275</v>
      </c>
      <c r="B93" s="287" t="s">
        <v>276</v>
      </c>
      <c r="C93" s="386">
        <v>50000</v>
      </c>
      <c r="D93" s="361">
        <v>50000</v>
      </c>
      <c r="E93" s="284"/>
      <c r="F93" s="284"/>
      <c r="G93" s="284"/>
    </row>
    <row r="94" spans="1:7" s="1" customFormat="1" ht="15.6" x14ac:dyDescent="0.25">
      <c r="A94" s="289" t="s">
        <v>277</v>
      </c>
      <c r="B94" s="290" t="s">
        <v>278</v>
      </c>
      <c r="C94" s="124">
        <f>SUM(C90:C93)</f>
        <v>850000</v>
      </c>
      <c r="D94" s="268">
        <f>SUM(D90:D93)</f>
        <v>850000</v>
      </c>
      <c r="E94" s="258"/>
      <c r="F94" s="258"/>
      <c r="G94" s="258"/>
    </row>
    <row r="95" spans="1:7" s="3" customFormat="1" ht="15.6" x14ac:dyDescent="0.25">
      <c r="A95" s="296" t="s">
        <v>279</v>
      </c>
      <c r="B95" s="297" t="s">
        <v>37</v>
      </c>
      <c r="C95" s="387">
        <f>(C77+C80+C87+C89+C94)</f>
        <v>4465000</v>
      </c>
      <c r="D95" s="271">
        <f>(D77+D80+D87+D89+D94)</f>
        <v>4465000</v>
      </c>
      <c r="E95" s="263"/>
      <c r="F95" s="263"/>
      <c r="G95" s="263"/>
    </row>
    <row r="96" spans="1:7" ht="13.8" thickBot="1" x14ac:dyDescent="0.3"/>
    <row r="97" spans="1:7" s="3" customFormat="1" ht="19.95" customHeight="1" thickBot="1" x14ac:dyDescent="0.3">
      <c r="A97" s="441" t="s">
        <v>279</v>
      </c>
      <c r="B97" s="442" t="s">
        <v>520</v>
      </c>
      <c r="C97" s="209">
        <f>C26+C49+C72+C95</f>
        <v>90505000</v>
      </c>
      <c r="D97" s="209">
        <f>D26+D49+D72+D95</f>
        <v>77072432</v>
      </c>
      <c r="E97" s="209"/>
      <c r="F97" s="209"/>
      <c r="G97" s="210"/>
    </row>
  </sheetData>
  <mergeCells count="6">
    <mergeCell ref="A51:B51"/>
    <mergeCell ref="A74:B74"/>
    <mergeCell ref="A1:G1"/>
    <mergeCell ref="A2:G2"/>
    <mergeCell ref="A4:B4"/>
    <mergeCell ref="A28:B28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scale="53" orientation="portrait" r:id="rId1"/>
  <headerFooter>
    <oddHeader>&amp;R3./b sz. melléklet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18</vt:i4>
      </vt:variant>
    </vt:vector>
  </HeadingPairs>
  <TitlesOfParts>
    <vt:vector size="18" baseType="lpstr">
      <vt:lpstr>1).Bevételek összesen</vt:lpstr>
      <vt:lpstr>1a).Normatíva</vt:lpstr>
      <vt:lpstr>1b).Működési bevétel int.</vt:lpstr>
      <vt:lpstr>1c).Beruházás felújítás</vt:lpstr>
      <vt:lpstr>2).Bevétel intézmény</vt:lpstr>
      <vt:lpstr>2a).Köt. műk. bev. intézmény </vt:lpstr>
      <vt:lpstr>3).Kiadások összesen</vt:lpstr>
      <vt:lpstr>3a).Személyi jutt intézmény</vt:lpstr>
      <vt:lpstr>3b).Dologi kiad intézmény</vt:lpstr>
      <vt:lpstr>3c).Dol. önk rész cofog</vt:lpstr>
      <vt:lpstr>4).Kiadás intézmény</vt:lpstr>
      <vt:lpstr>4a).Köt. műk. kia. intézmény</vt:lpstr>
      <vt:lpstr>5).Bevételi ei.telj önk</vt:lpstr>
      <vt:lpstr>6).Kiadási ei telj önk</vt:lpstr>
      <vt:lpstr>7). Ktg. vet. mérleg</vt:lpstr>
      <vt:lpstr>8).Közvetett közvetlen tám.</vt:lpstr>
      <vt:lpstr>9).Több éves kihat. döntések</vt:lpstr>
      <vt:lpstr>10).Adott támogatások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Istvan</cp:lastModifiedBy>
  <cp:lastPrinted>2020-06-29T07:00:08Z</cp:lastPrinted>
  <dcterms:created xsi:type="dcterms:W3CDTF">2013-01-22T14:12:33Z</dcterms:created>
  <dcterms:modified xsi:type="dcterms:W3CDTF">2020-06-29T07:00:16Z</dcterms:modified>
</cp:coreProperties>
</file>