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2019. évi zárszámadás\számozott\"/>
    </mc:Choice>
  </mc:AlternateContent>
  <bookViews>
    <workbookView xWindow="0" yWindow="0" windowWidth="23460" windowHeight="9450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4" sheetId="79" state="hidden" r:id="rId23"/>
    <sheet name="Munka3" sheetId="78" state="hidden" r:id="rId24"/>
    <sheet name="Munka6" sheetId="77" state="hidden" r:id="rId25"/>
    <sheet name="Munka2" sheetId="72" state="hidden" r:id="rId26"/>
    <sheet name="Maradvány" sheetId="83" r:id="rId27"/>
    <sheet name="eredménykimut" sheetId="84" r:id="rId28"/>
    <sheet name="likvid" sheetId="24" state="hidden" r:id="rId29"/>
    <sheet name="Munka1" sheetId="73" state="hidden" r:id="rId30"/>
    <sheet name="létszám" sheetId="68" r:id="rId31"/>
    <sheet name="Kötváll Ph." sheetId="65" state="hidden" r:id="rId32"/>
    <sheet name="Kötváll Önk" sheetId="66" r:id="rId33"/>
    <sheet name="kötváll. " sheetId="56" state="hidden" r:id="rId34"/>
    <sheet name="közvetett t." sheetId="54" r:id="rId35"/>
    <sheet name="polgM keret" sheetId="81" r:id="rId36"/>
    <sheet name="hitelállomány " sheetId="55" r:id="rId37"/>
    <sheet name="Vagyonmérleg" sheetId="85" r:id="rId38"/>
    <sheet name="ing és vafgyonért jog" sheetId="86" r:id="rId39"/>
    <sheet name="forgalomképes vagy" sheetId="87" r:id="rId40"/>
    <sheet name="befejezetlen beruh" sheetId="88" r:id="rId41"/>
    <sheet name="o-ra leírt" sheetId="89" r:id="rId42"/>
    <sheet name="értékvesztés" sheetId="90" r:id="rId43"/>
    <sheet name="részesedések" sheetId="82" r:id="rId44"/>
  </sheets>
  <definedNames>
    <definedName name="Excel_BuiltIn_Print_Titles" localSheetId="16">'ellátottak önk.'!$B$9:$IM$10</definedName>
    <definedName name="Excel_BuiltIn_Print_Titles" localSheetId="30">#REF!</definedName>
    <definedName name="Excel_BuiltIn_Print_Titles">#REF!</definedName>
    <definedName name="_xlnm.Print_Titles" localSheetId="16">'ellátottak önk.'!$9:$10</definedName>
    <definedName name="_xlnm.Print_Titles" localSheetId="8">'felh. bev.  '!$8:$9</definedName>
    <definedName name="_xlnm.Print_Titles" localSheetId="10">'felhalm. kiad.  '!$6:$10</definedName>
    <definedName name="_xlnm.Print_Titles" localSheetId="33">'kötváll. '!$7:$8</definedName>
    <definedName name="_xlnm.Print_Titles" localSheetId="30">létszám!$7:$10</definedName>
    <definedName name="_xlnm.Print_Titles" localSheetId="9">mc.pe.átad!$8:$9</definedName>
    <definedName name="_xlnm.Print_Titles" localSheetId="15">'műk. kiad. szakf Önkorm. '!$6:$11</definedName>
    <definedName name="_xlnm.Print_Titles" localSheetId="6">'tám, végl. pe.átv  '!$7:$7</definedName>
    <definedName name="_xlnm.Print_Area" localSheetId="6">'tám, végl. pe.átv  '!$A$1:$I$79</definedName>
  </definedNames>
  <calcPr calcId="152511"/>
</workbook>
</file>

<file path=xl/calcChain.xml><?xml version="1.0" encoding="utf-8"?>
<calcChain xmlns="http://schemas.openxmlformats.org/spreadsheetml/2006/main">
  <c r="F42" i="84" l="1"/>
  <c r="F35" i="49" l="1"/>
  <c r="N17" i="49"/>
  <c r="N18" i="49"/>
  <c r="N19" i="49"/>
  <c r="N20" i="49"/>
  <c r="N21" i="49"/>
  <c r="N22" i="49"/>
  <c r="N23" i="49"/>
  <c r="O23" i="49"/>
  <c r="O21" i="49"/>
  <c r="P21" i="49"/>
  <c r="O20" i="49"/>
  <c r="P20" i="49"/>
  <c r="O19" i="49"/>
  <c r="P19" i="49"/>
  <c r="O17" i="49"/>
  <c r="P17" i="49"/>
  <c r="O16" i="49"/>
  <c r="N16" i="49"/>
  <c r="O19" i="48"/>
  <c r="P19" i="48"/>
  <c r="N19" i="48"/>
  <c r="O18" i="48"/>
  <c r="N18" i="48"/>
  <c r="G19" i="49"/>
  <c r="H19" i="49"/>
  <c r="F19" i="49"/>
  <c r="H18" i="49"/>
  <c r="G18" i="49"/>
  <c r="F18" i="49"/>
  <c r="G24" i="49"/>
  <c r="F24" i="49"/>
  <c r="G22" i="49"/>
  <c r="F22" i="49"/>
  <c r="G21" i="49"/>
  <c r="F21" i="49"/>
  <c r="G15" i="49"/>
  <c r="F15" i="49"/>
  <c r="O39" i="48"/>
  <c r="N39" i="48"/>
  <c r="O13" i="48"/>
  <c r="O14" i="48"/>
  <c r="O15" i="48"/>
  <c r="O16" i="48"/>
  <c r="O21" i="48"/>
  <c r="O22" i="48"/>
  <c r="N13" i="48"/>
  <c r="N14" i="48"/>
  <c r="N15" i="48"/>
  <c r="N16" i="48"/>
  <c r="N21" i="48"/>
  <c r="N22" i="48"/>
  <c r="O12" i="48"/>
  <c r="N12" i="48"/>
  <c r="G39" i="48"/>
  <c r="F39" i="48"/>
  <c r="G36" i="48"/>
  <c r="F36" i="48"/>
  <c r="G21" i="48"/>
  <c r="H21" i="48"/>
  <c r="F21" i="48"/>
  <c r="G18" i="48"/>
  <c r="H18" i="48"/>
  <c r="F18" i="48"/>
  <c r="G16" i="48"/>
  <c r="H16" i="48"/>
  <c r="F16" i="48"/>
  <c r="G14" i="48"/>
  <c r="G15" i="48"/>
  <c r="F14" i="48"/>
  <c r="F15" i="48"/>
  <c r="G13" i="48"/>
  <c r="F13" i="48"/>
  <c r="H99" i="66" l="1"/>
  <c r="G99" i="66"/>
  <c r="F99" i="66"/>
  <c r="E99" i="66"/>
  <c r="A55" i="66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66" i="66" s="1"/>
  <c r="A45" i="66"/>
  <c r="A46" i="66" s="1"/>
  <c r="A47" i="66" s="1"/>
  <c r="A48" i="66" s="1"/>
  <c r="A49" i="66" s="1"/>
  <c r="A50" i="66" s="1"/>
  <c r="A25" i="66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4" i="66"/>
  <c r="A22" i="66"/>
  <c r="F26" i="83" l="1"/>
  <c r="G26" i="83"/>
  <c r="H26" i="83"/>
  <c r="E26" i="83"/>
  <c r="I26" i="83"/>
  <c r="J26" i="83" s="1"/>
  <c r="H23" i="83"/>
  <c r="G23" i="83"/>
  <c r="F23" i="83"/>
  <c r="E23" i="83"/>
  <c r="D23" i="83"/>
  <c r="C23" i="83"/>
  <c r="I22" i="83"/>
  <c r="J22" i="83" s="1"/>
  <c r="J21" i="83"/>
  <c r="I21" i="83"/>
  <c r="H20" i="83"/>
  <c r="H24" i="83" s="1"/>
  <c r="G20" i="83"/>
  <c r="G24" i="83" s="1"/>
  <c r="F20" i="83"/>
  <c r="F24" i="83" s="1"/>
  <c r="E20" i="83"/>
  <c r="E24" i="83" s="1"/>
  <c r="D20" i="83"/>
  <c r="D24" i="83" s="1"/>
  <c r="C20" i="83"/>
  <c r="C24" i="83" s="1"/>
  <c r="I19" i="83"/>
  <c r="J19" i="83" s="1"/>
  <c r="J18" i="83"/>
  <c r="J20" i="83" s="1"/>
  <c r="I18" i="83"/>
  <c r="H16" i="83"/>
  <c r="H17" i="83" s="1"/>
  <c r="G16" i="83"/>
  <c r="F16" i="83"/>
  <c r="F17" i="83" s="1"/>
  <c r="E16" i="83"/>
  <c r="E17" i="83" s="1"/>
  <c r="D16" i="83"/>
  <c r="D17" i="83" s="1"/>
  <c r="C16" i="83"/>
  <c r="J15" i="83"/>
  <c r="I14" i="83"/>
  <c r="I16" i="83" s="1"/>
  <c r="H13" i="83"/>
  <c r="G13" i="83"/>
  <c r="G17" i="83" s="1"/>
  <c r="F13" i="83"/>
  <c r="E13" i="83"/>
  <c r="D13" i="83"/>
  <c r="C13" i="83"/>
  <c r="C17" i="83" s="1"/>
  <c r="I12" i="83"/>
  <c r="J12" i="83" s="1"/>
  <c r="I11" i="83"/>
  <c r="I13" i="83" s="1"/>
  <c r="D27" i="83" l="1"/>
  <c r="D25" i="83"/>
  <c r="H27" i="83"/>
  <c r="H25" i="83"/>
  <c r="C28" i="83"/>
  <c r="C29" i="83" s="1"/>
  <c r="G28" i="83"/>
  <c r="G29" i="83" s="1"/>
  <c r="E27" i="83"/>
  <c r="E25" i="83"/>
  <c r="I17" i="83"/>
  <c r="D29" i="83"/>
  <c r="D28" i="83"/>
  <c r="H28" i="83"/>
  <c r="H29" i="83" s="1"/>
  <c r="F25" i="83"/>
  <c r="F27" i="83"/>
  <c r="E28" i="83"/>
  <c r="E29" i="83" s="1"/>
  <c r="C25" i="83"/>
  <c r="C27" i="83"/>
  <c r="G25" i="83"/>
  <c r="G27" i="83"/>
  <c r="F28" i="83"/>
  <c r="F29" i="83" s="1"/>
  <c r="J23" i="83"/>
  <c r="J24" i="83" s="1"/>
  <c r="J11" i="83"/>
  <c r="J13" i="83" s="1"/>
  <c r="J14" i="83"/>
  <c r="J16" i="83" s="1"/>
  <c r="I20" i="83"/>
  <c r="I23" i="83"/>
  <c r="J28" i="83" l="1"/>
  <c r="J29" i="83" s="1"/>
  <c r="I24" i="83"/>
  <c r="I27" i="83"/>
  <c r="J17" i="83"/>
  <c r="I28" i="83" l="1"/>
  <c r="I29" i="83" s="1"/>
  <c r="J25" i="83"/>
  <c r="J27" i="83"/>
  <c r="I25" i="83"/>
  <c r="H102" i="90" l="1"/>
  <c r="G102" i="90"/>
  <c r="F102" i="90"/>
  <c r="E102" i="90"/>
  <c r="D102" i="90"/>
  <c r="C102" i="90"/>
  <c r="I99" i="90"/>
  <c r="I97" i="90"/>
  <c r="I95" i="90"/>
  <c r="I102" i="90" s="1"/>
  <c r="I92" i="90"/>
  <c r="H83" i="90"/>
  <c r="G83" i="90"/>
  <c r="F83" i="90"/>
  <c r="E83" i="90"/>
  <c r="D83" i="90"/>
  <c r="C83" i="90"/>
  <c r="I80" i="90"/>
  <c r="I78" i="90"/>
  <c r="I76" i="90"/>
  <c r="I73" i="90"/>
  <c r="I83" i="90" s="1"/>
  <c r="H64" i="90"/>
  <c r="G64" i="90"/>
  <c r="F64" i="90"/>
  <c r="E64" i="90"/>
  <c r="D64" i="90"/>
  <c r="C64" i="90"/>
  <c r="I61" i="90"/>
  <c r="I59" i="90"/>
  <c r="I57" i="90"/>
  <c r="I54" i="90"/>
  <c r="I64" i="90" s="1"/>
  <c r="H45" i="90"/>
  <c r="G45" i="90"/>
  <c r="F45" i="90"/>
  <c r="E45" i="90"/>
  <c r="D45" i="90"/>
  <c r="C45" i="90"/>
  <c r="I42" i="90"/>
  <c r="I40" i="90"/>
  <c r="I45" i="90" s="1"/>
  <c r="I38" i="90"/>
  <c r="I35" i="90"/>
  <c r="H26" i="90"/>
  <c r="G26" i="90"/>
  <c r="F26" i="90"/>
  <c r="E26" i="90"/>
  <c r="D26" i="90"/>
  <c r="C26" i="90"/>
  <c r="I23" i="90"/>
  <c r="I22" i="90"/>
  <c r="I21" i="90"/>
  <c r="I19" i="90"/>
  <c r="I17" i="90"/>
  <c r="I16" i="90"/>
  <c r="I26" i="90" s="1"/>
  <c r="D78" i="89"/>
  <c r="C78" i="89"/>
  <c r="D74" i="89"/>
  <c r="D79" i="89" s="1"/>
  <c r="D81" i="89" s="1"/>
  <c r="C74" i="89"/>
  <c r="C79" i="89" s="1"/>
  <c r="C81" i="89" s="1"/>
  <c r="D66" i="89"/>
  <c r="C66" i="89"/>
  <c r="D62" i="89"/>
  <c r="D67" i="89" s="1"/>
  <c r="D69" i="89" s="1"/>
  <c r="C62" i="89"/>
  <c r="C67" i="89" s="1"/>
  <c r="C69" i="89" s="1"/>
  <c r="D54" i="89"/>
  <c r="C54" i="89"/>
  <c r="D50" i="89"/>
  <c r="D55" i="89" s="1"/>
  <c r="D57" i="89" s="1"/>
  <c r="C50" i="89"/>
  <c r="C55" i="89" s="1"/>
  <c r="C57" i="89" s="1"/>
  <c r="D42" i="89"/>
  <c r="C42" i="89"/>
  <c r="D38" i="89"/>
  <c r="D43" i="89" s="1"/>
  <c r="D45" i="89" s="1"/>
  <c r="C38" i="89"/>
  <c r="C43" i="89" s="1"/>
  <c r="C45" i="89" s="1"/>
  <c r="D30" i="89"/>
  <c r="C30" i="89"/>
  <c r="D26" i="89"/>
  <c r="D31" i="89" s="1"/>
  <c r="D33" i="89" s="1"/>
  <c r="C26" i="89"/>
  <c r="C31" i="89" s="1"/>
  <c r="C33" i="89" s="1"/>
  <c r="D19" i="89"/>
  <c r="C19" i="89"/>
  <c r="D15" i="89"/>
  <c r="D20" i="89" s="1"/>
  <c r="D22" i="89" s="1"/>
  <c r="C15" i="89"/>
  <c r="C20" i="89" s="1"/>
  <c r="C22" i="89" s="1"/>
  <c r="F52" i="88"/>
  <c r="E52" i="88"/>
  <c r="D52" i="88"/>
  <c r="G51" i="88"/>
  <c r="G52" i="88" s="1"/>
  <c r="F47" i="88"/>
  <c r="E47" i="88"/>
  <c r="D47" i="88"/>
  <c r="D54" i="88" s="1"/>
  <c r="G46" i="88"/>
  <c r="G47" i="88" s="1"/>
  <c r="F42" i="88"/>
  <c r="E42" i="88"/>
  <c r="E54" i="88" s="1"/>
  <c r="D42" i="88"/>
  <c r="G41" i="88"/>
  <c r="G42" i="88" s="1"/>
  <c r="F37" i="88"/>
  <c r="F54" i="88" s="1"/>
  <c r="E37" i="88"/>
  <c r="D37" i="88"/>
  <c r="G36" i="88"/>
  <c r="G34" i="88"/>
  <c r="G33" i="88"/>
  <c r="G32" i="88"/>
  <c r="G31" i="88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37" i="88" s="1"/>
  <c r="G54" i="88" s="1"/>
  <c r="F93" i="87"/>
  <c r="E93" i="87"/>
  <c r="F85" i="87"/>
  <c r="E85" i="87"/>
  <c r="E66" i="87"/>
  <c r="E87" i="87" s="1"/>
  <c r="F52" i="87"/>
  <c r="F51" i="87"/>
  <c r="F50" i="87"/>
  <c r="F49" i="87"/>
  <c r="F47" i="87"/>
  <c r="F46" i="87"/>
  <c r="F45" i="87"/>
  <c r="F44" i="87"/>
  <c r="F43" i="87"/>
  <c r="F42" i="87"/>
  <c r="F41" i="87"/>
  <c r="F40" i="87"/>
  <c r="F39" i="87"/>
  <c r="F38" i="87"/>
  <c r="F37" i="87"/>
  <c r="F36" i="87"/>
  <c r="F35" i="87"/>
  <c r="F34" i="87"/>
  <c r="F28" i="87"/>
  <c r="F26" i="87"/>
  <c r="F25" i="87"/>
  <c r="F24" i="87"/>
  <c r="F23" i="87"/>
  <c r="F21" i="87"/>
  <c r="F20" i="87"/>
  <c r="F19" i="87"/>
  <c r="F13" i="87"/>
  <c r="F12" i="87"/>
  <c r="F11" i="87"/>
  <c r="F66" i="87" s="1"/>
  <c r="F87" i="87" s="1"/>
  <c r="F95" i="87" s="1"/>
  <c r="E60" i="86"/>
  <c r="D53" i="86"/>
  <c r="D47" i="86"/>
  <c r="D48" i="86" s="1"/>
  <c r="D41" i="86"/>
  <c r="D30" i="86"/>
  <c r="D32" i="86" s="1"/>
  <c r="D23" i="86"/>
  <c r="D21" i="86"/>
  <c r="H149" i="85"/>
  <c r="G149" i="85"/>
  <c r="F149" i="85"/>
  <c r="E149" i="85"/>
  <c r="D149" i="85"/>
  <c r="J149" i="85" s="1"/>
  <c r="K149" i="85" s="1"/>
  <c r="C149" i="85"/>
  <c r="I149" i="85" s="1"/>
  <c r="J148" i="85"/>
  <c r="K148" i="85" s="1"/>
  <c r="I148" i="85"/>
  <c r="K147" i="85"/>
  <c r="J147" i="85"/>
  <c r="I147" i="85"/>
  <c r="J146" i="85"/>
  <c r="I146" i="85"/>
  <c r="J145" i="85"/>
  <c r="I145" i="85"/>
  <c r="F144" i="85"/>
  <c r="H143" i="85"/>
  <c r="G143" i="85"/>
  <c r="F143" i="85"/>
  <c r="D143" i="85"/>
  <c r="C143" i="85"/>
  <c r="J142" i="85"/>
  <c r="I142" i="85"/>
  <c r="J141" i="85"/>
  <c r="I141" i="85"/>
  <c r="K140" i="85"/>
  <c r="J140" i="85"/>
  <c r="I140" i="85"/>
  <c r="J139" i="85"/>
  <c r="I139" i="85"/>
  <c r="J138" i="85"/>
  <c r="I138" i="85"/>
  <c r="J137" i="85"/>
  <c r="I137" i="85"/>
  <c r="J136" i="85"/>
  <c r="I136" i="85"/>
  <c r="J135" i="85"/>
  <c r="K135" i="85" s="1"/>
  <c r="I135" i="85"/>
  <c r="J134" i="85"/>
  <c r="I134" i="85"/>
  <c r="K133" i="85"/>
  <c r="J133" i="85"/>
  <c r="I133" i="85"/>
  <c r="J132" i="85"/>
  <c r="K132" i="85" s="1"/>
  <c r="H132" i="85"/>
  <c r="H144" i="85" s="1"/>
  <c r="G132" i="85"/>
  <c r="F132" i="85"/>
  <c r="E132" i="85"/>
  <c r="E144" i="85" s="1"/>
  <c r="D132" i="85"/>
  <c r="D144" i="85" s="1"/>
  <c r="J144" i="85" s="1"/>
  <c r="C132" i="85"/>
  <c r="I132" i="85" s="1"/>
  <c r="K131" i="85"/>
  <c r="J131" i="85"/>
  <c r="I131" i="85"/>
  <c r="J130" i="85"/>
  <c r="I130" i="85"/>
  <c r="J129" i="85"/>
  <c r="I129" i="85"/>
  <c r="J128" i="85"/>
  <c r="I128" i="85"/>
  <c r="J127" i="85"/>
  <c r="I127" i="85"/>
  <c r="J126" i="85"/>
  <c r="I126" i="85"/>
  <c r="J125" i="85"/>
  <c r="I125" i="85"/>
  <c r="J124" i="85"/>
  <c r="I124" i="85"/>
  <c r="J123" i="85"/>
  <c r="I123" i="85"/>
  <c r="J122" i="85"/>
  <c r="K122" i="85" s="1"/>
  <c r="H122" i="85"/>
  <c r="G122" i="85"/>
  <c r="F122" i="85"/>
  <c r="E122" i="85"/>
  <c r="D122" i="85"/>
  <c r="C122" i="85"/>
  <c r="I122" i="85" s="1"/>
  <c r="J121" i="85"/>
  <c r="I121" i="85"/>
  <c r="J120" i="85"/>
  <c r="I120" i="85"/>
  <c r="J119" i="85"/>
  <c r="I119" i="85"/>
  <c r="J118" i="85"/>
  <c r="I118" i="85"/>
  <c r="J117" i="85"/>
  <c r="I117" i="85"/>
  <c r="J116" i="85"/>
  <c r="I116" i="85"/>
  <c r="K115" i="85"/>
  <c r="J115" i="85"/>
  <c r="I115" i="85"/>
  <c r="J114" i="85"/>
  <c r="I114" i="85"/>
  <c r="J113" i="85"/>
  <c r="I113" i="85"/>
  <c r="F112" i="85"/>
  <c r="F150" i="85" s="1"/>
  <c r="C112" i="85"/>
  <c r="K111" i="85"/>
  <c r="J111" i="85"/>
  <c r="I111" i="85"/>
  <c r="J110" i="85"/>
  <c r="I110" i="85"/>
  <c r="J109" i="85"/>
  <c r="I109" i="85"/>
  <c r="H108" i="85"/>
  <c r="H112" i="85" s="1"/>
  <c r="G108" i="85"/>
  <c r="G112" i="85" s="1"/>
  <c r="F108" i="85"/>
  <c r="E108" i="85"/>
  <c r="E112" i="85" s="1"/>
  <c r="E150" i="85" s="1"/>
  <c r="D108" i="85"/>
  <c r="C108" i="85"/>
  <c r="I108" i="85" s="1"/>
  <c r="J107" i="85"/>
  <c r="I107" i="85"/>
  <c r="J106" i="85"/>
  <c r="I106" i="85"/>
  <c r="J105" i="85"/>
  <c r="I105" i="85"/>
  <c r="J104" i="85"/>
  <c r="I104" i="85"/>
  <c r="J103" i="85"/>
  <c r="I103" i="85"/>
  <c r="J100" i="85"/>
  <c r="I100" i="85"/>
  <c r="J99" i="85"/>
  <c r="I99" i="85"/>
  <c r="J98" i="85"/>
  <c r="I98" i="85"/>
  <c r="J97" i="85"/>
  <c r="I97" i="85"/>
  <c r="E96" i="85"/>
  <c r="K95" i="85"/>
  <c r="J95" i="85"/>
  <c r="H95" i="85"/>
  <c r="G95" i="85"/>
  <c r="F95" i="85"/>
  <c r="E95" i="85"/>
  <c r="D95" i="85"/>
  <c r="C95" i="85"/>
  <c r="J94" i="85"/>
  <c r="I94" i="85"/>
  <c r="J93" i="85"/>
  <c r="I93" i="85"/>
  <c r="I95" i="85" s="1"/>
  <c r="H92" i="85"/>
  <c r="G92" i="85"/>
  <c r="F92" i="85"/>
  <c r="J92" i="85" s="1"/>
  <c r="E92" i="85"/>
  <c r="D92" i="85"/>
  <c r="C92" i="85"/>
  <c r="I92" i="85" s="1"/>
  <c r="J91" i="85"/>
  <c r="I91" i="85"/>
  <c r="J90" i="85"/>
  <c r="I90" i="85"/>
  <c r="J89" i="85"/>
  <c r="H89" i="85"/>
  <c r="H96" i="85" s="1"/>
  <c r="G89" i="85"/>
  <c r="F89" i="85"/>
  <c r="F96" i="85" s="1"/>
  <c r="E89" i="85"/>
  <c r="D89" i="85"/>
  <c r="D96" i="85" s="1"/>
  <c r="J96" i="85" s="1"/>
  <c r="C89" i="85"/>
  <c r="J88" i="85"/>
  <c r="I88" i="85"/>
  <c r="J87" i="85"/>
  <c r="I87" i="85"/>
  <c r="J86" i="85"/>
  <c r="I86" i="85"/>
  <c r="J85" i="85"/>
  <c r="I85" i="85"/>
  <c r="H84" i="85"/>
  <c r="D84" i="85"/>
  <c r="C84" i="85"/>
  <c r="H83" i="85"/>
  <c r="G83" i="85"/>
  <c r="F83" i="85"/>
  <c r="E83" i="85"/>
  <c r="E84" i="85" s="1"/>
  <c r="D83" i="85"/>
  <c r="J83" i="85" s="1"/>
  <c r="C83" i="85"/>
  <c r="J82" i="85"/>
  <c r="I82" i="85"/>
  <c r="J81" i="85"/>
  <c r="I81" i="85"/>
  <c r="J80" i="85"/>
  <c r="I80" i="85"/>
  <c r="J79" i="85"/>
  <c r="I79" i="85"/>
  <c r="J78" i="85"/>
  <c r="I78" i="85"/>
  <c r="J77" i="85"/>
  <c r="I77" i="85"/>
  <c r="J76" i="85"/>
  <c r="I76" i="85"/>
  <c r="J75" i="85"/>
  <c r="I75" i="85"/>
  <c r="K74" i="85"/>
  <c r="J74" i="85"/>
  <c r="I74" i="85"/>
  <c r="J73" i="85"/>
  <c r="K73" i="85" s="1"/>
  <c r="H73" i="85"/>
  <c r="G73" i="85"/>
  <c r="G84" i="85" s="1"/>
  <c r="F73" i="85"/>
  <c r="F84" i="85" s="1"/>
  <c r="E73" i="85"/>
  <c r="D73" i="85"/>
  <c r="C73" i="85"/>
  <c r="I73" i="85" s="1"/>
  <c r="J72" i="85"/>
  <c r="I72" i="85"/>
  <c r="J71" i="85"/>
  <c r="K71" i="85" s="1"/>
  <c r="I71" i="85"/>
  <c r="J70" i="85"/>
  <c r="I70" i="85"/>
  <c r="J69" i="85"/>
  <c r="I69" i="85"/>
  <c r="J68" i="85"/>
  <c r="I68" i="85"/>
  <c r="J67" i="85"/>
  <c r="I67" i="85"/>
  <c r="J66" i="85"/>
  <c r="I66" i="85"/>
  <c r="J65" i="85"/>
  <c r="I65" i="85"/>
  <c r="H64" i="85"/>
  <c r="G64" i="85"/>
  <c r="D64" i="85"/>
  <c r="C64" i="85"/>
  <c r="I64" i="85" s="1"/>
  <c r="J63" i="85"/>
  <c r="I63" i="85"/>
  <c r="J62" i="85"/>
  <c r="I62" i="85"/>
  <c r="J61" i="85"/>
  <c r="I61" i="85"/>
  <c r="J60" i="85"/>
  <c r="K60" i="85" s="1"/>
  <c r="I60" i="85"/>
  <c r="J59" i="85"/>
  <c r="K59" i="85" s="1"/>
  <c r="I59" i="85"/>
  <c r="J58" i="85"/>
  <c r="I58" i="85"/>
  <c r="J57" i="85"/>
  <c r="I57" i="85"/>
  <c r="J56" i="85"/>
  <c r="I56" i="85"/>
  <c r="C55" i="85"/>
  <c r="D54" i="85"/>
  <c r="J54" i="85" s="1"/>
  <c r="C54" i="85"/>
  <c r="I54" i="85" s="1"/>
  <c r="J53" i="85"/>
  <c r="I53" i="85"/>
  <c r="J52" i="85"/>
  <c r="I52" i="85"/>
  <c r="H51" i="85"/>
  <c r="H55" i="85" s="1"/>
  <c r="G51" i="85"/>
  <c r="F51" i="85"/>
  <c r="E51" i="85"/>
  <c r="E55" i="85" s="1"/>
  <c r="D51" i="85"/>
  <c r="J51" i="85" s="1"/>
  <c r="C51" i="85"/>
  <c r="J50" i="85"/>
  <c r="I50" i="85"/>
  <c r="K49" i="85"/>
  <c r="J49" i="85"/>
  <c r="I49" i="85"/>
  <c r="J48" i="85"/>
  <c r="K48" i="85" s="1"/>
  <c r="H48" i="85"/>
  <c r="G48" i="85"/>
  <c r="G55" i="85" s="1"/>
  <c r="F48" i="85"/>
  <c r="F55" i="85" s="1"/>
  <c r="E48" i="85"/>
  <c r="D48" i="85"/>
  <c r="C48" i="85"/>
  <c r="I48" i="85" s="1"/>
  <c r="J47" i="85"/>
  <c r="I47" i="85"/>
  <c r="J46" i="85"/>
  <c r="I46" i="85"/>
  <c r="K45" i="85"/>
  <c r="J45" i="85"/>
  <c r="I45" i="85"/>
  <c r="J44" i="85"/>
  <c r="I44" i="85"/>
  <c r="D44" i="85"/>
  <c r="C44" i="85"/>
  <c r="J43" i="85"/>
  <c r="I43" i="85"/>
  <c r="J42" i="85"/>
  <c r="I42" i="85"/>
  <c r="J41" i="85"/>
  <c r="K41" i="85" s="1"/>
  <c r="G41" i="85"/>
  <c r="D41" i="85"/>
  <c r="J40" i="85"/>
  <c r="I40" i="85"/>
  <c r="J39" i="85"/>
  <c r="I39" i="85"/>
  <c r="J38" i="85"/>
  <c r="I38" i="85"/>
  <c r="H37" i="85"/>
  <c r="H41" i="85" s="1"/>
  <c r="G37" i="85"/>
  <c r="D37" i="85"/>
  <c r="J37" i="85" s="1"/>
  <c r="C37" i="85"/>
  <c r="C41" i="85" s="1"/>
  <c r="I41" i="85" s="1"/>
  <c r="J36" i="85"/>
  <c r="I36" i="85"/>
  <c r="J35" i="85"/>
  <c r="I35" i="85"/>
  <c r="J34" i="85"/>
  <c r="I34" i="85"/>
  <c r="J33" i="85"/>
  <c r="I33" i="85"/>
  <c r="J32" i="85"/>
  <c r="K32" i="85" s="1"/>
  <c r="I32" i="85"/>
  <c r="J30" i="85"/>
  <c r="I30" i="85"/>
  <c r="J29" i="85"/>
  <c r="I29" i="85"/>
  <c r="J28" i="85"/>
  <c r="I28" i="85"/>
  <c r="I27" i="85"/>
  <c r="D27" i="85"/>
  <c r="J27" i="85" s="1"/>
  <c r="K27" i="85" s="1"/>
  <c r="C27" i="85"/>
  <c r="J26" i="85"/>
  <c r="I26" i="85"/>
  <c r="J25" i="85"/>
  <c r="I25" i="85"/>
  <c r="J24" i="85"/>
  <c r="I24" i="85"/>
  <c r="H23" i="85"/>
  <c r="G23" i="85"/>
  <c r="F23" i="85"/>
  <c r="E23" i="85"/>
  <c r="E31" i="85" s="1"/>
  <c r="E101" i="85" s="1"/>
  <c r="D23" i="85"/>
  <c r="J23" i="85" s="1"/>
  <c r="C23" i="85"/>
  <c r="J22" i="85"/>
  <c r="I22" i="85"/>
  <c r="K21" i="85"/>
  <c r="J21" i="85"/>
  <c r="I21" i="85"/>
  <c r="J20" i="85"/>
  <c r="I20" i="85"/>
  <c r="J19" i="85"/>
  <c r="I19" i="85"/>
  <c r="K18" i="85"/>
  <c r="J18" i="85"/>
  <c r="I18" i="85"/>
  <c r="J17" i="85"/>
  <c r="H17" i="85"/>
  <c r="H31" i="85" s="1"/>
  <c r="G17" i="85"/>
  <c r="G31" i="85" s="1"/>
  <c r="F17" i="85"/>
  <c r="F31" i="85" s="1"/>
  <c r="F101" i="85" s="1"/>
  <c r="E17" i="85"/>
  <c r="D17" i="85"/>
  <c r="D31" i="85" s="1"/>
  <c r="C17" i="85"/>
  <c r="J16" i="85"/>
  <c r="I16" i="85"/>
  <c r="J15" i="85"/>
  <c r="K15" i="85" s="1"/>
  <c r="I15" i="85"/>
  <c r="J14" i="85"/>
  <c r="I14" i="85"/>
  <c r="C52" i="84"/>
  <c r="I51" i="84"/>
  <c r="J51" i="84" s="1"/>
  <c r="I50" i="84"/>
  <c r="J50" i="84" s="1"/>
  <c r="H49" i="84"/>
  <c r="G49" i="84"/>
  <c r="G52" i="84" s="1"/>
  <c r="F49" i="84"/>
  <c r="E49" i="84"/>
  <c r="E52" i="84" s="1"/>
  <c r="D49" i="84"/>
  <c r="J48" i="84"/>
  <c r="I48" i="84"/>
  <c r="J47" i="84"/>
  <c r="I47" i="84"/>
  <c r="H46" i="84"/>
  <c r="H52" i="84" s="1"/>
  <c r="G46" i="84"/>
  <c r="F46" i="84"/>
  <c r="F52" i="84" s="1"/>
  <c r="E46" i="84"/>
  <c r="I46" i="84" s="1"/>
  <c r="J46" i="84" s="1"/>
  <c r="D46" i="84"/>
  <c r="D52" i="84" s="1"/>
  <c r="C46" i="84"/>
  <c r="J45" i="84"/>
  <c r="I45" i="84"/>
  <c r="J44" i="84"/>
  <c r="I44" i="84"/>
  <c r="J43" i="84"/>
  <c r="I43" i="84"/>
  <c r="C42" i="84"/>
  <c r="J41" i="84"/>
  <c r="I41" i="84"/>
  <c r="J40" i="84"/>
  <c r="I40" i="84"/>
  <c r="H39" i="84"/>
  <c r="H42" i="84" s="1"/>
  <c r="H53" i="84" s="1"/>
  <c r="G39" i="84"/>
  <c r="F39" i="84"/>
  <c r="G42" i="84" s="1"/>
  <c r="G53" i="84" s="1"/>
  <c r="E39" i="84"/>
  <c r="I39" i="84" s="1"/>
  <c r="D39" i="84"/>
  <c r="J39" i="84" s="1"/>
  <c r="I38" i="84"/>
  <c r="J38" i="84" s="1"/>
  <c r="I37" i="84"/>
  <c r="J37" i="84" s="1"/>
  <c r="I36" i="84"/>
  <c r="J36" i="84" s="1"/>
  <c r="I35" i="84"/>
  <c r="J35" i="84" s="1"/>
  <c r="I33" i="84"/>
  <c r="J33" i="84" s="1"/>
  <c r="I32" i="84"/>
  <c r="J32" i="84" s="1"/>
  <c r="H31" i="84"/>
  <c r="G31" i="84"/>
  <c r="F31" i="84"/>
  <c r="E31" i="84"/>
  <c r="I31" i="84" s="1"/>
  <c r="D31" i="84"/>
  <c r="C31" i="84"/>
  <c r="J31" i="84" s="1"/>
  <c r="I30" i="84"/>
  <c r="J30" i="84" s="1"/>
  <c r="I29" i="84"/>
  <c r="J29" i="84" s="1"/>
  <c r="I28" i="84"/>
  <c r="J28" i="84" s="1"/>
  <c r="H27" i="84"/>
  <c r="G27" i="84"/>
  <c r="F27" i="84"/>
  <c r="E27" i="84"/>
  <c r="D27" i="84"/>
  <c r="C27" i="84"/>
  <c r="I26" i="84"/>
  <c r="J26" i="84" s="1"/>
  <c r="I25" i="84"/>
  <c r="J25" i="84" s="1"/>
  <c r="I24" i="84"/>
  <c r="J24" i="84" s="1"/>
  <c r="I23" i="84"/>
  <c r="J23" i="84" s="1"/>
  <c r="H22" i="84"/>
  <c r="G22" i="84"/>
  <c r="F22" i="84"/>
  <c r="E22" i="84"/>
  <c r="D22" i="84"/>
  <c r="C22" i="84"/>
  <c r="I21" i="84"/>
  <c r="J21" i="84" s="1"/>
  <c r="I20" i="84"/>
  <c r="J20" i="84" s="1"/>
  <c r="I19" i="84"/>
  <c r="J19" i="84" s="1"/>
  <c r="I18" i="84"/>
  <c r="J18" i="84" s="1"/>
  <c r="H17" i="84"/>
  <c r="G17" i="84"/>
  <c r="F17" i="84"/>
  <c r="E17" i="84"/>
  <c r="I17" i="84" s="1"/>
  <c r="D17" i="84"/>
  <c r="C17" i="84"/>
  <c r="J17" i="84" s="1"/>
  <c r="I16" i="84"/>
  <c r="J16" i="84" s="1"/>
  <c r="I15" i="84"/>
  <c r="J15" i="84" s="1"/>
  <c r="H14" i="84"/>
  <c r="G14" i="84"/>
  <c r="F14" i="84"/>
  <c r="E14" i="84"/>
  <c r="E34" i="84" s="1"/>
  <c r="D14" i="84"/>
  <c r="D34" i="84" s="1"/>
  <c r="C14" i="84"/>
  <c r="C34" i="84" s="1"/>
  <c r="I13" i="84"/>
  <c r="J13" i="84" s="1"/>
  <c r="I12" i="84"/>
  <c r="J12" i="84" s="1"/>
  <c r="I11" i="84"/>
  <c r="J11" i="84" s="1"/>
  <c r="J14" i="84" s="1"/>
  <c r="H34" i="84" l="1"/>
  <c r="H54" i="84" s="1"/>
  <c r="I27" i="84"/>
  <c r="J27" i="84"/>
  <c r="G34" i="84"/>
  <c r="G54" i="84" s="1"/>
  <c r="I22" i="84"/>
  <c r="J22" i="84" s="1"/>
  <c r="F34" i="84"/>
  <c r="E89" i="87"/>
  <c r="E95" i="87"/>
  <c r="D52" i="86"/>
  <c r="D50" i="86"/>
  <c r="H101" i="85"/>
  <c r="K17" i="85"/>
  <c r="J31" i="85"/>
  <c r="K51" i="85"/>
  <c r="I55" i="85"/>
  <c r="I83" i="85"/>
  <c r="K83" i="85" s="1"/>
  <c r="I112" i="85"/>
  <c r="C150" i="85"/>
  <c r="C144" i="85"/>
  <c r="I23" i="85"/>
  <c r="K23" i="85" s="1"/>
  <c r="I51" i="85"/>
  <c r="D55" i="85"/>
  <c r="J55" i="85" s="1"/>
  <c r="K55" i="85" s="1"/>
  <c r="K82" i="85"/>
  <c r="I84" i="85"/>
  <c r="K103" i="85"/>
  <c r="K107" i="85"/>
  <c r="K14" i="85"/>
  <c r="K58" i="85"/>
  <c r="J84" i="85"/>
  <c r="K84" i="85" s="1"/>
  <c r="I89" i="85"/>
  <c r="C96" i="85"/>
  <c r="G96" i="85"/>
  <c r="K109" i="85"/>
  <c r="I143" i="85"/>
  <c r="I17" i="85"/>
  <c r="C31" i="85"/>
  <c r="G101" i="85"/>
  <c r="K19" i="85"/>
  <c r="K24" i="85"/>
  <c r="K62" i="85"/>
  <c r="J64" i="85"/>
  <c r="K64" i="85" s="1"/>
  <c r="K77" i="85"/>
  <c r="J108" i="85"/>
  <c r="K108" i="85" s="1"/>
  <c r="D112" i="85"/>
  <c r="H150" i="85"/>
  <c r="G144" i="85"/>
  <c r="G150" i="85" s="1"/>
  <c r="J143" i="85"/>
  <c r="I37" i="85"/>
  <c r="K37" i="85" s="1"/>
  <c r="C54" i="84"/>
  <c r="I52" i="84"/>
  <c r="J52" i="84"/>
  <c r="I14" i="84"/>
  <c r="D42" i="84"/>
  <c r="C53" i="84"/>
  <c r="E42" i="84"/>
  <c r="F53" i="84"/>
  <c r="F54" i="84" s="1"/>
  <c r="I49" i="84"/>
  <c r="J49" i="84" s="1"/>
  <c r="H15" i="82"/>
  <c r="F15" i="82"/>
  <c r="E15" i="82"/>
  <c r="D15" i="82"/>
  <c r="C15" i="82"/>
  <c r="G12" i="82"/>
  <c r="G11" i="82"/>
  <c r="G10" i="82"/>
  <c r="G9" i="82"/>
  <c r="G15" i="82" s="1"/>
  <c r="G28" i="55"/>
  <c r="F28" i="55"/>
  <c r="E28" i="55"/>
  <c r="D28" i="55"/>
  <c r="C28" i="55"/>
  <c r="L13" i="55"/>
  <c r="G13" i="55"/>
  <c r="F13" i="55"/>
  <c r="E13" i="55"/>
  <c r="D13" i="55"/>
  <c r="C13" i="55"/>
  <c r="I34" i="84" l="1"/>
  <c r="J34" i="84" s="1"/>
  <c r="D60" i="86"/>
  <c r="D54" i="86"/>
  <c r="I150" i="85"/>
  <c r="D150" i="85"/>
  <c r="J150" i="85" s="1"/>
  <c r="J112" i="85"/>
  <c r="K112" i="85" s="1"/>
  <c r="K31" i="85"/>
  <c r="K143" i="85"/>
  <c r="C101" i="85"/>
  <c r="I101" i="85" s="1"/>
  <c r="I31" i="85"/>
  <c r="D101" i="85"/>
  <c r="J101" i="85" s="1"/>
  <c r="K101" i="85" s="1"/>
  <c r="I96" i="85"/>
  <c r="K96" i="85" s="1"/>
  <c r="I144" i="85"/>
  <c r="K144" i="85" s="1"/>
  <c r="D53" i="84"/>
  <c r="D54" i="84" s="1"/>
  <c r="E53" i="84"/>
  <c r="I42" i="84"/>
  <c r="J42" i="84" s="1"/>
  <c r="E9" i="81"/>
  <c r="K150" i="85" l="1"/>
  <c r="I53" i="84"/>
  <c r="J53" i="84" s="1"/>
  <c r="E54" i="84"/>
  <c r="I54" i="84" s="1"/>
  <c r="J54" i="84" s="1"/>
  <c r="H56" i="47"/>
  <c r="P28" i="42"/>
  <c r="G33" i="64"/>
  <c r="G35" i="64" s="1"/>
  <c r="I16" i="45" l="1"/>
  <c r="K55" i="6"/>
  <c r="J55" i="6"/>
  <c r="J53" i="6"/>
  <c r="J52" i="6"/>
  <c r="F78" i="5" l="1"/>
  <c r="G45" i="5"/>
  <c r="F45" i="5"/>
  <c r="G56" i="5"/>
  <c r="G55" i="5"/>
  <c r="G75" i="5" s="1"/>
  <c r="F76" i="5"/>
  <c r="G76" i="5"/>
  <c r="F75" i="5"/>
  <c r="G73" i="5"/>
  <c r="F73" i="5"/>
  <c r="G72" i="5"/>
  <c r="F72" i="5"/>
  <c r="G62" i="5"/>
  <c r="G63" i="5" s="1"/>
  <c r="G78" i="5" s="1"/>
  <c r="G60" i="5"/>
  <c r="J44" i="8" l="1"/>
  <c r="J37" i="8"/>
  <c r="R49" i="47" l="1"/>
  <c r="Q49" i="47"/>
  <c r="Q15" i="47"/>
  <c r="G48" i="47"/>
  <c r="F48" i="47"/>
  <c r="G46" i="47"/>
  <c r="F46" i="47"/>
  <c r="F43" i="47"/>
  <c r="G25" i="47"/>
  <c r="F25" i="47"/>
  <c r="G22" i="47"/>
  <c r="F22" i="47"/>
  <c r="F16" i="47"/>
  <c r="AE21" i="15"/>
  <c r="K25" i="63"/>
  <c r="S51" i="15"/>
  <c r="R51" i="15"/>
  <c r="X75" i="15"/>
  <c r="Y75" i="15"/>
  <c r="Z75" i="15"/>
  <c r="AA75" i="15"/>
  <c r="T75" i="15"/>
  <c r="Q75" i="15"/>
  <c r="N75" i="15"/>
  <c r="N13" i="46" s="1"/>
  <c r="Q14" i="47" s="1"/>
  <c r="O75" i="15"/>
  <c r="O13" i="46" s="1"/>
  <c r="R14" i="47" s="1"/>
  <c r="J75" i="15"/>
  <c r="K75" i="15"/>
  <c r="O12" i="46" s="1"/>
  <c r="R13" i="47" s="1"/>
  <c r="F75" i="15"/>
  <c r="N11" i="46" s="1"/>
  <c r="Q12" i="47" s="1"/>
  <c r="G75" i="15"/>
  <c r="O11" i="46" s="1"/>
  <c r="R12" i="47" s="1"/>
  <c r="V72" i="15"/>
  <c r="R72" i="15"/>
  <c r="S60" i="15"/>
  <c r="S39" i="15"/>
  <c r="W55" i="15"/>
  <c r="AE26" i="15"/>
  <c r="L25" i="63"/>
  <c r="AE17" i="15"/>
  <c r="AD25" i="15"/>
  <c r="AE20" i="15"/>
  <c r="AE19" i="15"/>
  <c r="AE18" i="15"/>
  <c r="AE23" i="15"/>
  <c r="AE27" i="15"/>
  <c r="AD22" i="15"/>
  <c r="AD75" i="15" s="1"/>
  <c r="J39" i="6"/>
  <c r="F31" i="46" s="1"/>
  <c r="F32" i="47" s="1"/>
  <c r="K39" i="6"/>
  <c r="K35" i="6"/>
  <c r="G31" i="46" s="1"/>
  <c r="G32" i="47" s="1"/>
  <c r="J35" i="6"/>
  <c r="K30" i="6"/>
  <c r="G17" i="46" s="1"/>
  <c r="G18" i="47" s="1"/>
  <c r="J30" i="6"/>
  <c r="K22" i="6"/>
  <c r="K17" i="6"/>
  <c r="K41" i="6" s="1"/>
  <c r="J17" i="6"/>
  <c r="G43" i="5"/>
  <c r="F43" i="5"/>
  <c r="F30" i="46" s="1"/>
  <c r="G25" i="5"/>
  <c r="F25" i="5"/>
  <c r="G37" i="5"/>
  <c r="F37" i="5"/>
  <c r="F35" i="5"/>
  <c r="F39" i="5" s="1"/>
  <c r="F14" i="46" s="1"/>
  <c r="F15" i="47" s="1"/>
  <c r="G35" i="5"/>
  <c r="G21" i="5"/>
  <c r="G39" i="5" s="1"/>
  <c r="G14" i="46" s="1"/>
  <c r="H44" i="46"/>
  <c r="H42" i="46"/>
  <c r="F12" i="46"/>
  <c r="F13" i="47" s="1"/>
  <c r="H27" i="45"/>
  <c r="G27" i="45"/>
  <c r="K47" i="6"/>
  <c r="K46" i="6"/>
  <c r="H16" i="45"/>
  <c r="G50" i="5"/>
  <c r="G49" i="5"/>
  <c r="F49" i="5"/>
  <c r="G16" i="45" s="1"/>
  <c r="J110" i="8"/>
  <c r="N12" i="46"/>
  <c r="Q13" i="47" s="1"/>
  <c r="G27" i="46"/>
  <c r="G28" i="47" s="1"/>
  <c r="G26" i="46"/>
  <c r="G27" i="47" s="1"/>
  <c r="F26" i="46"/>
  <c r="F27" i="47" s="1"/>
  <c r="G25" i="46"/>
  <c r="G26" i="47" s="1"/>
  <c r="F25" i="46"/>
  <c r="F26" i="47" s="1"/>
  <c r="F17" i="46"/>
  <c r="F18" i="47" s="1"/>
  <c r="G30" i="46"/>
  <c r="G31" i="47" s="1"/>
  <c r="G12" i="46"/>
  <c r="G13" i="47" s="1"/>
  <c r="G15" i="44"/>
  <c r="F15" i="44"/>
  <c r="G15" i="42"/>
  <c r="F15" i="42"/>
  <c r="F30" i="64"/>
  <c r="G15" i="64"/>
  <c r="F15" i="64"/>
  <c r="G15" i="47" l="1"/>
  <c r="F50" i="5"/>
  <c r="F31" i="47"/>
  <c r="S75" i="15"/>
  <c r="R75" i="15"/>
  <c r="E26" i="81"/>
  <c r="D28" i="54" l="1"/>
  <c r="D20" i="54"/>
  <c r="C28" i="54"/>
  <c r="C20" i="54"/>
  <c r="C30" i="54" s="1"/>
  <c r="D30" i="54" l="1"/>
  <c r="P54" i="42"/>
  <c r="O54" i="42"/>
  <c r="N54" i="42"/>
  <c r="P34" i="42"/>
  <c r="O25" i="42"/>
  <c r="N25" i="42"/>
  <c r="P14" i="42"/>
  <c r="P15" i="42"/>
  <c r="P13" i="42"/>
  <c r="H49" i="42"/>
  <c r="H50" i="42"/>
  <c r="H44" i="42"/>
  <c r="G54" i="42"/>
  <c r="F54" i="42"/>
  <c r="G33" i="42"/>
  <c r="G35" i="42" s="1"/>
  <c r="G55" i="42" s="1"/>
  <c r="F33" i="42"/>
  <c r="F35" i="42" s="1"/>
  <c r="F55" i="42" s="1"/>
  <c r="H21" i="42"/>
  <c r="H26" i="42"/>
  <c r="H15" i="42"/>
  <c r="P54" i="64"/>
  <c r="O54" i="64"/>
  <c r="N54" i="64"/>
  <c r="O25" i="64"/>
  <c r="N25" i="64"/>
  <c r="P14" i="64"/>
  <c r="P15" i="64"/>
  <c r="P13" i="64"/>
  <c r="G54" i="64"/>
  <c r="G55" i="64" s="1"/>
  <c r="F54" i="64"/>
  <c r="H45" i="64"/>
  <c r="H49" i="64"/>
  <c r="H50" i="64"/>
  <c r="H44" i="64"/>
  <c r="F33" i="64"/>
  <c r="F35" i="64" s="1"/>
  <c r="F55" i="64" s="1"/>
  <c r="H15" i="64"/>
  <c r="H17" i="64"/>
  <c r="H19" i="64"/>
  <c r="H21" i="64"/>
  <c r="H23" i="64"/>
  <c r="H24" i="64"/>
  <c r="H25" i="64"/>
  <c r="H26" i="64"/>
  <c r="H27" i="64"/>
  <c r="H28" i="64"/>
  <c r="H30" i="64"/>
  <c r="H14" i="64"/>
  <c r="P54" i="51"/>
  <c r="O54" i="51"/>
  <c r="N54" i="51"/>
  <c r="O25" i="51"/>
  <c r="N25" i="51"/>
  <c r="P14" i="51"/>
  <c r="P15" i="51"/>
  <c r="P13" i="51"/>
  <c r="G54" i="51"/>
  <c r="F54" i="51"/>
  <c r="H49" i="51"/>
  <c r="H50" i="51"/>
  <c r="H44" i="51"/>
  <c r="F35" i="51"/>
  <c r="F55" i="51" s="1"/>
  <c r="G33" i="51"/>
  <c r="G35" i="51" s="1"/>
  <c r="F3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13" i="51"/>
  <c r="H33" i="64" l="1"/>
  <c r="H35" i="64" s="1"/>
  <c r="P25" i="42"/>
  <c r="H33" i="42"/>
  <c r="H35" i="42" s="1"/>
  <c r="G55" i="51"/>
  <c r="H54" i="51"/>
  <c r="H33" i="51"/>
  <c r="H35" i="51" s="1"/>
  <c r="P35" i="42"/>
  <c r="P55" i="42" s="1"/>
  <c r="P25" i="64"/>
  <c r="P25" i="51"/>
  <c r="H54" i="42"/>
  <c r="H55" i="42" s="1"/>
  <c r="H54" i="64"/>
  <c r="H55" i="51"/>
  <c r="P54" i="44"/>
  <c r="O54" i="44"/>
  <c r="N54" i="44"/>
  <c r="O25" i="44"/>
  <c r="N25" i="44"/>
  <c r="P14" i="44"/>
  <c r="P15" i="44"/>
  <c r="P13" i="44"/>
  <c r="G54" i="44"/>
  <c r="F54" i="44"/>
  <c r="H49" i="44"/>
  <c r="H50" i="44"/>
  <c r="H44" i="44"/>
  <c r="G34" i="44"/>
  <c r="F34" i="44"/>
  <c r="G33" i="44"/>
  <c r="G35" i="44" s="1"/>
  <c r="F33" i="44"/>
  <c r="H15" i="44"/>
  <c r="H17" i="44"/>
  <c r="H19" i="44"/>
  <c r="H21" i="44"/>
  <c r="H24" i="44"/>
  <c r="H25" i="44"/>
  <c r="H26" i="44"/>
  <c r="H27" i="44"/>
  <c r="H28" i="44"/>
  <c r="H14" i="44"/>
  <c r="M18" i="18"/>
  <c r="M15" i="18"/>
  <c r="L15" i="18"/>
  <c r="L18" i="18" s="1"/>
  <c r="N14" i="18"/>
  <c r="N13" i="18"/>
  <c r="N15" i="18" s="1"/>
  <c r="N18" i="18" s="1"/>
  <c r="L29" i="63"/>
  <c r="K29" i="63"/>
  <c r="L30" i="63"/>
  <c r="O15" i="46" s="1"/>
  <c r="R16" i="47" s="1"/>
  <c r="K30" i="63"/>
  <c r="N15" i="46" s="1"/>
  <c r="Q16" i="47" s="1"/>
  <c r="M15" i="63"/>
  <c r="M16" i="63"/>
  <c r="M17" i="63"/>
  <c r="M18" i="63"/>
  <c r="M19" i="63"/>
  <c r="M20" i="63"/>
  <c r="M21" i="63"/>
  <c r="M22" i="63"/>
  <c r="M23" i="63"/>
  <c r="M24" i="63"/>
  <c r="M28" i="63"/>
  <c r="M14" i="63"/>
  <c r="AF74" i="15"/>
  <c r="AF58" i="15"/>
  <c r="AF59" i="15"/>
  <c r="AF60" i="15"/>
  <c r="AF61" i="15"/>
  <c r="AF62" i="15"/>
  <c r="AF63" i="15"/>
  <c r="AF64" i="15"/>
  <c r="AF65" i="15"/>
  <c r="AF66" i="15"/>
  <c r="AF67" i="15"/>
  <c r="AH67" i="15" s="1"/>
  <c r="AF68" i="15"/>
  <c r="AF69" i="15"/>
  <c r="AF70" i="15"/>
  <c r="AF71" i="15"/>
  <c r="AF72" i="15"/>
  <c r="AF73" i="15"/>
  <c r="AF56" i="15"/>
  <c r="AF57" i="15"/>
  <c r="AF54" i="15"/>
  <c r="AF55" i="15"/>
  <c r="AF52" i="15"/>
  <c r="AF49" i="15"/>
  <c r="AF50" i="15"/>
  <c r="AF47" i="15"/>
  <c r="AF48" i="15"/>
  <c r="AF44" i="15"/>
  <c r="AF45" i="15"/>
  <c r="AF46" i="15"/>
  <c r="AF41" i="15"/>
  <c r="AF42" i="15"/>
  <c r="AH41" i="15" s="1"/>
  <c r="AF43" i="15"/>
  <c r="AF40" i="15"/>
  <c r="AF38" i="15"/>
  <c r="AF39" i="15"/>
  <c r="AF30" i="15"/>
  <c r="AF31" i="15"/>
  <c r="AF32" i="15"/>
  <c r="AF33" i="15"/>
  <c r="AF34" i="15"/>
  <c r="AF35" i="15"/>
  <c r="AF28" i="15"/>
  <c r="AF22" i="15"/>
  <c r="AF20" i="15"/>
  <c r="AF21" i="15"/>
  <c r="AF18" i="15"/>
  <c r="AF19" i="15"/>
  <c r="AF15" i="15"/>
  <c r="AF16" i="15"/>
  <c r="AF14" i="15"/>
  <c r="AF13" i="15"/>
  <c r="AF12" i="15"/>
  <c r="AG19" i="15"/>
  <c r="AG20" i="15"/>
  <c r="AG21" i="15"/>
  <c r="AH21" i="15" s="1"/>
  <c r="AG22" i="15"/>
  <c r="AH22" i="15" s="1"/>
  <c r="AG23" i="15"/>
  <c r="AG25" i="15"/>
  <c r="AG26" i="15"/>
  <c r="AG27" i="15"/>
  <c r="AG28" i="15"/>
  <c r="AH28" i="15" s="1"/>
  <c r="AG29" i="15"/>
  <c r="AG30" i="15"/>
  <c r="AH30" i="15" s="1"/>
  <c r="AG31" i="15"/>
  <c r="AH31" i="15" s="1"/>
  <c r="AG32" i="15"/>
  <c r="AG33" i="15"/>
  <c r="AH33" i="15" s="1"/>
  <c r="AG34" i="15"/>
  <c r="AH34" i="15" s="1"/>
  <c r="AG35" i="15"/>
  <c r="AH35" i="15" s="1"/>
  <c r="AG36" i="15"/>
  <c r="AG37" i="15"/>
  <c r="AG38" i="15"/>
  <c r="AH38" i="15" s="1"/>
  <c r="AG39" i="15"/>
  <c r="AH39" i="15" s="1"/>
  <c r="AG40" i="15"/>
  <c r="AH40" i="15" s="1"/>
  <c r="AG41" i="15"/>
  <c r="AG44" i="15"/>
  <c r="AH44" i="15" s="1"/>
  <c r="AG45" i="15"/>
  <c r="AH45" i="15" s="1"/>
  <c r="AG46" i="15"/>
  <c r="AH46" i="15" s="1"/>
  <c r="AG47" i="15"/>
  <c r="AG48" i="15"/>
  <c r="AG49" i="15"/>
  <c r="AH49" i="15" s="1"/>
  <c r="AG50" i="15"/>
  <c r="AH50" i="15" s="1"/>
  <c r="AG52" i="15"/>
  <c r="AG53" i="15"/>
  <c r="AG54" i="15"/>
  <c r="AG55" i="15"/>
  <c r="AH55" i="15" s="1"/>
  <c r="AG56" i="15"/>
  <c r="AH56" i="15" s="1"/>
  <c r="AG57" i="15"/>
  <c r="AH57" i="15" s="1"/>
  <c r="AG58" i="15"/>
  <c r="AH58" i="15" s="1"/>
  <c r="AG59" i="15"/>
  <c r="AH59" i="15" s="1"/>
  <c r="AG60" i="15"/>
  <c r="AH60" i="15" s="1"/>
  <c r="AG61" i="15"/>
  <c r="AH61" i="15" s="1"/>
  <c r="AG62" i="15"/>
  <c r="AG63" i="15"/>
  <c r="AH63" i="15" s="1"/>
  <c r="AG64" i="15"/>
  <c r="AH64" i="15" s="1"/>
  <c r="AG65" i="15"/>
  <c r="AH65" i="15" s="1"/>
  <c r="AG66" i="15"/>
  <c r="AH66" i="15" s="1"/>
  <c r="AG67" i="15"/>
  <c r="AG68" i="15"/>
  <c r="AH68" i="15" s="1"/>
  <c r="AG69" i="15"/>
  <c r="AH69" i="15" s="1"/>
  <c r="AG70" i="15"/>
  <c r="AH70" i="15" s="1"/>
  <c r="AG71" i="15"/>
  <c r="AG72" i="15"/>
  <c r="AH72" i="15" s="1"/>
  <c r="AG73" i="15"/>
  <c r="AH73" i="15" s="1"/>
  <c r="AG74" i="15"/>
  <c r="AH74" i="15" s="1"/>
  <c r="AG14" i="15"/>
  <c r="AH14" i="15" s="1"/>
  <c r="AG15" i="15"/>
  <c r="AG16" i="15"/>
  <c r="AH16" i="15" s="1"/>
  <c r="AG17" i="15"/>
  <c r="AG18" i="15"/>
  <c r="AH18" i="15" s="1"/>
  <c r="AG13" i="15"/>
  <c r="AH13" i="15" s="1"/>
  <c r="AG12" i="15"/>
  <c r="Q55" i="45"/>
  <c r="P55" i="45"/>
  <c r="O55" i="45"/>
  <c r="Q15" i="45"/>
  <c r="Q16" i="45"/>
  <c r="Q18" i="45"/>
  <c r="Q14" i="45"/>
  <c r="H55" i="45"/>
  <c r="G55" i="45"/>
  <c r="I46" i="45"/>
  <c r="I47" i="45"/>
  <c r="I48" i="45"/>
  <c r="I49" i="45"/>
  <c r="I50" i="45"/>
  <c r="I51" i="45"/>
  <c r="I45" i="45"/>
  <c r="H35" i="45"/>
  <c r="G35" i="45"/>
  <c r="G34" i="45"/>
  <c r="H34" i="45"/>
  <c r="I15" i="45"/>
  <c r="I17" i="45"/>
  <c r="I18" i="45"/>
  <c r="I19" i="45"/>
  <c r="I20" i="45"/>
  <c r="I21" i="45"/>
  <c r="I22" i="45"/>
  <c r="I23" i="45"/>
  <c r="I24" i="45"/>
  <c r="I25" i="45"/>
  <c r="I26" i="45"/>
  <c r="I27" i="45"/>
  <c r="I28" i="45"/>
  <c r="I29" i="45"/>
  <c r="I30" i="45"/>
  <c r="I31" i="45"/>
  <c r="I32" i="45"/>
  <c r="O55" i="46"/>
  <c r="N55" i="46"/>
  <c r="P49" i="46"/>
  <c r="P50" i="46"/>
  <c r="P51" i="46"/>
  <c r="P48" i="46"/>
  <c r="P30" i="46"/>
  <c r="P34" i="46"/>
  <c r="P12" i="46"/>
  <c r="P13" i="46"/>
  <c r="P20" i="46"/>
  <c r="P21" i="46"/>
  <c r="P22" i="46"/>
  <c r="P11" i="46"/>
  <c r="G55" i="46"/>
  <c r="F55" i="46"/>
  <c r="H43" i="46"/>
  <c r="H45" i="46"/>
  <c r="H46" i="46"/>
  <c r="H47" i="46"/>
  <c r="H48" i="46"/>
  <c r="H49" i="46"/>
  <c r="H50" i="46"/>
  <c r="H51" i="46"/>
  <c r="H52" i="46"/>
  <c r="G35" i="46"/>
  <c r="H30" i="46"/>
  <c r="H31" i="46"/>
  <c r="H13" i="46"/>
  <c r="H14" i="46"/>
  <c r="H15" i="46"/>
  <c r="H16" i="46"/>
  <c r="H17" i="46"/>
  <c r="H21" i="46"/>
  <c r="H24" i="46"/>
  <c r="H25" i="46"/>
  <c r="H26" i="46"/>
  <c r="H28" i="46"/>
  <c r="H12" i="46"/>
  <c r="H54" i="44" l="1"/>
  <c r="I35" i="45"/>
  <c r="AH71" i="15"/>
  <c r="AH19" i="15"/>
  <c r="G55" i="44"/>
  <c r="AE24" i="15"/>
  <c r="AH12" i="15"/>
  <c r="AH15" i="15"/>
  <c r="AH48" i="15"/>
  <c r="AH32" i="15"/>
  <c r="AH20" i="15"/>
  <c r="H34" i="44"/>
  <c r="F35" i="44"/>
  <c r="F55" i="44" s="1"/>
  <c r="M25" i="63"/>
  <c r="M30" i="63" s="1"/>
  <c r="M29" i="63"/>
  <c r="P15" i="46"/>
  <c r="H36" i="45"/>
  <c r="H56" i="45" s="1"/>
  <c r="G36" i="45"/>
  <c r="G56" i="45" s="1"/>
  <c r="I34" i="45"/>
  <c r="I36" i="45" s="1"/>
  <c r="P55" i="46"/>
  <c r="H33" i="44"/>
  <c r="H55" i="64"/>
  <c r="P25" i="44"/>
  <c r="I55" i="45"/>
  <c r="H55" i="46"/>
  <c r="K142" i="8"/>
  <c r="L142" i="8"/>
  <c r="J142" i="8"/>
  <c r="L138" i="8"/>
  <c r="O28" i="51" s="1"/>
  <c r="O34" i="51" s="1"/>
  <c r="O35" i="51" s="1"/>
  <c r="O55" i="51" s="1"/>
  <c r="K138" i="8"/>
  <c r="N28" i="51" s="1"/>
  <c r="K132" i="8"/>
  <c r="N28" i="42" s="1"/>
  <c r="N34" i="42" s="1"/>
  <c r="N35" i="42" s="1"/>
  <c r="N55" i="42" s="1"/>
  <c r="L132" i="8"/>
  <c r="O28" i="42" s="1"/>
  <c r="O34" i="42" s="1"/>
  <c r="O35" i="42" s="1"/>
  <c r="O55" i="42" s="1"/>
  <c r="K127" i="8"/>
  <c r="N28" i="64" s="1"/>
  <c r="L127" i="8"/>
  <c r="O28" i="64" s="1"/>
  <c r="O34" i="64" s="1"/>
  <c r="O35" i="64" s="1"/>
  <c r="O55" i="64" s="1"/>
  <c r="K120" i="8"/>
  <c r="N28" i="44" s="1"/>
  <c r="L120" i="8"/>
  <c r="O28" i="44" s="1"/>
  <c r="O34" i="44" s="1"/>
  <c r="O35" i="44" s="1"/>
  <c r="O55" i="44" s="1"/>
  <c r="K112" i="8"/>
  <c r="O29" i="45" s="1"/>
  <c r="L112" i="8"/>
  <c r="P29" i="45" s="1"/>
  <c r="K101" i="8"/>
  <c r="N32" i="46" s="1"/>
  <c r="Q33" i="47" s="1"/>
  <c r="L101" i="8"/>
  <c r="O32" i="46" s="1"/>
  <c r="K96" i="8"/>
  <c r="N33" i="46" s="1"/>
  <c r="Q34" i="47" s="1"/>
  <c r="L96" i="8"/>
  <c r="O33" i="46" s="1"/>
  <c r="R34" i="47" s="1"/>
  <c r="K86" i="8"/>
  <c r="N31" i="46" s="1"/>
  <c r="Q32" i="47" s="1"/>
  <c r="L86" i="8"/>
  <c r="O31" i="46" s="1"/>
  <c r="R32" i="47" s="1"/>
  <c r="K80" i="8"/>
  <c r="L80" i="8"/>
  <c r="K73" i="8"/>
  <c r="L73" i="8"/>
  <c r="J73" i="8"/>
  <c r="K68" i="8"/>
  <c r="L68" i="8"/>
  <c r="K59" i="8"/>
  <c r="L59" i="8"/>
  <c r="K27" i="8"/>
  <c r="N29" i="46" s="1"/>
  <c r="Q30" i="47" s="1"/>
  <c r="L27" i="8"/>
  <c r="O29" i="46" s="1"/>
  <c r="R30" i="47" s="1"/>
  <c r="K19" i="8"/>
  <c r="L19" i="8"/>
  <c r="O28" i="46" s="1"/>
  <c r="J15" i="8"/>
  <c r="J16" i="8"/>
  <c r="J17" i="8"/>
  <c r="J22" i="8"/>
  <c r="J23" i="8"/>
  <c r="J24" i="8"/>
  <c r="J25" i="8"/>
  <c r="J30" i="8"/>
  <c r="J31" i="8"/>
  <c r="J32" i="8"/>
  <c r="J33" i="8"/>
  <c r="J34" i="8"/>
  <c r="J35" i="8"/>
  <c r="J36" i="8"/>
  <c r="J38" i="8"/>
  <c r="J39" i="8"/>
  <c r="J40" i="8"/>
  <c r="J41" i="8"/>
  <c r="J42" i="8"/>
  <c r="J43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63" i="8"/>
  <c r="J64" i="8"/>
  <c r="J65" i="8"/>
  <c r="J66" i="8"/>
  <c r="J71" i="8"/>
  <c r="J76" i="8"/>
  <c r="J77" i="8"/>
  <c r="J78" i="8"/>
  <c r="J83" i="8"/>
  <c r="J84" i="8"/>
  <c r="J90" i="8"/>
  <c r="J91" i="8"/>
  <c r="M91" i="8" s="1"/>
  <c r="J92" i="8"/>
  <c r="J93" i="8"/>
  <c r="J94" i="8"/>
  <c r="J99" i="8"/>
  <c r="J108" i="8"/>
  <c r="J109" i="8"/>
  <c r="J115" i="8"/>
  <c r="J116" i="8"/>
  <c r="J117" i="8"/>
  <c r="J118" i="8"/>
  <c r="J123" i="8"/>
  <c r="J124" i="8"/>
  <c r="J125" i="8"/>
  <c r="J130" i="8"/>
  <c r="J132" i="8" s="1"/>
  <c r="J135" i="8"/>
  <c r="J136" i="8"/>
  <c r="J14" i="8"/>
  <c r="H35" i="44" l="1"/>
  <c r="J127" i="8"/>
  <c r="N34" i="64"/>
  <c r="N35" i="64" s="1"/>
  <c r="N55" i="64" s="1"/>
  <c r="P28" i="64"/>
  <c r="P34" i="64" s="1"/>
  <c r="P35" i="64" s="1"/>
  <c r="P55" i="64" s="1"/>
  <c r="N34" i="51"/>
  <c r="N35" i="51" s="1"/>
  <c r="N55" i="51" s="1"/>
  <c r="P28" i="51"/>
  <c r="P34" i="51" s="1"/>
  <c r="P35" i="51" s="1"/>
  <c r="P55" i="51" s="1"/>
  <c r="N28" i="46"/>
  <c r="P28" i="46" s="1"/>
  <c r="N34" i="44"/>
  <c r="N35" i="44" s="1"/>
  <c r="N55" i="44" s="1"/>
  <c r="P28" i="44"/>
  <c r="P34" i="44" s="1"/>
  <c r="P35" i="44" s="1"/>
  <c r="AE75" i="15"/>
  <c r="AG24" i="15"/>
  <c r="P32" i="46"/>
  <c r="R33" i="47"/>
  <c r="O35" i="45"/>
  <c r="Q29" i="45"/>
  <c r="Q35" i="45" s="1"/>
  <c r="P35" i="45"/>
  <c r="R29" i="47"/>
  <c r="P33" i="46"/>
  <c r="J68" i="8"/>
  <c r="J80" i="8"/>
  <c r="J19" i="8"/>
  <c r="J27" i="8"/>
  <c r="P31" i="46"/>
  <c r="J86" i="8"/>
  <c r="J59" i="8"/>
  <c r="J104" i="8" s="1"/>
  <c r="K104" i="8"/>
  <c r="P29" i="46"/>
  <c r="N35" i="46"/>
  <c r="J112" i="8"/>
  <c r="L144" i="8"/>
  <c r="K144" i="8"/>
  <c r="I56" i="45"/>
  <c r="H55" i="44"/>
  <c r="J120" i="8"/>
  <c r="J101" i="8"/>
  <c r="J138" i="8"/>
  <c r="J96" i="8"/>
  <c r="L104" i="8"/>
  <c r="I81" i="7"/>
  <c r="I79" i="7"/>
  <c r="H79" i="7"/>
  <c r="O21" i="45" s="1"/>
  <c r="I75" i="7"/>
  <c r="P20" i="45" s="1"/>
  <c r="H75" i="7"/>
  <c r="I68" i="7"/>
  <c r="H68" i="7"/>
  <c r="I24" i="7"/>
  <c r="O18" i="46" s="1"/>
  <c r="R19" i="47" s="1"/>
  <c r="H24" i="7"/>
  <c r="N18" i="46" s="1"/>
  <c r="J14" i="7"/>
  <c r="J15" i="7"/>
  <c r="J16" i="7"/>
  <c r="J17" i="7"/>
  <c r="J18" i="7"/>
  <c r="J19" i="7"/>
  <c r="J20" i="7"/>
  <c r="J21" i="7"/>
  <c r="J22" i="7"/>
  <c r="J23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K44" i="7" s="1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74" i="7"/>
  <c r="J75" i="7" s="1"/>
  <c r="J78" i="7"/>
  <c r="J13" i="7"/>
  <c r="N19" i="46" l="1"/>
  <c r="Q20" i="47" s="1"/>
  <c r="V51" i="15"/>
  <c r="O19" i="46"/>
  <c r="W51" i="15"/>
  <c r="W75" i="15" s="1"/>
  <c r="J79" i="7"/>
  <c r="P21" i="45"/>
  <c r="P26" i="45" s="1"/>
  <c r="P36" i="45" s="1"/>
  <c r="P56" i="45" s="1"/>
  <c r="Q29" i="47"/>
  <c r="Q19" i="47"/>
  <c r="H81" i="7"/>
  <c r="O20" i="45"/>
  <c r="O35" i="46"/>
  <c r="N25" i="46"/>
  <c r="N36" i="46" s="1"/>
  <c r="N56" i="46" s="1"/>
  <c r="J68" i="7"/>
  <c r="J70" i="7" s="1"/>
  <c r="H84" i="7"/>
  <c r="H70" i="7"/>
  <c r="H86" i="7" s="1"/>
  <c r="J24" i="7"/>
  <c r="I84" i="7"/>
  <c r="P35" i="46"/>
  <c r="I83" i="7"/>
  <c r="P18" i="46"/>
  <c r="O25" i="46"/>
  <c r="I70" i="7"/>
  <c r="I86" i="7" s="1"/>
  <c r="H83" i="7"/>
  <c r="P55" i="44"/>
  <c r="J144" i="8"/>
  <c r="J83" i="7"/>
  <c r="J81" i="7"/>
  <c r="L16" i="6"/>
  <c r="L17" i="6"/>
  <c r="L20" i="6"/>
  <c r="L25" i="6"/>
  <c r="L28" i="6"/>
  <c r="L29" i="6"/>
  <c r="L30" i="6"/>
  <c r="L33" i="6"/>
  <c r="L34" i="6"/>
  <c r="L35" i="6"/>
  <c r="L38" i="6"/>
  <c r="L39" i="6"/>
  <c r="L45" i="6"/>
  <c r="L46" i="6"/>
  <c r="L47" i="6"/>
  <c r="L51" i="6"/>
  <c r="L52" i="6"/>
  <c r="L53" i="6"/>
  <c r="L55" i="6"/>
  <c r="L14" i="6"/>
  <c r="L15" i="6"/>
  <c r="L13" i="6"/>
  <c r="P19" i="46" l="1"/>
  <c r="P25" i="46" s="1"/>
  <c r="P36" i="46" s="1"/>
  <c r="P56" i="46" s="1"/>
  <c r="Q20" i="45"/>
  <c r="O26" i="45"/>
  <c r="O36" i="45" s="1"/>
  <c r="O56" i="45" s="1"/>
  <c r="Q21" i="45"/>
  <c r="R20" i="47"/>
  <c r="V75" i="15"/>
  <c r="AG51" i="15"/>
  <c r="AG75" i="15" s="1"/>
  <c r="O36" i="46"/>
  <c r="O56" i="46" s="1"/>
  <c r="J84" i="7"/>
  <c r="J86" i="7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2" i="5"/>
  <c r="H44" i="5"/>
  <c r="H45" i="5"/>
  <c r="H48" i="5"/>
  <c r="H50" i="5"/>
  <c r="H53" i="5"/>
  <c r="H54" i="5"/>
  <c r="H55" i="5"/>
  <c r="H56" i="5"/>
  <c r="H59" i="5"/>
  <c r="H60" i="5"/>
  <c r="H61" i="5"/>
  <c r="H62" i="5"/>
  <c r="H63" i="5"/>
  <c r="H67" i="5"/>
  <c r="H68" i="5"/>
  <c r="H69" i="5"/>
  <c r="H71" i="5"/>
  <c r="H72" i="5"/>
  <c r="H73" i="5"/>
  <c r="H75" i="5"/>
  <c r="H76" i="5"/>
  <c r="H77" i="5"/>
  <c r="H78" i="5"/>
  <c r="H11" i="5"/>
  <c r="K29" i="14"/>
  <c r="J29" i="14"/>
  <c r="K21" i="14"/>
  <c r="J21" i="14"/>
  <c r="K14" i="14"/>
  <c r="K31" i="14" s="1"/>
  <c r="G18" i="46" s="1"/>
  <c r="J14" i="14"/>
  <c r="L12" i="14"/>
  <c r="L13" i="14"/>
  <c r="L16" i="14"/>
  <c r="L20" i="14"/>
  <c r="L21" i="14" s="1"/>
  <c r="L22" i="14"/>
  <c r="L23" i="14"/>
  <c r="L24" i="14"/>
  <c r="L25" i="14"/>
  <c r="L26" i="14"/>
  <c r="L27" i="14"/>
  <c r="L28" i="14"/>
  <c r="L30" i="14"/>
  <c r="L11" i="14"/>
  <c r="H43" i="5" l="1"/>
  <c r="Q26" i="45"/>
  <c r="Q36" i="45" s="1"/>
  <c r="Q56" i="45" s="1"/>
  <c r="G34" i="46"/>
  <c r="G36" i="46" s="1"/>
  <c r="G38" i="46" s="1"/>
  <c r="G19" i="47"/>
  <c r="J31" i="14"/>
  <c r="F18" i="46" s="1"/>
  <c r="L29" i="14"/>
  <c r="H49" i="5"/>
  <c r="L14" i="14"/>
  <c r="N28" i="49"/>
  <c r="O28" i="49"/>
  <c r="G56" i="46" l="1"/>
  <c r="F34" i="46"/>
  <c r="F19" i="47"/>
  <c r="H19" i="47" s="1"/>
  <c r="H18" i="46"/>
  <c r="H34" i="46" s="1"/>
  <c r="L31" i="14"/>
  <c r="N47" i="49"/>
  <c r="N46" i="49"/>
  <c r="O46" i="49"/>
  <c r="O47" i="49" s="1"/>
  <c r="P18" i="49"/>
  <c r="P22" i="49"/>
  <c r="P23" i="49"/>
  <c r="P29" i="49"/>
  <c r="P30" i="49"/>
  <c r="P31" i="49"/>
  <c r="P32" i="49"/>
  <c r="P33" i="49"/>
  <c r="P34" i="49"/>
  <c r="P35" i="49"/>
  <c r="P36" i="49"/>
  <c r="P37" i="49"/>
  <c r="P38" i="49"/>
  <c r="P39" i="49"/>
  <c r="P40" i="49"/>
  <c r="P41" i="49"/>
  <c r="P42" i="49"/>
  <c r="P43" i="49"/>
  <c r="P44" i="49"/>
  <c r="P45" i="49"/>
  <c r="P16" i="49"/>
  <c r="F46" i="49"/>
  <c r="G46" i="49"/>
  <c r="H36" i="49"/>
  <c r="H37" i="49"/>
  <c r="H38" i="49"/>
  <c r="H39" i="49"/>
  <c r="H40" i="49"/>
  <c r="H41" i="49"/>
  <c r="H42" i="49"/>
  <c r="H43" i="49"/>
  <c r="H44" i="49"/>
  <c r="H45" i="49"/>
  <c r="H35" i="49"/>
  <c r="F27" i="49"/>
  <c r="F28" i="49" s="1"/>
  <c r="F30" i="49" s="1"/>
  <c r="G27" i="49"/>
  <c r="G28" i="49" s="1"/>
  <c r="H15" i="49"/>
  <c r="H16" i="49"/>
  <c r="H17" i="49"/>
  <c r="H20" i="49"/>
  <c r="H21" i="49"/>
  <c r="H22" i="49"/>
  <c r="H23" i="49"/>
  <c r="H24" i="49"/>
  <c r="H14" i="49"/>
  <c r="N46" i="48"/>
  <c r="O46" i="48"/>
  <c r="P39" i="48"/>
  <c r="P46" i="48" s="1"/>
  <c r="N24" i="48"/>
  <c r="N26" i="48" s="1"/>
  <c r="N47" i="48" s="1"/>
  <c r="O24" i="48"/>
  <c r="O26" i="48" s="1"/>
  <c r="O47" i="48" s="1"/>
  <c r="P13" i="48"/>
  <c r="P14" i="48"/>
  <c r="P15" i="48"/>
  <c r="P16" i="48"/>
  <c r="P18" i="48"/>
  <c r="P21" i="48"/>
  <c r="P22" i="48"/>
  <c r="P23" i="48"/>
  <c r="P12" i="48"/>
  <c r="F46" i="48"/>
  <c r="G46" i="48"/>
  <c r="H36" i="48"/>
  <c r="H37" i="48"/>
  <c r="H38" i="48"/>
  <c r="H39" i="48"/>
  <c r="H44" i="48"/>
  <c r="H45" i="48"/>
  <c r="F24" i="48"/>
  <c r="F26" i="48" s="1"/>
  <c r="G24" i="48"/>
  <c r="G26" i="48" s="1"/>
  <c r="H14" i="48"/>
  <c r="H15" i="48"/>
  <c r="H13" i="48"/>
  <c r="N56" i="47"/>
  <c r="O56" i="47"/>
  <c r="P56" i="47"/>
  <c r="Q56" i="47"/>
  <c r="R56" i="47"/>
  <c r="S49" i="47"/>
  <c r="S56" i="47" s="1"/>
  <c r="Q36" i="47"/>
  <c r="R36" i="47"/>
  <c r="S30" i="47"/>
  <c r="S31" i="47"/>
  <c r="S32" i="47"/>
  <c r="S33" i="47"/>
  <c r="S34" i="47"/>
  <c r="S35" i="47"/>
  <c r="S29" i="47"/>
  <c r="Q26" i="47"/>
  <c r="R26" i="47"/>
  <c r="S13" i="47"/>
  <c r="S14" i="47"/>
  <c r="S15" i="47"/>
  <c r="S16" i="47"/>
  <c r="S17" i="47"/>
  <c r="S18" i="47"/>
  <c r="S19" i="47"/>
  <c r="S20" i="47"/>
  <c r="S21" i="47"/>
  <c r="S22" i="47"/>
  <c r="S23" i="47"/>
  <c r="S12" i="47"/>
  <c r="H43" i="47"/>
  <c r="G56" i="47"/>
  <c r="F56" i="47"/>
  <c r="H53" i="47"/>
  <c r="H44" i="47"/>
  <c r="H45" i="47"/>
  <c r="H46" i="47"/>
  <c r="H47" i="47"/>
  <c r="H48" i="47"/>
  <c r="H49" i="47"/>
  <c r="H50" i="47"/>
  <c r="H51" i="47"/>
  <c r="H52" i="47"/>
  <c r="G36" i="47"/>
  <c r="G35" i="47"/>
  <c r="F35" i="47"/>
  <c r="H14" i="47"/>
  <c r="H15" i="47"/>
  <c r="H16" i="47"/>
  <c r="H17" i="47"/>
  <c r="H18" i="47"/>
  <c r="H20" i="47"/>
  <c r="H21" i="47"/>
  <c r="H22" i="47"/>
  <c r="H23" i="47"/>
  <c r="H24" i="47"/>
  <c r="H25" i="47"/>
  <c r="H26" i="47"/>
  <c r="H27" i="47"/>
  <c r="H29" i="47"/>
  <c r="H30" i="47"/>
  <c r="H31" i="47"/>
  <c r="H32" i="47"/>
  <c r="H13" i="47"/>
  <c r="H46" i="49" l="1"/>
  <c r="H27" i="49"/>
  <c r="H28" i="49" s="1"/>
  <c r="H47" i="49" s="1"/>
  <c r="G28" i="48"/>
  <c r="H24" i="48"/>
  <c r="H26" i="48" s="1"/>
  <c r="F47" i="48"/>
  <c r="F28" i="48"/>
  <c r="G47" i="49"/>
  <c r="G30" i="49"/>
  <c r="F47" i="49"/>
  <c r="G47" i="48"/>
  <c r="S36" i="47"/>
  <c r="Q37" i="47"/>
  <c r="Q57" i="47" s="1"/>
  <c r="R37" i="47"/>
  <c r="R57" i="47" s="1"/>
  <c r="S26" i="47"/>
  <c r="G37" i="47"/>
  <c r="G57" i="47" s="1"/>
  <c r="H35" i="47"/>
  <c r="P46" i="49"/>
  <c r="P28" i="49"/>
  <c r="H46" i="48"/>
  <c r="P24" i="48"/>
  <c r="P26" i="48" s="1"/>
  <c r="X108" i="68"/>
  <c r="J108" i="68"/>
  <c r="AG14" i="68"/>
  <c r="AG108" i="68" s="1"/>
  <c r="K14" i="68"/>
  <c r="C27" i="47"/>
  <c r="H47" i="48" l="1"/>
  <c r="G39" i="47"/>
  <c r="S37" i="47"/>
  <c r="S57" i="47" s="1"/>
  <c r="H30" i="49"/>
  <c r="P47" i="49"/>
  <c r="H28" i="48"/>
  <c r="P47" i="48"/>
  <c r="N15" i="45"/>
  <c r="R15" i="45" s="1"/>
  <c r="E35" i="45"/>
  <c r="D35" i="45"/>
  <c r="E34" i="45"/>
  <c r="F27" i="45"/>
  <c r="J27" i="45" s="1"/>
  <c r="F120" i="8"/>
  <c r="I120" i="8"/>
  <c r="G118" i="8"/>
  <c r="E120" i="8"/>
  <c r="F112" i="8"/>
  <c r="I112" i="8"/>
  <c r="E112" i="8"/>
  <c r="G110" i="8"/>
  <c r="M110" i="8" s="1"/>
  <c r="G94" i="8"/>
  <c r="G57" i="8"/>
  <c r="G56" i="8"/>
  <c r="I57" i="8" l="1"/>
  <c r="M57" i="8"/>
  <c r="H118" i="8"/>
  <c r="M118" i="8"/>
  <c r="I94" i="8"/>
  <c r="M94" i="8"/>
  <c r="H56" i="8"/>
  <c r="M56" i="8"/>
  <c r="H110" i="8"/>
  <c r="H112" i="8" s="1"/>
  <c r="E47" i="6"/>
  <c r="E46" i="6"/>
  <c r="D27" i="47" s="1"/>
  <c r="F45" i="6"/>
  <c r="M45" i="6" s="1"/>
  <c r="F46" i="6" l="1"/>
  <c r="D25" i="5"/>
  <c r="C25" i="5"/>
  <c r="E34" i="5"/>
  <c r="I34" i="5" s="1"/>
  <c r="M46" i="6" l="1"/>
  <c r="F47" i="6"/>
  <c r="M47" i="6" s="1"/>
  <c r="D75" i="15"/>
  <c r="H75" i="15"/>
  <c r="P75" i="15"/>
  <c r="G117" i="8" l="1"/>
  <c r="H91" i="8"/>
  <c r="G55" i="8"/>
  <c r="G38" i="8"/>
  <c r="H38" i="8" s="1"/>
  <c r="G47" i="8"/>
  <c r="G63" i="7"/>
  <c r="K63" i="7" s="1"/>
  <c r="G64" i="7"/>
  <c r="K64" i="7" s="1"/>
  <c r="G65" i="7"/>
  <c r="K65" i="7" s="1"/>
  <c r="G66" i="7"/>
  <c r="K66" i="7" s="1"/>
  <c r="G30" i="7"/>
  <c r="K30" i="7" s="1"/>
  <c r="G31" i="7"/>
  <c r="K31" i="7" s="1"/>
  <c r="F24" i="7"/>
  <c r="E24" i="7"/>
  <c r="G23" i="7"/>
  <c r="K23" i="7" s="1"/>
  <c r="D35" i="6"/>
  <c r="E35" i="6"/>
  <c r="F34" i="6"/>
  <c r="F33" i="6"/>
  <c r="M33" i="6" s="1"/>
  <c r="E30" i="6"/>
  <c r="D17" i="46" s="1"/>
  <c r="D30" i="6"/>
  <c r="F28" i="6"/>
  <c r="M28" i="6" s="1"/>
  <c r="E25" i="6"/>
  <c r="F25" i="6"/>
  <c r="D25" i="6"/>
  <c r="G22" i="6"/>
  <c r="H22" i="6"/>
  <c r="I22" i="6"/>
  <c r="E22" i="6"/>
  <c r="F21" i="6"/>
  <c r="J21" i="6" s="1"/>
  <c r="D22" i="6"/>
  <c r="E42" i="5"/>
  <c r="I42" i="5" s="1"/>
  <c r="E32" i="5"/>
  <c r="I32" i="5" s="1"/>
  <c r="E33" i="5"/>
  <c r="I33" i="5" s="1"/>
  <c r="J22" i="6" l="1"/>
  <c r="L21" i="6"/>
  <c r="H117" i="8"/>
  <c r="M117" i="8"/>
  <c r="H55" i="8"/>
  <c r="M55" i="8"/>
  <c r="H47" i="8"/>
  <c r="M47" i="8"/>
  <c r="F35" i="6"/>
  <c r="M35" i="6" s="1"/>
  <c r="M34" i="6"/>
  <c r="G54" i="8"/>
  <c r="F27" i="46" l="1"/>
  <c r="J41" i="6"/>
  <c r="L41" i="6" s="1"/>
  <c r="L22" i="6"/>
  <c r="H54" i="8"/>
  <c r="M54" i="8"/>
  <c r="M21" i="45"/>
  <c r="F28" i="47" l="1"/>
  <c r="F35" i="46"/>
  <c r="F36" i="46" s="1"/>
  <c r="H27" i="46"/>
  <c r="H35" i="46" s="1"/>
  <c r="H36" i="46" s="1"/>
  <c r="AC26" i="15"/>
  <c r="AF26" i="15" s="1"/>
  <c r="AH26" i="15" s="1"/>
  <c r="F25" i="63"/>
  <c r="G24" i="63"/>
  <c r="N24" i="63" s="1"/>
  <c r="F86" i="8"/>
  <c r="E86" i="8"/>
  <c r="G84" i="8"/>
  <c r="G83" i="8"/>
  <c r="G78" i="8"/>
  <c r="H78" i="8" s="1"/>
  <c r="F68" i="8"/>
  <c r="E68" i="8"/>
  <c r="F38" i="46" l="1"/>
  <c r="F56" i="46"/>
  <c r="H38" i="46"/>
  <c r="H56" i="46"/>
  <c r="G86" i="8"/>
  <c r="M86" i="8" s="1"/>
  <c r="M83" i="8"/>
  <c r="I84" i="8"/>
  <c r="I86" i="8" s="1"/>
  <c r="M84" i="8"/>
  <c r="H28" i="47"/>
  <c r="H36" i="47" s="1"/>
  <c r="H37" i="47" s="1"/>
  <c r="F36" i="47"/>
  <c r="F37" i="47" s="1"/>
  <c r="H83" i="8"/>
  <c r="H86" i="8" s="1"/>
  <c r="G53" i="8"/>
  <c r="G52" i="8"/>
  <c r="G44" i="8"/>
  <c r="F27" i="8"/>
  <c r="E27" i="8"/>
  <c r="G23" i="8"/>
  <c r="G24" i="8"/>
  <c r="M24" i="8" s="1"/>
  <c r="G25" i="8"/>
  <c r="G22" i="8"/>
  <c r="I22" i="8" s="1"/>
  <c r="I27" i="8" s="1"/>
  <c r="E19" i="8"/>
  <c r="F19" i="8"/>
  <c r="G17" i="8"/>
  <c r="G79" i="7"/>
  <c r="G78" i="7"/>
  <c r="K78" i="7" s="1"/>
  <c r="E79" i="7"/>
  <c r="L21" i="45" s="1"/>
  <c r="G74" i="7"/>
  <c r="K74" i="7" s="1"/>
  <c r="G62" i="7"/>
  <c r="K62" i="7" s="1"/>
  <c r="G61" i="7"/>
  <c r="K61" i="7" s="1"/>
  <c r="G22" i="7"/>
  <c r="K22" i="7" s="1"/>
  <c r="G15" i="7"/>
  <c r="K15" i="7" s="1"/>
  <c r="F51" i="6"/>
  <c r="M51" i="6" s="1"/>
  <c r="N21" i="45" l="1"/>
  <c r="R21" i="45" s="1"/>
  <c r="K79" i="7"/>
  <c r="H53" i="8"/>
  <c r="M53" i="8"/>
  <c r="H44" i="8"/>
  <c r="M44" i="8"/>
  <c r="F39" i="47"/>
  <c r="F57" i="47"/>
  <c r="H17" i="8"/>
  <c r="M17" i="8"/>
  <c r="H25" i="8"/>
  <c r="M25" i="8"/>
  <c r="H23" i="8"/>
  <c r="M23" i="8"/>
  <c r="I52" i="8"/>
  <c r="M52" i="8"/>
  <c r="H39" i="47"/>
  <c r="H57" i="47"/>
  <c r="G27" i="8"/>
  <c r="M27" i="8" s="1"/>
  <c r="H24" i="8"/>
  <c r="H27" i="8" l="1"/>
  <c r="D31" i="49"/>
  <c r="G125" i="8" l="1"/>
  <c r="G124" i="8"/>
  <c r="G116" i="8"/>
  <c r="G51" i="8"/>
  <c r="G50" i="8"/>
  <c r="G15" i="8"/>
  <c r="G16" i="8"/>
  <c r="G60" i="7"/>
  <c r="K60" i="7" s="1"/>
  <c r="G59" i="7"/>
  <c r="K59" i="7" s="1"/>
  <c r="E36" i="5"/>
  <c r="I36" i="5" s="1"/>
  <c r="E35" i="5"/>
  <c r="I35" i="5" s="1"/>
  <c r="D35" i="5"/>
  <c r="C35" i="5"/>
  <c r="E24" i="5"/>
  <c r="E23" i="5" s="1"/>
  <c r="D23" i="5"/>
  <c r="C23" i="5"/>
  <c r="E22" i="5"/>
  <c r="I22" i="5" s="1"/>
  <c r="E21" i="5"/>
  <c r="I21" i="5" s="1"/>
  <c r="D21" i="5"/>
  <c r="C21" i="5"/>
  <c r="I16" i="8" l="1"/>
  <c r="M16" i="8"/>
  <c r="H116" i="8"/>
  <c r="M116" i="8"/>
  <c r="H51" i="8"/>
  <c r="M51" i="8"/>
  <c r="I15" i="8"/>
  <c r="I19" i="8" s="1"/>
  <c r="M15" i="8"/>
  <c r="I124" i="8"/>
  <c r="M124" i="8"/>
  <c r="H125" i="8"/>
  <c r="M125" i="8"/>
  <c r="AA42" i="68" l="1"/>
  <c r="AA106" i="68" s="1"/>
  <c r="AA108" i="68" s="1"/>
  <c r="P35" i="68" l="1"/>
  <c r="R42" i="68"/>
  <c r="R106" i="68" s="1"/>
  <c r="R108" i="68" s="1"/>
  <c r="S32" i="68"/>
  <c r="O42" i="68"/>
  <c r="O106" i="68" s="1"/>
  <c r="O108" i="68" s="1"/>
  <c r="U38" i="68"/>
  <c r="U42" i="68" s="1"/>
  <c r="U106" i="68" s="1"/>
  <c r="U108" i="68" s="1"/>
  <c r="P38" i="68"/>
  <c r="AD40" i="68"/>
  <c r="U40" i="68"/>
  <c r="Y40" i="68" s="1"/>
  <c r="AD39" i="68"/>
  <c r="Y39" i="68"/>
  <c r="U39" i="68"/>
  <c r="AD37" i="68"/>
  <c r="P37" i="68"/>
  <c r="AD30" i="68"/>
  <c r="P30" i="68"/>
  <c r="AD38" i="68" l="1"/>
  <c r="AE108" i="68"/>
  <c r="W108" i="68"/>
  <c r="V108" i="68"/>
  <c r="L108" i="68"/>
  <c r="I108" i="68"/>
  <c r="H108" i="68"/>
  <c r="E108" i="68"/>
  <c r="C108" i="68"/>
  <c r="AF106" i="68"/>
  <c r="W106" i="68"/>
  <c r="M106" i="68"/>
  <c r="M108" i="68" s="1"/>
  <c r="L106" i="68"/>
  <c r="K106" i="68"/>
  <c r="K108" i="68" s="1"/>
  <c r="G106" i="68"/>
  <c r="G108" i="68" s="1"/>
  <c r="D106" i="68"/>
  <c r="C106" i="68"/>
  <c r="AB103" i="68"/>
  <c r="Z103" i="68"/>
  <c r="T103" i="68"/>
  <c r="AC103" i="68" s="1"/>
  <c r="S103" i="68"/>
  <c r="N103" i="68"/>
  <c r="P103" i="68" s="1"/>
  <c r="AH102" i="68"/>
  <c r="AC102" i="68"/>
  <c r="P102" i="68"/>
  <c r="AH101" i="68"/>
  <c r="Y101" i="68"/>
  <c r="T101" i="68"/>
  <c r="AC101" i="68" s="1"/>
  <c r="P101" i="68"/>
  <c r="T100" i="68"/>
  <c r="AC100" i="68" s="1"/>
  <c r="P100" i="68"/>
  <c r="Y100" i="68" s="1"/>
  <c r="AB95" i="68"/>
  <c r="Z95" i="68"/>
  <c r="S95" i="68"/>
  <c r="Q95" i="68"/>
  <c r="N95" i="68"/>
  <c r="P95" i="68" s="1"/>
  <c r="Y95" i="68" s="1"/>
  <c r="AC94" i="68"/>
  <c r="T94" i="68"/>
  <c r="T95" i="68" s="1"/>
  <c r="P94" i="68"/>
  <c r="Y94" i="68" s="1"/>
  <c r="AH94" i="68" s="1"/>
  <c r="AC93" i="68"/>
  <c r="P93" i="68"/>
  <c r="Y93" i="68" s="1"/>
  <c r="AH93" i="68" s="1"/>
  <c r="AC92" i="68"/>
  <c r="P92" i="68"/>
  <c r="Y92" i="68" s="1"/>
  <c r="AH92" i="68" s="1"/>
  <c r="AC91" i="68"/>
  <c r="P91" i="68"/>
  <c r="Y91" i="68" s="1"/>
  <c r="AH91" i="68" s="1"/>
  <c r="AC89" i="68"/>
  <c r="P89" i="68"/>
  <c r="Y89" i="68" s="1"/>
  <c r="AH89" i="68" s="1"/>
  <c r="AC88" i="68"/>
  <c r="P88" i="68"/>
  <c r="Y88" i="68" s="1"/>
  <c r="AH88" i="68" s="1"/>
  <c r="AC87" i="68"/>
  <c r="P87" i="68"/>
  <c r="Y87" i="68" s="1"/>
  <c r="AH87" i="68" s="1"/>
  <c r="AC86" i="68"/>
  <c r="P86" i="68"/>
  <c r="Y86" i="68" s="1"/>
  <c r="AH86" i="68" s="1"/>
  <c r="AC85" i="68"/>
  <c r="P85" i="68"/>
  <c r="Y85" i="68" s="1"/>
  <c r="AH85" i="68" s="1"/>
  <c r="AC84" i="68"/>
  <c r="P84" i="68"/>
  <c r="Y84" i="68" s="1"/>
  <c r="AH84" i="68" s="1"/>
  <c r="AC83" i="68"/>
  <c r="P83" i="68"/>
  <c r="Y83" i="68" s="1"/>
  <c r="AH83" i="68" s="1"/>
  <c r="AC82" i="68"/>
  <c r="P82" i="68"/>
  <c r="Y82" i="68" s="1"/>
  <c r="AH82" i="68" s="1"/>
  <c r="AC80" i="68"/>
  <c r="P80" i="68"/>
  <c r="Y80" i="68" s="1"/>
  <c r="AH80" i="68" s="1"/>
  <c r="AC79" i="68"/>
  <c r="P79" i="68"/>
  <c r="Y79" i="68" s="1"/>
  <c r="AH79" i="68" s="1"/>
  <c r="AC78" i="68"/>
  <c r="P78" i="68"/>
  <c r="Y78" i="68" s="1"/>
  <c r="AH78" i="68" s="1"/>
  <c r="AC77" i="68"/>
  <c r="P77" i="68"/>
  <c r="Y77" i="68" s="1"/>
  <c r="AH77" i="68" s="1"/>
  <c r="AC76" i="68"/>
  <c r="P76" i="68"/>
  <c r="Y76" i="68" s="1"/>
  <c r="AH76" i="68" s="1"/>
  <c r="AC75" i="68"/>
  <c r="P75" i="68"/>
  <c r="Y75" i="68" s="1"/>
  <c r="AH75" i="68" s="1"/>
  <c r="AC74" i="68"/>
  <c r="P74" i="68"/>
  <c r="Y74" i="68" s="1"/>
  <c r="AH74" i="68" s="1"/>
  <c r="AC73" i="68"/>
  <c r="P73" i="68"/>
  <c r="Y73" i="68" s="1"/>
  <c r="AH73" i="68" s="1"/>
  <c r="AC72" i="68"/>
  <c r="P72" i="68"/>
  <c r="Y72" i="68" s="1"/>
  <c r="AH72" i="68" s="1"/>
  <c r="P43" i="68"/>
  <c r="S42" i="68"/>
  <c r="S106" i="68" s="1"/>
  <c r="S108" i="68" s="1"/>
  <c r="Q42" i="68"/>
  <c r="Z42" i="68" s="1"/>
  <c r="Z106" i="68" s="1"/>
  <c r="Z108" i="68" s="1"/>
  <c r="N42" i="68"/>
  <c r="AC41" i="68"/>
  <c r="T41" i="68"/>
  <c r="P41" i="68"/>
  <c r="Y41" i="68" s="1"/>
  <c r="AC40" i="68"/>
  <c r="P40" i="68"/>
  <c r="AH40" i="68" s="1"/>
  <c r="AC39" i="68"/>
  <c r="P39" i="68"/>
  <c r="AH39" i="68" s="1"/>
  <c r="AC38" i="68"/>
  <c r="AH38" i="68"/>
  <c r="AC37" i="68"/>
  <c r="AH37" i="68"/>
  <c r="AC36" i="68"/>
  <c r="T36" i="68"/>
  <c r="P36" i="68"/>
  <c r="AH36" i="68" s="1"/>
  <c r="AC35" i="68"/>
  <c r="AC34" i="68"/>
  <c r="T34" i="68"/>
  <c r="P34" i="68"/>
  <c r="AH34" i="68" s="1"/>
  <c r="AC33" i="68"/>
  <c r="T33" i="68"/>
  <c r="P33" i="68"/>
  <c r="Y33" i="68" s="1"/>
  <c r="AC32" i="68"/>
  <c r="AB32" i="68"/>
  <c r="Z32" i="68"/>
  <c r="P32" i="68"/>
  <c r="AH32" i="68" s="1"/>
  <c r="AC31" i="68"/>
  <c r="T31" i="68"/>
  <c r="P31" i="68"/>
  <c r="AH31" i="68" s="1"/>
  <c r="AC30" i="68"/>
  <c r="T30" i="68"/>
  <c r="Y30" i="68"/>
  <c r="N26" i="68"/>
  <c r="N106" i="68" s="1"/>
  <c r="N108" i="68" s="1"/>
  <c r="AC25" i="68"/>
  <c r="T25" i="68"/>
  <c r="P25" i="68"/>
  <c r="Y25" i="68" s="1"/>
  <c r="AH25" i="68" s="1"/>
  <c r="Y24" i="68"/>
  <c r="AH24" i="68" s="1"/>
  <c r="T24" i="68"/>
  <c r="P24" i="68"/>
  <c r="AC23" i="68"/>
  <c r="T23" i="68"/>
  <c r="P23" i="68"/>
  <c r="Y23" i="68" s="1"/>
  <c r="AH23" i="68" s="1"/>
  <c r="T22" i="68"/>
  <c r="AC22" i="68" s="1"/>
  <c r="P22" i="68"/>
  <c r="Y22" i="68" s="1"/>
  <c r="AH22" i="68" s="1"/>
  <c r="Y21" i="68"/>
  <c r="AH21" i="68" s="1"/>
  <c r="T21" i="68"/>
  <c r="AC21" i="68" s="1"/>
  <c r="P21" i="68"/>
  <c r="AC20" i="68"/>
  <c r="Y20" i="68"/>
  <c r="AH20" i="68" s="1"/>
  <c r="T20" i="68"/>
  <c r="P20" i="68"/>
  <c r="AC19" i="68"/>
  <c r="T19" i="68"/>
  <c r="P19" i="68"/>
  <c r="Y19" i="68" s="1"/>
  <c r="AH19" i="68" s="1"/>
  <c r="T18" i="68"/>
  <c r="AC18" i="68" s="1"/>
  <c r="P18" i="68"/>
  <c r="Y18" i="68" s="1"/>
  <c r="AF14" i="68"/>
  <c r="T14" i="68"/>
  <c r="Y14" i="68" s="1"/>
  <c r="D14" i="68"/>
  <c r="D108" i="68" s="1"/>
  <c r="AC12" i="68"/>
  <c r="AB12" i="68"/>
  <c r="Y12" i="68"/>
  <c r="T12" i="68"/>
  <c r="F12" i="68"/>
  <c r="F108" i="68" s="1"/>
  <c r="D12" i="68"/>
  <c r="T26" i="68" l="1"/>
  <c r="AC26" i="68" s="1"/>
  <c r="AC106" i="68" s="1"/>
  <c r="AC108" i="68" s="1"/>
  <c r="Y36" i="68"/>
  <c r="AC14" i="68"/>
  <c r="AH14" i="68" s="1"/>
  <c r="AC42" i="68"/>
  <c r="Q43" i="68"/>
  <c r="AH95" i="68"/>
  <c r="AC95" i="68"/>
  <c r="T42" i="68"/>
  <c r="AF108" i="68"/>
  <c r="Y32" i="68"/>
  <c r="Y31" i="68"/>
  <c r="Y34" i="68"/>
  <c r="Y26" i="68"/>
  <c r="AH18" i="68"/>
  <c r="AH26" i="68" s="1"/>
  <c r="Y103" i="68"/>
  <c r="AH103" i="68" s="1"/>
  <c r="AH100" i="68"/>
  <c r="T108" i="68"/>
  <c r="AH12" i="68"/>
  <c r="P26" i="68"/>
  <c r="AH41" i="68"/>
  <c r="AB42" i="68"/>
  <c r="AB106" i="68" s="1"/>
  <c r="AB108" i="68" s="1"/>
  <c r="AH30" i="68"/>
  <c r="AH33" i="68"/>
  <c r="Y37" i="68"/>
  <c r="Y38" i="68"/>
  <c r="P42" i="68"/>
  <c r="Q106" i="68"/>
  <c r="Q108" i="68" s="1"/>
  <c r="E31" i="5"/>
  <c r="T106" i="68" l="1"/>
  <c r="Y35" i="68"/>
  <c r="AD35" i="68"/>
  <c r="AH42" i="68"/>
  <c r="AH106" i="68" s="1"/>
  <c r="AH108" i="68" s="1"/>
  <c r="Y42" i="68"/>
  <c r="Y106" i="68" s="1"/>
  <c r="Y108" i="68" s="1"/>
  <c r="P106" i="68"/>
  <c r="P108" i="68" s="1"/>
  <c r="AH35" i="68" l="1"/>
  <c r="AD42" i="68"/>
  <c r="AD106" i="68" s="1"/>
  <c r="AD108" i="68" s="1"/>
  <c r="E30" i="24"/>
  <c r="F30" i="24" s="1"/>
  <c r="G30" i="24" s="1"/>
  <c r="H30" i="24" s="1"/>
  <c r="I30" i="24" s="1"/>
  <c r="J30" i="24" s="1"/>
  <c r="K30" i="24" s="1"/>
  <c r="L30" i="24" s="1"/>
  <c r="M30" i="24" s="1"/>
  <c r="N30" i="24" s="1"/>
  <c r="D29" i="24"/>
  <c r="E29" i="24" s="1"/>
  <c r="F29" i="24" s="1"/>
  <c r="G29" i="24" s="1"/>
  <c r="H29" i="24" s="1"/>
  <c r="I29" i="24" s="1"/>
  <c r="J29" i="24" s="1"/>
  <c r="K29" i="24" s="1"/>
  <c r="L29" i="24" s="1"/>
  <c r="M29" i="24" s="1"/>
  <c r="N29" i="24" s="1"/>
  <c r="D30" i="24"/>
  <c r="F29" i="6" l="1"/>
  <c r="C37" i="5"/>
  <c r="F30" i="6" l="1"/>
  <c r="M30" i="6" s="1"/>
  <c r="M29" i="6"/>
  <c r="G58" i="7"/>
  <c r="K58" i="7" s="1"/>
  <c r="G93" i="8" l="1"/>
  <c r="I93" i="8" l="1"/>
  <c r="M93" i="8"/>
  <c r="I88" i="67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29" i="67"/>
  <c r="I31" i="67" s="1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2" i="49"/>
  <c r="G49" i="8" l="1"/>
  <c r="G14" i="8"/>
  <c r="G19" i="8" l="1"/>
  <c r="M14" i="8"/>
  <c r="I49" i="8"/>
  <c r="M49" i="8"/>
  <c r="H14" i="8"/>
  <c r="H19" i="8" s="1"/>
  <c r="E59" i="5"/>
  <c r="I59" i="5" s="1"/>
  <c r="M19" i="8" l="1"/>
  <c r="D15" i="64"/>
  <c r="G115" i="8" l="1"/>
  <c r="M115" i="8" l="1"/>
  <c r="G120" i="8"/>
  <c r="M120" i="8" s="1"/>
  <c r="H115" i="8"/>
  <c r="H120" i="8" s="1"/>
  <c r="N33" i="47" l="1"/>
  <c r="O33" i="47"/>
  <c r="P33" i="47"/>
  <c r="C26" i="47"/>
  <c r="C18" i="49" s="1"/>
  <c r="C33" i="64"/>
  <c r="C25" i="46" l="1"/>
  <c r="D18" i="10"/>
  <c r="G135" i="8"/>
  <c r="F101" i="8"/>
  <c r="H101" i="8"/>
  <c r="K32" i="46" s="1"/>
  <c r="E101" i="8"/>
  <c r="G99" i="8"/>
  <c r="F96" i="8"/>
  <c r="G48" i="8"/>
  <c r="M48" i="8" s="1"/>
  <c r="I99" i="8" l="1"/>
  <c r="M99" i="8"/>
  <c r="H135" i="8"/>
  <c r="M135" i="8"/>
  <c r="K33" i="47"/>
  <c r="K20" i="49" s="1"/>
  <c r="H48" i="8"/>
  <c r="G54" i="7"/>
  <c r="G55" i="7"/>
  <c r="G56" i="7"/>
  <c r="G57" i="7"/>
  <c r="G41" i="6"/>
  <c r="G55" i="6" s="1"/>
  <c r="H41" i="6"/>
  <c r="H55" i="6" s="1"/>
  <c r="I41" i="6"/>
  <c r="I55" i="6" s="1"/>
  <c r="F20" i="6"/>
  <c r="D62" i="5"/>
  <c r="D30" i="64" s="1"/>
  <c r="D33" i="64" s="1"/>
  <c r="C62" i="5"/>
  <c r="C30" i="64" s="1"/>
  <c r="E61" i="5"/>
  <c r="D60" i="5"/>
  <c r="E60" i="5"/>
  <c r="I60" i="5" s="1"/>
  <c r="C60" i="5"/>
  <c r="C63" i="5" s="1"/>
  <c r="C39" i="5"/>
  <c r="E62" i="5" l="1"/>
  <c r="I61" i="5"/>
  <c r="F22" i="6"/>
  <c r="M22" i="6" s="1"/>
  <c r="M20" i="6"/>
  <c r="D63" i="5"/>
  <c r="E63" i="5"/>
  <c r="I63" i="5" s="1"/>
  <c r="A12" i="47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D22" i="49"/>
  <c r="E22" i="49"/>
  <c r="E30" i="64" l="1"/>
  <c r="I30" i="64" s="1"/>
  <c r="I62" i="5"/>
  <c r="N19" i="47"/>
  <c r="O19" i="47"/>
  <c r="P19" i="47"/>
  <c r="D48" i="47"/>
  <c r="D39" i="48" s="1"/>
  <c r="C48" i="47"/>
  <c r="C39" i="48" s="1"/>
  <c r="D17" i="47"/>
  <c r="D14" i="49" s="1"/>
  <c r="E47" i="46"/>
  <c r="E48" i="47" l="1"/>
  <c r="I48" i="47" s="1"/>
  <c r="I47" i="46"/>
  <c r="C18" i="10"/>
  <c r="E17" i="10"/>
  <c r="G46" i="8"/>
  <c r="F75" i="7"/>
  <c r="F81" i="7" s="1"/>
  <c r="E75" i="7"/>
  <c r="E81" i="7" s="1"/>
  <c r="G75" i="7"/>
  <c r="E52" i="6"/>
  <c r="D52" i="6"/>
  <c r="D53" i="6" s="1"/>
  <c r="F52" i="6"/>
  <c r="C16" i="46"/>
  <c r="G81" i="7" l="1"/>
  <c r="K81" i="7" s="1"/>
  <c r="K75" i="7"/>
  <c r="H46" i="8"/>
  <c r="M46" i="8"/>
  <c r="E39" i="48"/>
  <c r="I39" i="48" s="1"/>
  <c r="F53" i="6"/>
  <c r="M53" i="6" s="1"/>
  <c r="M52" i="6"/>
  <c r="D34" i="44"/>
  <c r="E53" i="6"/>
  <c r="C34" i="44"/>
  <c r="E26" i="44"/>
  <c r="M20" i="45"/>
  <c r="L20" i="45"/>
  <c r="N20" i="45"/>
  <c r="R20" i="45" s="1"/>
  <c r="E16" i="46"/>
  <c r="I26" i="44" l="1"/>
  <c r="E17" i="47"/>
  <c r="E14" i="49" s="1"/>
  <c r="C17" i="47"/>
  <c r="C14" i="49" s="1"/>
  <c r="G21" i="63" l="1"/>
  <c r="N21" i="63" s="1"/>
  <c r="D32" i="10"/>
  <c r="L22" i="46" s="1"/>
  <c r="E31" i="10"/>
  <c r="C32" i="10"/>
  <c r="K22" i="46" s="1"/>
  <c r="E16" i="10"/>
  <c r="F142" i="8"/>
  <c r="G142" i="8"/>
  <c r="H142" i="8"/>
  <c r="E142" i="8"/>
  <c r="G66" i="8"/>
  <c r="G42" i="8"/>
  <c r="I66" i="8" l="1"/>
  <c r="M66" i="8"/>
  <c r="I42" i="8"/>
  <c r="M42" i="8"/>
  <c r="F68" i="7"/>
  <c r="F84" i="7" s="1"/>
  <c r="G39" i="7"/>
  <c r="K39" i="7" s="1"/>
  <c r="G21" i="7"/>
  <c r="K21" i="7" s="1"/>
  <c r="D18" i="47"/>
  <c r="D15" i="49" s="1"/>
  <c r="D72" i="5"/>
  <c r="E71" i="5"/>
  <c r="I71" i="5" s="1"/>
  <c r="E53" i="5"/>
  <c r="I53" i="5" s="1"/>
  <c r="E48" i="5"/>
  <c r="D49" i="5"/>
  <c r="D50" i="5" s="1"/>
  <c r="C49" i="5"/>
  <c r="C50" i="5" s="1"/>
  <c r="D16" i="45" s="1"/>
  <c r="D11" i="5"/>
  <c r="C11" i="5"/>
  <c r="C43" i="5"/>
  <c r="D43" i="5"/>
  <c r="E30" i="5"/>
  <c r="E49" i="5" l="1"/>
  <c r="I49" i="5" s="1"/>
  <c r="I48" i="5"/>
  <c r="C45" i="5"/>
  <c r="U51" i="15"/>
  <c r="U75" i="15" s="1"/>
  <c r="C31" i="47"/>
  <c r="C76" i="5"/>
  <c r="D31" i="47"/>
  <c r="D76" i="5"/>
  <c r="E50" i="5"/>
  <c r="I50" i="5" s="1"/>
  <c r="E43" i="5"/>
  <c r="I43" i="5" s="1"/>
  <c r="F70" i="7"/>
  <c r="F83" i="7"/>
  <c r="AF51" i="15" l="1"/>
  <c r="AH51" i="15" s="1"/>
  <c r="E31" i="47"/>
  <c r="I31" i="47" s="1"/>
  <c r="E76" i="5"/>
  <c r="I76" i="5" s="1"/>
  <c r="C46" i="47" l="1"/>
  <c r="G53" i="7"/>
  <c r="K53" i="7" s="1"/>
  <c r="G31" i="8"/>
  <c r="H31" i="8" l="1"/>
  <c r="M31" i="8"/>
  <c r="G52" i="7"/>
  <c r="K52" i="7" s="1"/>
  <c r="G51" i="7" l="1"/>
  <c r="K51" i="7" s="1"/>
  <c r="E45" i="46" l="1"/>
  <c r="I45" i="46" s="1"/>
  <c r="G20" i="7" l="1"/>
  <c r="K20" i="7" s="1"/>
  <c r="E83" i="7" l="1"/>
  <c r="I68" i="8" l="1"/>
  <c r="C34" i="42" l="1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E61" i="70"/>
  <c r="I53" i="70"/>
  <c r="I52" i="70"/>
  <c r="I49" i="70"/>
  <c r="E49" i="70"/>
  <c r="I47" i="70"/>
  <c r="E47" i="70"/>
  <c r="P45" i="70"/>
  <c r="Q45" i="70" s="1"/>
  <c r="I45" i="70"/>
  <c r="I44" i="70"/>
  <c r="E44" i="70"/>
  <c r="I43" i="70"/>
  <c r="I42" i="70"/>
  <c r="E42" i="70"/>
  <c r="I41" i="70"/>
  <c r="E41" i="70"/>
  <c r="I40" i="70"/>
  <c r="K53" i="70" s="1"/>
  <c r="E40" i="70"/>
  <c r="I32" i="70"/>
  <c r="I34" i="70" s="1"/>
  <c r="E32" i="70"/>
  <c r="E34" i="70" s="1"/>
  <c r="I31" i="70"/>
  <c r="E28" i="70"/>
  <c r="I26" i="70"/>
  <c r="I28" i="70" s="1"/>
  <c r="E26" i="70"/>
  <c r="I25" i="70"/>
  <c r="I22" i="70"/>
  <c r="I19" i="70"/>
  <c r="I16" i="70"/>
  <c r="I12" i="70"/>
  <c r="E12" i="70"/>
  <c r="E97" i="70" l="1"/>
  <c r="K78" i="70"/>
  <c r="K35" i="70"/>
  <c r="K97" i="70" s="1"/>
  <c r="L45" i="70"/>
  <c r="F97" i="70"/>
  <c r="M36" i="15" l="1"/>
  <c r="M14" i="44"/>
  <c r="Q14" i="44" s="1"/>
  <c r="I36" i="15" l="1"/>
  <c r="I75" i="15" s="1"/>
  <c r="E36" i="15"/>
  <c r="E75" i="15" l="1"/>
  <c r="AF36" i="15"/>
  <c r="AH36" i="15" s="1"/>
  <c r="M14" i="64"/>
  <c r="Q14" i="64" s="1"/>
  <c r="G136" i="8"/>
  <c r="M136" i="8" s="1"/>
  <c r="F138" i="8"/>
  <c r="E138" i="8"/>
  <c r="G138" i="8" l="1"/>
  <c r="M138" i="8" s="1"/>
  <c r="H136" i="8"/>
  <c r="H138" i="8" s="1"/>
  <c r="D13" i="47"/>
  <c r="D24" i="10"/>
  <c r="D12" i="46"/>
  <c r="G67" i="7" l="1"/>
  <c r="K67" i="7" s="1"/>
  <c r="M53" i="15"/>
  <c r="L37" i="15"/>
  <c r="G45" i="8"/>
  <c r="G39" i="8"/>
  <c r="H39" i="8" s="1"/>
  <c r="G37" i="8"/>
  <c r="F33" i="8"/>
  <c r="F59" i="8" s="1"/>
  <c r="E33" i="8"/>
  <c r="E59" i="8" s="1"/>
  <c r="F132" i="8"/>
  <c r="E132" i="8"/>
  <c r="F12" i="14"/>
  <c r="M12" i="14" s="1"/>
  <c r="H45" i="8" l="1"/>
  <c r="M45" i="8"/>
  <c r="H37" i="8"/>
  <c r="M37" i="8"/>
  <c r="AF53" i="15"/>
  <c r="AH53" i="15" s="1"/>
  <c r="M75" i="15"/>
  <c r="AF37" i="15"/>
  <c r="AH37" i="15" s="1"/>
  <c r="L75" i="15"/>
  <c r="C36" i="48"/>
  <c r="D46" i="47"/>
  <c r="D36" i="48" s="1"/>
  <c r="C47" i="47"/>
  <c r="C37" i="48" s="1"/>
  <c r="D47" i="47"/>
  <c r="D37" i="48" s="1"/>
  <c r="D43" i="47"/>
  <c r="D35" i="49" s="1"/>
  <c r="C43" i="47"/>
  <c r="C35" i="49" s="1"/>
  <c r="C33" i="48" s="1"/>
  <c r="E33" i="48" s="1"/>
  <c r="I33" i="48" s="1"/>
  <c r="D34" i="42"/>
  <c r="E44" i="42"/>
  <c r="I44" i="42" s="1"/>
  <c r="E26" i="42"/>
  <c r="E34" i="42" s="1"/>
  <c r="M21" i="64"/>
  <c r="E45" i="64"/>
  <c r="E47" i="47" s="1"/>
  <c r="E37" i="48" s="1"/>
  <c r="E44" i="64"/>
  <c r="I44" i="64" s="1"/>
  <c r="D32" i="48" l="1"/>
  <c r="C32" i="48"/>
  <c r="E42" i="46"/>
  <c r="E96" i="8"/>
  <c r="E43" i="47" l="1"/>
  <c r="I43" i="47" s="1"/>
  <c r="I42" i="46"/>
  <c r="E32" i="48" l="1"/>
  <c r="I32" i="48" s="1"/>
  <c r="E35" i="49"/>
  <c r="I35" i="49" s="1"/>
  <c r="G65" i="8"/>
  <c r="G43" i="8"/>
  <c r="G41" i="8"/>
  <c r="I41" i="8" s="1"/>
  <c r="G30" i="8"/>
  <c r="M30" i="8" s="1"/>
  <c r="E25" i="63"/>
  <c r="H25" i="63"/>
  <c r="I25" i="63"/>
  <c r="J25" i="63"/>
  <c r="G17" i="63"/>
  <c r="N17" i="63" s="1"/>
  <c r="G18" i="63"/>
  <c r="N18" i="63" s="1"/>
  <c r="G19" i="63"/>
  <c r="N19" i="63" s="1"/>
  <c r="G20" i="63"/>
  <c r="N20" i="63" s="1"/>
  <c r="G16" i="63"/>
  <c r="N16" i="63" s="1"/>
  <c r="H43" i="8" l="1"/>
  <c r="M43" i="8"/>
  <c r="H65" i="8"/>
  <c r="H68" i="8" s="1"/>
  <c r="H30" i="8"/>
  <c r="E23" i="10"/>
  <c r="E15" i="10"/>
  <c r="G29" i="7"/>
  <c r="G49" i="7"/>
  <c r="K49" i="7" s="1"/>
  <c r="G33" i="7"/>
  <c r="K33" i="7" s="1"/>
  <c r="G48" i="7"/>
  <c r="K48" i="7" s="1"/>
  <c r="G47" i="7"/>
  <c r="K47" i="7" s="1"/>
  <c r="G46" i="7"/>
  <c r="K46" i="7" s="1"/>
  <c r="D37" i="5" l="1"/>
  <c r="D39" i="5" l="1"/>
  <c r="D45" i="5"/>
  <c r="E21" i="48"/>
  <c r="I21" i="48" s="1"/>
  <c r="E30" i="46"/>
  <c r="I30" i="46" s="1"/>
  <c r="D21" i="48"/>
  <c r="D30" i="46"/>
  <c r="C21" i="48"/>
  <c r="C30" i="46"/>
  <c r="C14" i="46"/>
  <c r="F16" i="14" l="1"/>
  <c r="M16" i="14" s="1"/>
  <c r="G19" i="7" l="1"/>
  <c r="K19" i="7" s="1"/>
  <c r="G40" i="8" l="1"/>
  <c r="M40" i="8" s="1"/>
  <c r="F127" i="8"/>
  <c r="E127" i="8"/>
  <c r="H127" i="8"/>
  <c r="K28" i="64" s="1"/>
  <c r="H40" i="8" l="1"/>
  <c r="H132" i="8" l="1"/>
  <c r="G45" i="7" l="1"/>
  <c r="K45" i="7" s="1"/>
  <c r="A12" i="48" l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N21" i="47" l="1"/>
  <c r="O21" i="47"/>
  <c r="P21" i="47"/>
  <c r="E13" i="18"/>
  <c r="F18" i="18"/>
  <c r="AC25" i="15"/>
  <c r="AF25" i="15" s="1"/>
  <c r="AH25" i="15" s="1"/>
  <c r="AC23" i="15"/>
  <c r="AF23" i="15" s="1"/>
  <c r="AH23" i="15" s="1"/>
  <c r="F29" i="63"/>
  <c r="E29" i="63"/>
  <c r="G23" i="63"/>
  <c r="N23" i="63" s="1"/>
  <c r="F30" i="63" l="1"/>
  <c r="AB29" i="15"/>
  <c r="AB75" i="15" s="1"/>
  <c r="AF29" i="15" l="1"/>
  <c r="AH29" i="15" s="1"/>
  <c r="G14" i="63"/>
  <c r="N14" i="63" s="1"/>
  <c r="E30" i="63"/>
  <c r="K15" i="46" s="1"/>
  <c r="K11" i="46" l="1"/>
  <c r="K12" i="47" s="1"/>
  <c r="K12" i="46"/>
  <c r="L12" i="46"/>
  <c r="L13" i="46"/>
  <c r="K20" i="46"/>
  <c r="L20" i="46"/>
  <c r="K13" i="46"/>
  <c r="K14" i="47" s="1"/>
  <c r="G36" i="8"/>
  <c r="G32" i="8"/>
  <c r="M32" i="8" s="1"/>
  <c r="G33" i="8"/>
  <c r="G34" i="8"/>
  <c r="M34" i="8" s="1"/>
  <c r="G35" i="8"/>
  <c r="G92" i="8"/>
  <c r="I92" i="8" s="1"/>
  <c r="I96" i="8" s="1"/>
  <c r="L33" i="46" s="1"/>
  <c r="E28" i="10"/>
  <c r="E12" i="58"/>
  <c r="I12" i="58"/>
  <c r="F89" i="58" s="1"/>
  <c r="I16" i="58"/>
  <c r="I19" i="58"/>
  <c r="I22" i="58"/>
  <c r="I25" i="58"/>
  <c r="E26" i="58"/>
  <c r="E28" i="58" s="1"/>
  <c r="E89" i="58" s="1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M15" i="44"/>
  <c r="Q15" i="44" s="1"/>
  <c r="M15" i="64"/>
  <c r="Q15" i="64" s="1"/>
  <c r="M15" i="42"/>
  <c r="Q15" i="42" s="1"/>
  <c r="E36" i="48"/>
  <c r="I36" i="48" s="1"/>
  <c r="H41" i="65"/>
  <c r="G41" i="65"/>
  <c r="F41" i="65"/>
  <c r="K28" i="44"/>
  <c r="K34" i="44" s="1"/>
  <c r="C50" i="44" s="1"/>
  <c r="K34" i="64"/>
  <c r="E21" i="42"/>
  <c r="I21" i="42" s="1"/>
  <c r="L29" i="45"/>
  <c r="L35" i="45" s="1"/>
  <c r="D51" i="45" s="1"/>
  <c r="M54" i="64"/>
  <c r="L54" i="64"/>
  <c r="K54" i="64"/>
  <c r="D35" i="64"/>
  <c r="C35" i="64"/>
  <c r="K25" i="64"/>
  <c r="E21" i="64"/>
  <c r="I21" i="64" s="1"/>
  <c r="E19" i="64"/>
  <c r="E17" i="64"/>
  <c r="E15" i="64"/>
  <c r="I15" i="64" s="1"/>
  <c r="E14" i="64"/>
  <c r="M13" i="64"/>
  <c r="Q13" i="64" s="1"/>
  <c r="E13" i="64"/>
  <c r="A13" i="64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O34" i="47"/>
  <c r="L28" i="51"/>
  <c r="L34" i="51" s="1"/>
  <c r="D25" i="46"/>
  <c r="C26" i="46"/>
  <c r="D26" i="46"/>
  <c r="C14" i="47"/>
  <c r="C53" i="47"/>
  <c r="C44" i="48" s="1"/>
  <c r="F29" i="13"/>
  <c r="D53" i="47"/>
  <c r="D44" i="48" s="1"/>
  <c r="N13" i="47"/>
  <c r="O13" i="47"/>
  <c r="N12" i="47"/>
  <c r="N26" i="47" s="1"/>
  <c r="N14" i="47"/>
  <c r="O14" i="47"/>
  <c r="N34" i="47"/>
  <c r="K49" i="47"/>
  <c r="K56" i="47" s="1"/>
  <c r="L49" i="47"/>
  <c r="L56" i="47" s="1"/>
  <c r="K21" i="48"/>
  <c r="K34" i="46"/>
  <c r="AC24" i="15"/>
  <c r="AF24" i="15" s="1"/>
  <c r="AH24" i="15" s="1"/>
  <c r="AC17" i="15"/>
  <c r="AC27" i="15"/>
  <c r="AF27" i="15" s="1"/>
  <c r="AH27" i="15" s="1"/>
  <c r="E30" i="13"/>
  <c r="K30" i="13" s="1"/>
  <c r="E29" i="13"/>
  <c r="K29" i="13" s="1"/>
  <c r="E28" i="13"/>
  <c r="K28" i="13" s="1"/>
  <c r="E11" i="13"/>
  <c r="K11" i="13" s="1"/>
  <c r="G27" i="7"/>
  <c r="K27" i="7" s="1"/>
  <c r="E15" i="18"/>
  <c r="E18" i="18" s="1"/>
  <c r="F14" i="18"/>
  <c r="G14" i="18" s="1"/>
  <c r="F26" i="14"/>
  <c r="M26" i="14" s="1"/>
  <c r="G18" i="7"/>
  <c r="K18" i="7" s="1"/>
  <c r="G22" i="63"/>
  <c r="G28" i="63"/>
  <c r="G15" i="63"/>
  <c r="K79" i="13"/>
  <c r="K78" i="13"/>
  <c r="D80" i="13"/>
  <c r="E36" i="45" s="1"/>
  <c r="K76" i="13"/>
  <c r="K77" i="13"/>
  <c r="E38" i="5"/>
  <c r="I38" i="5" s="1"/>
  <c r="E26" i="5"/>
  <c r="G76" i="8"/>
  <c r="M76" i="8" s="1"/>
  <c r="E21" i="10"/>
  <c r="G32" i="7"/>
  <c r="K32" i="7" s="1"/>
  <c r="L23" i="47"/>
  <c r="L22" i="48" s="1"/>
  <c r="L11" i="46"/>
  <c r="L12" i="47" s="1"/>
  <c r="L12" i="48" s="1"/>
  <c r="E14" i="14"/>
  <c r="C20" i="47"/>
  <c r="F13" i="6"/>
  <c r="M13" i="6" s="1"/>
  <c r="G13" i="7"/>
  <c r="K13" i="7" s="1"/>
  <c r="G14" i="7"/>
  <c r="K14" i="7" s="1"/>
  <c r="K24" i="13"/>
  <c r="H23" i="13"/>
  <c r="K23" i="13" s="1"/>
  <c r="G22" i="13"/>
  <c r="K22" i="13" s="1"/>
  <c r="G19" i="13"/>
  <c r="K19" i="13" s="1"/>
  <c r="D25" i="10"/>
  <c r="D33" i="10" s="1"/>
  <c r="G77" i="8"/>
  <c r="H80" i="8"/>
  <c r="G130" i="8"/>
  <c r="G43" i="7"/>
  <c r="K43" i="7" s="1"/>
  <c r="G42" i="7"/>
  <c r="K42" i="7" s="1"/>
  <c r="D27" i="46"/>
  <c r="D28" i="47" s="1"/>
  <c r="D21" i="49" s="1"/>
  <c r="E27" i="46"/>
  <c r="I27" i="46" s="1"/>
  <c r="F14" i="6"/>
  <c r="E18" i="5"/>
  <c r="I18" i="5" s="1"/>
  <c r="I40" i="13"/>
  <c r="J40" i="13"/>
  <c r="D14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M48" i="46"/>
  <c r="F45" i="45"/>
  <c r="J45" i="45" s="1"/>
  <c r="E44" i="51"/>
  <c r="I44" i="51" s="1"/>
  <c r="E44" i="44"/>
  <c r="I44" i="44" s="1"/>
  <c r="G109" i="8"/>
  <c r="M109" i="8" s="1"/>
  <c r="D73" i="5"/>
  <c r="C72" i="5"/>
  <c r="E17" i="5"/>
  <c r="I17" i="5" s="1"/>
  <c r="K23" i="47"/>
  <c r="K22" i="48" s="1"/>
  <c r="C24" i="10"/>
  <c r="K21" i="46" s="1"/>
  <c r="E30" i="10"/>
  <c r="K28" i="51"/>
  <c r="K34" i="51" s="1"/>
  <c r="E22" i="10"/>
  <c r="E14" i="10"/>
  <c r="E18" i="10" s="1"/>
  <c r="E80" i="8"/>
  <c r="G41" i="7"/>
  <c r="K41" i="7" s="1"/>
  <c r="G40" i="7"/>
  <c r="K40" i="7" s="1"/>
  <c r="D55" i="5"/>
  <c r="C55" i="5"/>
  <c r="E13" i="5"/>
  <c r="I13" i="5" s="1"/>
  <c r="E14" i="5"/>
  <c r="I14" i="5" s="1"/>
  <c r="E15" i="5"/>
  <c r="I15" i="5" s="1"/>
  <c r="E12" i="5"/>
  <c r="I12" i="5" s="1"/>
  <c r="E29" i="5"/>
  <c r="E28" i="5"/>
  <c r="E27" i="5"/>
  <c r="E68" i="7"/>
  <c r="I71" i="56"/>
  <c r="H71" i="56"/>
  <c r="G71" i="56"/>
  <c r="F71" i="56"/>
  <c r="E71" i="56"/>
  <c r="G38" i="7"/>
  <c r="K38" i="7" s="1"/>
  <c r="H73" i="8"/>
  <c r="F73" i="8"/>
  <c r="G64" i="8"/>
  <c r="M64" i="8" s="1"/>
  <c r="G37" i="7"/>
  <c r="K37" i="7" s="1"/>
  <c r="G36" i="7"/>
  <c r="K36" i="7" s="1"/>
  <c r="G35" i="7"/>
  <c r="K35" i="7" s="1"/>
  <c r="E17" i="6"/>
  <c r="D17" i="6"/>
  <c r="D41" i="6" s="1"/>
  <c r="D55" i="6" s="1"/>
  <c r="C21" i="49"/>
  <c r="C22" i="49"/>
  <c r="O12" i="24"/>
  <c r="O13" i="24"/>
  <c r="O18" i="24"/>
  <c r="O20" i="24"/>
  <c r="A13" i="42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M13" i="42"/>
  <c r="Q13" i="42" s="1"/>
  <c r="M14" i="42"/>
  <c r="Q14" i="42" s="1"/>
  <c r="P13" i="47"/>
  <c r="K25" i="42"/>
  <c r="K54" i="42"/>
  <c r="L54" i="42"/>
  <c r="M54" i="42"/>
  <c r="A13" i="5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E13" i="51"/>
  <c r="P12" i="47"/>
  <c r="P26" i="47" s="1"/>
  <c r="E14" i="51"/>
  <c r="M14" i="51"/>
  <c r="Q14" i="51" s="1"/>
  <c r="E15" i="51"/>
  <c r="M15" i="51"/>
  <c r="Q15" i="51" s="1"/>
  <c r="E17" i="51"/>
  <c r="E19" i="51"/>
  <c r="E21" i="51"/>
  <c r="L25" i="51"/>
  <c r="C33" i="51"/>
  <c r="C35" i="51"/>
  <c r="D33" i="51"/>
  <c r="D35" i="51" s="1"/>
  <c r="L54" i="51"/>
  <c r="M54" i="51"/>
  <c r="A13" i="44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E13" i="44"/>
  <c r="M13" i="44"/>
  <c r="Q13" i="44" s="1"/>
  <c r="E14" i="44"/>
  <c r="E17" i="44"/>
  <c r="E34" i="44" s="1"/>
  <c r="I34" i="44" s="1"/>
  <c r="E19" i="44"/>
  <c r="E21" i="44"/>
  <c r="I21" i="44" s="1"/>
  <c r="L25" i="44"/>
  <c r="K54" i="44"/>
  <c r="L54" i="44"/>
  <c r="M54" i="44"/>
  <c r="M18" i="45"/>
  <c r="M26" i="45" s="1"/>
  <c r="E50" i="45" s="1"/>
  <c r="O16" i="47"/>
  <c r="G13" i="18"/>
  <c r="G15" i="18" s="1"/>
  <c r="G18" i="18" s="1"/>
  <c r="N16" i="45"/>
  <c r="R16" i="45" s="1"/>
  <c r="F11" i="14"/>
  <c r="M11" i="14" s="1"/>
  <c r="F13" i="14"/>
  <c r="M13" i="14" s="1"/>
  <c r="D14" i="14"/>
  <c r="F20" i="14"/>
  <c r="M20" i="14" s="1"/>
  <c r="D21" i="14"/>
  <c r="F21" i="14" s="1"/>
  <c r="M21" i="14" s="1"/>
  <c r="F24" i="14"/>
  <c r="F25" i="14"/>
  <c r="F27" i="14"/>
  <c r="M27" i="14" s="1"/>
  <c r="F28" i="14"/>
  <c r="D29" i="14"/>
  <c r="E29" i="14"/>
  <c r="F30" i="14"/>
  <c r="C40" i="13"/>
  <c r="D40" i="13"/>
  <c r="K75" i="13"/>
  <c r="K80" i="13" s="1"/>
  <c r="R75" i="13"/>
  <c r="C80" i="13"/>
  <c r="D22" i="45" s="1"/>
  <c r="D34" i="45" s="1"/>
  <c r="E80" i="13"/>
  <c r="F80" i="13"/>
  <c r="G80" i="13"/>
  <c r="H80" i="13"/>
  <c r="L80" i="13"/>
  <c r="M80" i="13"/>
  <c r="B14" i="45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F14" i="45"/>
  <c r="F15" i="45"/>
  <c r="F16" i="45"/>
  <c r="J16" i="45" s="1"/>
  <c r="F18" i="45"/>
  <c r="F35" i="45" s="1"/>
  <c r="J35" i="45" s="1"/>
  <c r="F20" i="45"/>
  <c r="L55" i="45"/>
  <c r="M55" i="45"/>
  <c r="N55" i="45"/>
  <c r="A11" i="46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E43" i="46"/>
  <c r="E52" i="46"/>
  <c r="G73" i="8"/>
  <c r="E73" i="8"/>
  <c r="I73" i="8"/>
  <c r="G90" i="8"/>
  <c r="M90" i="8" s="1"/>
  <c r="G101" i="8"/>
  <c r="M101" i="8" s="1"/>
  <c r="L28" i="44"/>
  <c r="L34" i="44" s="1"/>
  <c r="D50" i="44" s="1"/>
  <c r="G16" i="7"/>
  <c r="K16" i="7" s="1"/>
  <c r="G17" i="7"/>
  <c r="K17" i="7" s="1"/>
  <c r="G28" i="7"/>
  <c r="K28" i="7" s="1"/>
  <c r="G34" i="7"/>
  <c r="K34" i="7" s="1"/>
  <c r="F15" i="6"/>
  <c r="F38" i="6"/>
  <c r="D39" i="6"/>
  <c r="E39" i="6"/>
  <c r="E10" i="5"/>
  <c r="D14" i="46"/>
  <c r="E67" i="5"/>
  <c r="I67" i="5" s="1"/>
  <c r="E68" i="5"/>
  <c r="I68" i="5" s="1"/>
  <c r="E69" i="5"/>
  <c r="I69" i="5" s="1"/>
  <c r="A12" i="49"/>
  <c r="A13" i="49" s="1"/>
  <c r="A14" i="49" s="1"/>
  <c r="A15" i="49" s="1"/>
  <c r="A16" i="49" s="1"/>
  <c r="A17" i="49" s="1"/>
  <c r="A18" i="49" s="1"/>
  <c r="A19" i="49" s="1"/>
  <c r="E36" i="49"/>
  <c r="K46" i="49"/>
  <c r="L46" i="49"/>
  <c r="M46" i="49"/>
  <c r="E12" i="48"/>
  <c r="E34" i="48"/>
  <c r="C36" i="24"/>
  <c r="D36" i="24" s="1"/>
  <c r="E36" i="24" s="1"/>
  <c r="F36" i="24" s="1"/>
  <c r="G36" i="24" s="1"/>
  <c r="H36" i="24" s="1"/>
  <c r="I36" i="24" s="1"/>
  <c r="J36" i="24" s="1"/>
  <c r="K36" i="24" s="1"/>
  <c r="L36" i="24" s="1"/>
  <c r="M36" i="24" s="1"/>
  <c r="N36" i="24" s="1"/>
  <c r="D44" i="47"/>
  <c r="E44" i="47" s="1"/>
  <c r="N14" i="45"/>
  <c r="R14" i="45" s="1"/>
  <c r="K54" i="51"/>
  <c r="K34" i="42"/>
  <c r="C50" i="42" s="1"/>
  <c r="D55" i="46"/>
  <c r="C55" i="46"/>
  <c r="O12" i="47"/>
  <c r="O26" i="47" s="1"/>
  <c r="N16" i="47"/>
  <c r="O20" i="47"/>
  <c r="N20" i="47"/>
  <c r="P20" i="47"/>
  <c r="P14" i="47"/>
  <c r="P16" i="47"/>
  <c r="P34" i="47"/>
  <c r="O29" i="47"/>
  <c r="O36" i="47" s="1"/>
  <c r="N29" i="47"/>
  <c r="N36" i="47" s="1"/>
  <c r="P29" i="47"/>
  <c r="P36" i="47" s="1"/>
  <c r="K25" i="44"/>
  <c r="K25" i="51"/>
  <c r="C49" i="51" s="1"/>
  <c r="M13" i="51"/>
  <c r="Q13" i="51" s="1"/>
  <c r="L25" i="64"/>
  <c r="L25" i="42"/>
  <c r="E24" i="10"/>
  <c r="G123" i="8"/>
  <c r="G127" i="8" l="1"/>
  <c r="M123" i="8"/>
  <c r="G25" i="63"/>
  <c r="N25" i="63" s="1"/>
  <c r="N22" i="63"/>
  <c r="R80" i="13"/>
  <c r="E35" i="51"/>
  <c r="M130" i="8"/>
  <c r="I130" i="8"/>
  <c r="I35" i="8"/>
  <c r="I59" i="8" s="1"/>
  <c r="M35" i="8"/>
  <c r="F144" i="8"/>
  <c r="H33" i="8"/>
  <c r="M33" i="8"/>
  <c r="A20" i="49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H36" i="8"/>
  <c r="M36" i="8"/>
  <c r="I77" i="8"/>
  <c r="M77" i="8"/>
  <c r="E25" i="5"/>
  <c r="I25" i="5" s="1"/>
  <c r="G29" i="63"/>
  <c r="N29" i="63" s="1"/>
  <c r="N28" i="63"/>
  <c r="AF17" i="15"/>
  <c r="AH17" i="15" s="1"/>
  <c r="AC75" i="15"/>
  <c r="M49" i="47"/>
  <c r="Q48" i="46"/>
  <c r="F39" i="6"/>
  <c r="M39" i="6" s="1"/>
  <c r="M38" i="6"/>
  <c r="M14" i="6"/>
  <c r="E27" i="47"/>
  <c r="I27" i="47" s="1"/>
  <c r="O41" i="24"/>
  <c r="C41" i="24" s="1"/>
  <c r="D41" i="24" s="1"/>
  <c r="T49" i="47"/>
  <c r="G59" i="8"/>
  <c r="AF75" i="15"/>
  <c r="AH75" i="15" s="1"/>
  <c r="E84" i="7"/>
  <c r="G24" i="7"/>
  <c r="K24" i="7" s="1"/>
  <c r="D19" i="49"/>
  <c r="E41" i="6"/>
  <c r="E55" i="6" s="1"/>
  <c r="E39" i="5"/>
  <c r="I39" i="5" s="1"/>
  <c r="F29" i="14"/>
  <c r="M29" i="14" s="1"/>
  <c r="E33" i="64"/>
  <c r="I33" i="64" s="1"/>
  <c r="H34" i="8"/>
  <c r="G96" i="8"/>
  <c r="M96" i="8" s="1"/>
  <c r="D15" i="47"/>
  <c r="D75" i="5"/>
  <c r="E32" i="10"/>
  <c r="M22" i="46" s="1"/>
  <c r="Q22" i="46" s="1"/>
  <c r="G132" i="8"/>
  <c r="M132" i="8" s="1"/>
  <c r="L28" i="42"/>
  <c r="E19" i="49"/>
  <c r="I19" i="49" s="1"/>
  <c r="E25" i="46"/>
  <c r="I25" i="46" s="1"/>
  <c r="C15" i="42"/>
  <c r="C33" i="42" s="1"/>
  <c r="C35" i="42" s="1"/>
  <c r="C75" i="5"/>
  <c r="C15" i="47"/>
  <c r="E11" i="5"/>
  <c r="I11" i="5" s="1"/>
  <c r="E104" i="8"/>
  <c r="E70" i="7"/>
  <c r="E86" i="7" s="1"/>
  <c r="C19" i="49"/>
  <c r="C32" i="47"/>
  <c r="C27" i="46"/>
  <c r="C31" i="46"/>
  <c r="C12" i="46"/>
  <c r="C13" i="47"/>
  <c r="C13" i="48" s="1"/>
  <c r="E46" i="47"/>
  <c r="I46" i="47" s="1"/>
  <c r="H90" i="8"/>
  <c r="D49" i="64"/>
  <c r="C49" i="64"/>
  <c r="E35" i="64"/>
  <c r="I35" i="64" s="1"/>
  <c r="D32" i="47"/>
  <c r="D24" i="49" s="1"/>
  <c r="C56" i="5"/>
  <c r="C15" i="44"/>
  <c r="D56" i="5"/>
  <c r="D78" i="5" s="1"/>
  <c r="D15" i="44"/>
  <c r="D33" i="44" s="1"/>
  <c r="D13" i="48"/>
  <c r="M25" i="42"/>
  <c r="Q25" i="42" s="1"/>
  <c r="M25" i="51"/>
  <c r="L35" i="51"/>
  <c r="L55" i="51" s="1"/>
  <c r="H32" i="8"/>
  <c r="L21" i="46"/>
  <c r="L22" i="47" s="1"/>
  <c r="L21" i="48" s="1"/>
  <c r="C25" i="10"/>
  <c r="D31" i="46"/>
  <c r="D35" i="46" s="1"/>
  <c r="E26" i="46"/>
  <c r="I26" i="46" s="1"/>
  <c r="F17" i="6"/>
  <c r="M17" i="6" s="1"/>
  <c r="E37" i="5"/>
  <c r="I37" i="5" s="1"/>
  <c r="E55" i="5"/>
  <c r="H21" i="13"/>
  <c r="H40" i="13" s="1"/>
  <c r="D22" i="47"/>
  <c r="D18" i="48" s="1"/>
  <c r="L39" i="48"/>
  <c r="L46" i="48" s="1"/>
  <c r="D26" i="47"/>
  <c r="E28" i="47"/>
  <c r="E53" i="47"/>
  <c r="E44" i="48" s="1"/>
  <c r="K18" i="46"/>
  <c r="G63" i="8"/>
  <c r="K19" i="46"/>
  <c r="C14" i="48"/>
  <c r="K39" i="48"/>
  <c r="K46" i="48" s="1"/>
  <c r="D56" i="47"/>
  <c r="C56" i="47"/>
  <c r="M25" i="64"/>
  <c r="Q25" i="64" s="1"/>
  <c r="K35" i="64"/>
  <c r="K55" i="64" s="1"/>
  <c r="K35" i="42"/>
  <c r="K55" i="42" s="1"/>
  <c r="F80" i="8"/>
  <c r="F104" i="8" s="1"/>
  <c r="L30" i="47"/>
  <c r="L17" i="49" s="1"/>
  <c r="L29" i="46"/>
  <c r="I123" i="8"/>
  <c r="I127" i="8" s="1"/>
  <c r="L28" i="64" s="1"/>
  <c r="G108" i="8"/>
  <c r="M28" i="44"/>
  <c r="K21" i="47"/>
  <c r="K20" i="48" s="1"/>
  <c r="M20" i="46"/>
  <c r="M21" i="47" s="1"/>
  <c r="L21" i="47"/>
  <c r="L20" i="48" s="1"/>
  <c r="M25" i="44"/>
  <c r="Q25" i="44" s="1"/>
  <c r="C50" i="64"/>
  <c r="K35" i="44"/>
  <c r="K55" i="44" s="1"/>
  <c r="L35" i="44"/>
  <c r="L55" i="44" s="1"/>
  <c r="M28" i="51"/>
  <c r="M12" i="47"/>
  <c r="M23" i="47"/>
  <c r="G21" i="13"/>
  <c r="G68" i="7"/>
  <c r="L19" i="46"/>
  <c r="L14" i="47"/>
  <c r="L14" i="48" s="1"/>
  <c r="M13" i="46"/>
  <c r="Q13" i="46" s="1"/>
  <c r="M11" i="46"/>
  <c r="Q11" i="46" s="1"/>
  <c r="E55" i="46"/>
  <c r="I55" i="46" s="1"/>
  <c r="L15" i="46"/>
  <c r="D15" i="42"/>
  <c r="D33" i="42" s="1"/>
  <c r="E72" i="5"/>
  <c r="I72" i="5" s="1"/>
  <c r="C73" i="5"/>
  <c r="E33" i="51"/>
  <c r="K12" i="48"/>
  <c r="K32" i="47"/>
  <c r="K31" i="46"/>
  <c r="M56" i="47"/>
  <c r="T56" i="47" s="1"/>
  <c r="M39" i="48"/>
  <c r="I76" i="8"/>
  <c r="I80" i="8" s="1"/>
  <c r="G80" i="8"/>
  <c r="M80" i="8" s="1"/>
  <c r="K13" i="47"/>
  <c r="M12" i="46"/>
  <c r="Q12" i="46" s="1"/>
  <c r="L32" i="47"/>
  <c r="L19" i="49" s="1"/>
  <c r="L31" i="46"/>
  <c r="K35" i="47"/>
  <c r="K22" i="49" s="1"/>
  <c r="D13" i="49"/>
  <c r="C50" i="51"/>
  <c r="K35" i="51"/>
  <c r="K55" i="51" s="1"/>
  <c r="E31" i="14"/>
  <c r="D18" i="46" s="1"/>
  <c r="D34" i="46" s="1"/>
  <c r="F26" i="13"/>
  <c r="F40" i="13" s="1"/>
  <c r="D19" i="47" s="1"/>
  <c r="K14" i="48"/>
  <c r="D14" i="48"/>
  <c r="E21" i="46"/>
  <c r="I21" i="46" s="1"/>
  <c r="C22" i="47"/>
  <c r="F22" i="45"/>
  <c r="J22" i="45" s="1"/>
  <c r="D36" i="45"/>
  <c r="D31" i="14"/>
  <c r="E26" i="13"/>
  <c r="F14" i="14"/>
  <c r="M14" i="14" s="1"/>
  <c r="D49" i="51"/>
  <c r="D54" i="51" s="1"/>
  <c r="D55" i="51" s="1"/>
  <c r="E13" i="46"/>
  <c r="E14" i="47" s="1"/>
  <c r="E14" i="48" s="1"/>
  <c r="L35" i="47"/>
  <c r="L22" i="49" s="1"/>
  <c r="L34" i="46"/>
  <c r="L13" i="47"/>
  <c r="G112" i="8" l="1"/>
  <c r="M112" i="8" s="1"/>
  <c r="M108" i="8"/>
  <c r="G30" i="63"/>
  <c r="N30" i="63" s="1"/>
  <c r="G68" i="8"/>
  <c r="M68" i="8" s="1"/>
  <c r="M63" i="8"/>
  <c r="E56" i="5"/>
  <c r="I56" i="5" s="1"/>
  <c r="I55" i="5"/>
  <c r="E31" i="46"/>
  <c r="I31" i="46" s="1"/>
  <c r="G84" i="7"/>
  <c r="K84" i="7" s="1"/>
  <c r="K68" i="7"/>
  <c r="E49" i="51"/>
  <c r="I49" i="51" s="1"/>
  <c r="Q25" i="51"/>
  <c r="E32" i="47"/>
  <c r="I32" i="47" s="1"/>
  <c r="M59" i="8"/>
  <c r="G144" i="8"/>
  <c r="M144" i="8" s="1"/>
  <c r="M28" i="64"/>
  <c r="Q28" i="64" s="1"/>
  <c r="M127" i="8"/>
  <c r="C42" i="24"/>
  <c r="M34" i="51"/>
  <c r="Q28" i="51"/>
  <c r="M34" i="44"/>
  <c r="Q28" i="44"/>
  <c r="F34" i="45"/>
  <c r="M46" i="48"/>
  <c r="Q46" i="48" s="1"/>
  <c r="Q39" i="48"/>
  <c r="M22" i="48"/>
  <c r="Q22" i="48" s="1"/>
  <c r="T23" i="47"/>
  <c r="E21" i="49"/>
  <c r="I21" i="49" s="1"/>
  <c r="I28" i="47"/>
  <c r="M12" i="48"/>
  <c r="Q12" i="48" s="1"/>
  <c r="T12" i="47"/>
  <c r="H59" i="8"/>
  <c r="K28" i="46" s="1"/>
  <c r="K20" i="47"/>
  <c r="K19" i="48" s="1"/>
  <c r="L20" i="47"/>
  <c r="L19" i="48" s="1"/>
  <c r="D35" i="44"/>
  <c r="D49" i="44"/>
  <c r="E45" i="5"/>
  <c r="I45" i="5" s="1"/>
  <c r="E41" i="24"/>
  <c r="D42" i="24"/>
  <c r="C24" i="49"/>
  <c r="C54" i="64"/>
  <c r="C55" i="64" s="1"/>
  <c r="D35" i="47"/>
  <c r="C49" i="42"/>
  <c r="C54" i="42" s="1"/>
  <c r="C55" i="42" s="1"/>
  <c r="C78" i="5"/>
  <c r="L34" i="47"/>
  <c r="L21" i="49" s="1"/>
  <c r="I101" i="8"/>
  <c r="L32" i="46" s="1"/>
  <c r="H96" i="8"/>
  <c r="K33" i="46" s="1"/>
  <c r="K34" i="47" s="1"/>
  <c r="I132" i="8"/>
  <c r="M28" i="42"/>
  <c r="E26" i="47"/>
  <c r="I26" i="47" s="1"/>
  <c r="D36" i="47"/>
  <c r="E73" i="5"/>
  <c r="I73" i="5" s="1"/>
  <c r="K19" i="47"/>
  <c r="K18" i="48" s="1"/>
  <c r="G70" i="7"/>
  <c r="G83" i="7"/>
  <c r="K83" i="7" s="1"/>
  <c r="F41" i="6"/>
  <c r="E12" i="46"/>
  <c r="I12" i="46" s="1"/>
  <c r="E13" i="47"/>
  <c r="M20" i="48"/>
  <c r="O29" i="24"/>
  <c r="K51" i="46"/>
  <c r="L28" i="46"/>
  <c r="M29" i="45"/>
  <c r="N29" i="45" s="1"/>
  <c r="E49" i="64"/>
  <c r="I49" i="64" s="1"/>
  <c r="C33" i="44"/>
  <c r="E15" i="44"/>
  <c r="D36" i="46"/>
  <c r="D56" i="46" s="1"/>
  <c r="D35" i="42"/>
  <c r="E35" i="42" s="1"/>
  <c r="I35" i="42" s="1"/>
  <c r="D49" i="42"/>
  <c r="D16" i="48"/>
  <c r="G104" i="8"/>
  <c r="M104" i="8" s="1"/>
  <c r="M22" i="47"/>
  <c r="M21" i="46"/>
  <c r="Q21" i="46" s="1"/>
  <c r="C33" i="10"/>
  <c r="E25" i="10"/>
  <c r="E33" i="10" s="1"/>
  <c r="K21" i="13"/>
  <c r="D15" i="48"/>
  <c r="D18" i="49"/>
  <c r="E56" i="47"/>
  <c r="K25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K30" i="47"/>
  <c r="L34" i="64"/>
  <c r="M35" i="44"/>
  <c r="M31" i="46"/>
  <c r="Q31" i="46" s="1"/>
  <c r="G40" i="13"/>
  <c r="M19" i="46"/>
  <c r="Q19" i="46" s="1"/>
  <c r="M14" i="47"/>
  <c r="L26" i="45"/>
  <c r="D50" i="45" s="1"/>
  <c r="N18" i="45"/>
  <c r="N26" i="45" s="1"/>
  <c r="L16" i="47"/>
  <c r="L16" i="48" s="1"/>
  <c r="E15" i="42"/>
  <c r="C18" i="48"/>
  <c r="E22" i="47"/>
  <c r="I22" i="47" s="1"/>
  <c r="C54" i="51"/>
  <c r="C55" i="51" s="1"/>
  <c r="C18" i="46"/>
  <c r="C34" i="46" s="1"/>
  <c r="F31" i="14"/>
  <c r="M15" i="46"/>
  <c r="Q15" i="46" s="1"/>
  <c r="K16" i="47"/>
  <c r="K16" i="48" s="1"/>
  <c r="K13" i="48"/>
  <c r="M13" i="47"/>
  <c r="T13" i="47" s="1"/>
  <c r="K19" i="49"/>
  <c r="M19" i="49" s="1"/>
  <c r="Q19" i="49" s="1"/>
  <c r="M32" i="47"/>
  <c r="E40" i="13"/>
  <c r="K26" i="13"/>
  <c r="L13" i="48"/>
  <c r="O17" i="24"/>
  <c r="C17" i="24" s="1"/>
  <c r="D17" i="24" s="1"/>
  <c r="E24" i="49"/>
  <c r="I24" i="49" s="1"/>
  <c r="M18" i="46"/>
  <c r="M34" i="46"/>
  <c r="Q34" i="46" s="1"/>
  <c r="M35" i="47"/>
  <c r="T35" i="47" s="1"/>
  <c r="C15" i="48"/>
  <c r="E18" i="46" l="1"/>
  <c r="I18" i="46" s="1"/>
  <c r="M31" i="14"/>
  <c r="G86" i="7"/>
  <c r="K86" i="7" s="1"/>
  <c r="K70" i="7"/>
  <c r="I144" i="8"/>
  <c r="H144" i="8"/>
  <c r="M34" i="42"/>
  <c r="Q28" i="42"/>
  <c r="E33" i="42"/>
  <c r="I15" i="42"/>
  <c r="E50" i="51"/>
  <c r="Q34" i="51"/>
  <c r="M35" i="51"/>
  <c r="E33" i="44"/>
  <c r="I15" i="44"/>
  <c r="M55" i="44"/>
  <c r="Q55" i="44" s="1"/>
  <c r="Q35" i="44"/>
  <c r="E50" i="44"/>
  <c r="I50" i="44" s="1"/>
  <c r="Q34" i="44"/>
  <c r="F50" i="45"/>
  <c r="J50" i="45" s="1"/>
  <c r="R26" i="45"/>
  <c r="N35" i="45"/>
  <c r="R29" i="45"/>
  <c r="F36" i="45"/>
  <c r="J36" i="45" s="1"/>
  <c r="J34" i="45"/>
  <c r="M19" i="47"/>
  <c r="T19" i="47" s="1"/>
  <c r="Q18" i="46"/>
  <c r="M41" i="6"/>
  <c r="F55" i="6"/>
  <c r="M55" i="6" s="1"/>
  <c r="O21" i="24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I56" i="47"/>
  <c r="O27" i="24"/>
  <c r="C27" i="24" s="1"/>
  <c r="D27" i="24" s="1"/>
  <c r="E27" i="24" s="1"/>
  <c r="T14" i="47"/>
  <c r="E13" i="48"/>
  <c r="I13" i="48" s="1"/>
  <c r="I13" i="47"/>
  <c r="O37" i="24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T32" i="47"/>
  <c r="M21" i="48"/>
  <c r="Q21" i="48" s="1"/>
  <c r="T22" i="47"/>
  <c r="M20" i="47"/>
  <c r="E17" i="24"/>
  <c r="D19" i="24"/>
  <c r="C35" i="44"/>
  <c r="E35" i="44" s="1"/>
  <c r="C49" i="44"/>
  <c r="C54" i="44" s="1"/>
  <c r="D54" i="44"/>
  <c r="D55" i="44" s="1"/>
  <c r="F41" i="24"/>
  <c r="E42" i="24"/>
  <c r="C17" i="46"/>
  <c r="E17" i="46" s="1"/>
  <c r="E78" i="5"/>
  <c r="I78" i="5" s="1"/>
  <c r="E18" i="49"/>
  <c r="I18" i="49" s="1"/>
  <c r="E14" i="46"/>
  <c r="E15" i="47"/>
  <c r="I15" i="47" s="1"/>
  <c r="E75" i="5"/>
  <c r="I75" i="5" s="1"/>
  <c r="I104" i="8"/>
  <c r="K21" i="49"/>
  <c r="M34" i="47"/>
  <c r="M33" i="46"/>
  <c r="Q33" i="46" s="1"/>
  <c r="H104" i="8"/>
  <c r="L33" i="47"/>
  <c r="L20" i="49" s="1"/>
  <c r="M32" i="46"/>
  <c r="L34" i="42"/>
  <c r="O15" i="24"/>
  <c r="O19" i="24" s="1"/>
  <c r="D27" i="49"/>
  <c r="D28" i="49" s="1"/>
  <c r="L36" i="45"/>
  <c r="L56" i="45" s="1"/>
  <c r="D55" i="45"/>
  <c r="D56" i="45" s="1"/>
  <c r="D24" i="48"/>
  <c r="D26" i="48" s="1"/>
  <c r="M28" i="46"/>
  <c r="Q28" i="46" s="1"/>
  <c r="M35" i="45"/>
  <c r="M36" i="45" s="1"/>
  <c r="M56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D37" i="47"/>
  <c r="D57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L50" i="46"/>
  <c r="K29" i="46"/>
  <c r="M29" i="46" s="1"/>
  <c r="Q29" i="46" s="1"/>
  <c r="M34" i="64"/>
  <c r="K17" i="49"/>
  <c r="M17" i="49" s="1"/>
  <c r="Q17" i="49" s="1"/>
  <c r="M30" i="47"/>
  <c r="L29" i="47"/>
  <c r="L16" i="49" s="1"/>
  <c r="L35" i="46"/>
  <c r="N36" i="45"/>
  <c r="K40" i="13"/>
  <c r="M14" i="48"/>
  <c r="Q14" i="48" s="1"/>
  <c r="M16" i="47"/>
  <c r="T16" i="47" s="1"/>
  <c r="K24" i="48"/>
  <c r="K26" i="48" s="1"/>
  <c r="K26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M22" i="49"/>
  <c r="Q22" i="49" s="1"/>
  <c r="C19" i="47"/>
  <c r="C35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M13" i="48"/>
  <c r="Q13" i="48" s="1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8" i="48"/>
  <c r="I18" i="48" s="1"/>
  <c r="M25" i="46"/>
  <c r="Q25" i="46" s="1"/>
  <c r="L35" i="64"/>
  <c r="L55" i="64" s="1"/>
  <c r="D50" i="64"/>
  <c r="D54" i="64" s="1"/>
  <c r="D55" i="64" s="1"/>
  <c r="C19" i="24"/>
  <c r="E50" i="42" l="1"/>
  <c r="I50" i="42" s="1"/>
  <c r="Q34" i="42"/>
  <c r="M35" i="42"/>
  <c r="E49" i="42"/>
  <c r="I33" i="42"/>
  <c r="M35" i="64"/>
  <c r="Q34" i="64"/>
  <c r="I50" i="51"/>
  <c r="E54" i="51"/>
  <c r="M55" i="51"/>
  <c r="Q55" i="51" s="1"/>
  <c r="Q35" i="51"/>
  <c r="I35" i="44"/>
  <c r="E49" i="44"/>
  <c r="I49" i="44" s="1"/>
  <c r="I33" i="44"/>
  <c r="N56" i="45"/>
  <c r="R56" i="45" s="1"/>
  <c r="R36" i="45"/>
  <c r="F51" i="45"/>
  <c r="R35" i="45"/>
  <c r="O30" i="24"/>
  <c r="M18" i="48"/>
  <c r="Q18" i="48" s="1"/>
  <c r="M33" i="47"/>
  <c r="T33" i="47" s="1"/>
  <c r="Q32" i="46"/>
  <c r="E35" i="46"/>
  <c r="I35" i="46" s="1"/>
  <c r="I17" i="46"/>
  <c r="E34" i="46"/>
  <c r="I34" i="46" s="1"/>
  <c r="I14" i="46"/>
  <c r="O38" i="24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T34" i="47"/>
  <c r="O35" i="24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T30" i="47"/>
  <c r="M19" i="48"/>
  <c r="Q19" i="48" s="1"/>
  <c r="T20" i="47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5" i="44"/>
  <c r="G41" i="24"/>
  <c r="F42" i="24"/>
  <c r="F27" i="24"/>
  <c r="C18" i="47"/>
  <c r="C35" i="46"/>
  <c r="C36" i="46" s="1"/>
  <c r="C56" i="46" s="1"/>
  <c r="E15" i="48"/>
  <c r="I15" i="48" s="1"/>
  <c r="M21" i="49"/>
  <c r="Q21" i="49" s="1"/>
  <c r="L23" i="49"/>
  <c r="L28" i="49" s="1"/>
  <c r="L47" i="49" s="1"/>
  <c r="D50" i="42"/>
  <c r="D54" i="42" s="1"/>
  <c r="D55" i="42" s="1"/>
  <c r="L35" i="42"/>
  <c r="L55" i="42" s="1"/>
  <c r="M16" i="48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K47" i="48"/>
  <c r="E51" i="45"/>
  <c r="E55" i="45" s="1"/>
  <c r="E56" i="45" s="1"/>
  <c r="K29" i="47"/>
  <c r="K16" i="49" s="1"/>
  <c r="K23" i="49" s="1"/>
  <c r="K28" i="49" s="1"/>
  <c r="M35" i="46"/>
  <c r="O9" i="24"/>
  <c r="C9" i="24" s="1"/>
  <c r="D9" i="24" s="1"/>
  <c r="K35" i="46"/>
  <c r="K36" i="46" s="1"/>
  <c r="E50" i="64"/>
  <c r="L36" i="47"/>
  <c r="K50" i="46"/>
  <c r="K55" i="46" s="1"/>
  <c r="M26" i="47"/>
  <c r="T26" i="47" s="1"/>
  <c r="E19" i="47"/>
  <c r="C16" i="48"/>
  <c r="C24" i="48" s="1"/>
  <c r="C26" i="48" s="1"/>
  <c r="C28" i="48" s="1"/>
  <c r="M20" i="49" l="1"/>
  <c r="Q20" i="49" s="1"/>
  <c r="I49" i="42"/>
  <c r="E54" i="42"/>
  <c r="M55" i="42"/>
  <c r="Q55" i="42" s="1"/>
  <c r="Q35" i="42"/>
  <c r="M55" i="64"/>
  <c r="Q55" i="64" s="1"/>
  <c r="Q35" i="64"/>
  <c r="E54" i="64"/>
  <c r="I50" i="64"/>
  <c r="E55" i="51"/>
  <c r="I55" i="51" s="1"/>
  <c r="I54" i="51"/>
  <c r="E54" i="44"/>
  <c r="J51" i="45"/>
  <c r="F55" i="45"/>
  <c r="M36" i="46"/>
  <c r="Q36" i="46" s="1"/>
  <c r="Q35" i="46"/>
  <c r="M24" i="48"/>
  <c r="Q16" i="48"/>
  <c r="E35" i="47"/>
  <c r="I35" i="47" s="1"/>
  <c r="I19" i="47"/>
  <c r="G17" i="24"/>
  <c r="F19" i="24"/>
  <c r="H41" i="24"/>
  <c r="G42" i="24"/>
  <c r="E33" i="24"/>
  <c r="D33" i="24"/>
  <c r="G27" i="24"/>
  <c r="F33" i="24"/>
  <c r="E9" i="24"/>
  <c r="C15" i="49"/>
  <c r="C27" i="49" s="1"/>
  <c r="C36" i="47"/>
  <c r="C37" i="47" s="1"/>
  <c r="E37" i="47" s="1"/>
  <c r="E18" i="47"/>
  <c r="I18" i="47" s="1"/>
  <c r="D30" i="49"/>
  <c r="D38" i="49" s="1"/>
  <c r="D46" i="49" s="1"/>
  <c r="D47" i="49" s="1"/>
  <c r="C38" i="46"/>
  <c r="E36" i="46"/>
  <c r="C13" i="49"/>
  <c r="L51" i="46"/>
  <c r="L55" i="46" s="1"/>
  <c r="K36" i="47"/>
  <c r="K37" i="47" s="1"/>
  <c r="K57" i="47" s="1"/>
  <c r="M29" i="47"/>
  <c r="K56" i="46"/>
  <c r="M51" i="46"/>
  <c r="Q51" i="46" s="1"/>
  <c r="M50" i="46"/>
  <c r="Q50" i="46" s="1"/>
  <c r="C33" i="24"/>
  <c r="O33" i="24"/>
  <c r="K47" i="49"/>
  <c r="E16" i="48"/>
  <c r="O10" i="24"/>
  <c r="E55" i="42" l="1"/>
  <c r="I55" i="42" s="1"/>
  <c r="I54" i="42"/>
  <c r="E55" i="64"/>
  <c r="I55" i="64" s="1"/>
  <c r="I54" i="64"/>
  <c r="E55" i="44"/>
  <c r="I55" i="44" s="1"/>
  <c r="I54" i="44"/>
  <c r="F56" i="45"/>
  <c r="J56" i="45" s="1"/>
  <c r="J55" i="45"/>
  <c r="E38" i="46"/>
  <c r="I38" i="46" s="1"/>
  <c r="I36" i="46"/>
  <c r="M26" i="48"/>
  <c r="Q24" i="48"/>
  <c r="E24" i="48"/>
  <c r="I16" i="48"/>
  <c r="O34" i="24"/>
  <c r="O40" i="24" s="1"/>
  <c r="O43" i="24" s="1"/>
  <c r="T29" i="47"/>
  <c r="E57" i="47"/>
  <c r="I57" i="47" s="1"/>
  <c r="I37" i="47"/>
  <c r="H17" i="24"/>
  <c r="G19" i="24"/>
  <c r="C28" i="49"/>
  <c r="C30" i="49" s="1"/>
  <c r="C31" i="49"/>
  <c r="E29" i="48"/>
  <c r="E31" i="49" s="1"/>
  <c r="C38" i="48"/>
  <c r="C46" i="48" s="1"/>
  <c r="C47" i="48" s="1"/>
  <c r="I41" i="24"/>
  <c r="H42" i="24"/>
  <c r="H27" i="24"/>
  <c r="G33" i="24"/>
  <c r="F9" i="24"/>
  <c r="E15" i="49"/>
  <c r="E36" i="47"/>
  <c r="I36" i="47" s="1"/>
  <c r="C57" i="47"/>
  <c r="E56" i="46"/>
  <c r="I56" i="46" s="1"/>
  <c r="E13" i="49"/>
  <c r="M16" i="49"/>
  <c r="C39" i="47"/>
  <c r="M36" i="47"/>
  <c r="M55" i="46"/>
  <c r="C10" i="24"/>
  <c r="D10" i="24" s="1"/>
  <c r="O14" i="24"/>
  <c r="O22" i="24" s="1"/>
  <c r="M56" i="46" l="1"/>
  <c r="Q56" i="46" s="1"/>
  <c r="Q55" i="46"/>
  <c r="C34" i="24"/>
  <c r="D34" i="24" s="1"/>
  <c r="D40" i="24" s="1"/>
  <c r="D43" i="24" s="1"/>
  <c r="M23" i="49"/>
  <c r="Q16" i="49"/>
  <c r="E27" i="49"/>
  <c r="I27" i="49" s="1"/>
  <c r="I15" i="49"/>
  <c r="Q26" i="48"/>
  <c r="M47" i="48"/>
  <c r="Q47" i="48" s="1"/>
  <c r="E26" i="48"/>
  <c r="I24" i="48"/>
  <c r="M37" i="47"/>
  <c r="M57" i="47" s="1"/>
  <c r="T36" i="47"/>
  <c r="I17" i="24"/>
  <c r="H19" i="24"/>
  <c r="C38" i="49"/>
  <c r="C46" i="49" s="1"/>
  <c r="C47" i="49" s="1"/>
  <c r="J41" i="24"/>
  <c r="I42" i="24"/>
  <c r="E34" i="24"/>
  <c r="E10" i="24"/>
  <c r="D14" i="24"/>
  <c r="D22" i="24" s="1"/>
  <c r="I27" i="24"/>
  <c r="H33" i="24"/>
  <c r="G9" i="24"/>
  <c r="C14" i="24"/>
  <c r="C22" i="24" s="1"/>
  <c r="C40" i="24" l="1"/>
  <c r="C43" i="24" s="1"/>
  <c r="E28" i="49"/>
  <c r="M28" i="49"/>
  <c r="Q23" i="49"/>
  <c r="E28" i="48"/>
  <c r="I26" i="48"/>
  <c r="E59" i="47"/>
  <c r="T57" i="47"/>
  <c r="E39" i="47"/>
  <c r="T37" i="47"/>
  <c r="J17" i="24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Q28" i="49" l="1"/>
  <c r="M47" i="49"/>
  <c r="Q47" i="49" s="1"/>
  <c r="E30" i="49"/>
  <c r="I28" i="49"/>
  <c r="I28" i="48"/>
  <c r="E38" i="48"/>
  <c r="K17" i="24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E38" i="49" l="1"/>
  <c r="I30" i="49"/>
  <c r="E46" i="48"/>
  <c r="I38" i="48"/>
  <c r="L17" i="24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86" i="7"/>
  <c r="L18" i="46"/>
  <c r="L19" i="47" s="1"/>
  <c r="E46" i="49" l="1"/>
  <c r="I38" i="49"/>
  <c r="E47" i="48"/>
  <c r="I47" i="48" s="1"/>
  <c r="I46" i="48"/>
  <c r="M17" i="24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L18" i="48"/>
  <c r="L24" i="48" s="1"/>
  <c r="L26" i="48" s="1"/>
  <c r="L26" i="47"/>
  <c r="L37" i="47" s="1"/>
  <c r="L25" i="46"/>
  <c r="L36" i="46" s="1"/>
  <c r="I46" i="49" l="1"/>
  <c r="E47" i="49"/>
  <c r="I47" i="49" s="1"/>
  <c r="N17" i="24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L47" i="48"/>
  <c r="D28" i="48"/>
  <c r="D38" i="48" s="1"/>
  <c r="D46" i="48" s="1"/>
  <c r="D47" i="48" s="1"/>
  <c r="L56" i="46"/>
  <c r="D38" i="46"/>
  <c r="D39" i="47"/>
  <c r="L57" i="47"/>
  <c r="E144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<sst xmlns="http://schemas.openxmlformats.org/spreadsheetml/2006/main" count="4872" uniqueCount="2093">
  <si>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</si>
  <si>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</si>
  <si>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</si>
  <si>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</si>
  <si>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</si>
  <si>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</si>
  <si>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</si>
  <si>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</si>
  <si>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</si>
  <si>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</si>
  <si>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</si>
  <si>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</si>
  <si>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</si>
  <si>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</si>
  <si>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</si>
  <si>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</si>
  <si>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</si>
  <si>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</si>
  <si>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</si>
  <si>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</si>
  <si>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</si>
  <si>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</si>
  <si>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</si>
  <si>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</si>
  <si>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</si>
  <si>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</si>
  <si>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</si>
  <si>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</si>
  <si>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</si>
  <si>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</si>
  <si>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</si>
  <si>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</si>
  <si>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</si>
  <si>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</si>
  <si>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</si>
  <si>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</si>
  <si>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</si>
  <si>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</si>
  <si>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</si>
  <si>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</si>
  <si>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</si>
  <si>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</si>
  <si>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</si>
  <si>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</si>
  <si>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</si>
  <si>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</si>
  <si>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</si>
  <si>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</si>
  <si>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</si>
  <si>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</si>
  <si>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</si>
  <si>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</si>
  <si>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</si>
  <si>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</si>
  <si>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</si>
  <si>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</si>
  <si>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</si>
  <si>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</si>
  <si>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</si>
  <si>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</si>
  <si>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</si>
  <si>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</si>
  <si>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</si>
  <si>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</si>
  <si>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</si>
  <si>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</si>
  <si>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</si>
  <si>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</si>
  <si>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</si>
  <si>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</si>
  <si>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</si>
  <si>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</si>
  <si>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</si>
  <si>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</si>
  <si>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</si>
  <si>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</si>
  <si>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</si>
  <si>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</si>
  <si>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</si>
  <si>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</si>
  <si>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</si>
  <si>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</si>
  <si>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</si>
  <si>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</si>
  <si>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</si>
  <si>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</si>
  <si>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</si>
  <si>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</si>
  <si>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</si>
  <si>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</si>
  <si>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</si>
  <si>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</si>
  <si>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</si>
  <si>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</si>
  <si>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</si>
  <si>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</si>
  <si>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</si>
  <si>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</si>
  <si>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</si>
  <si>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</si>
  <si>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</si>
  <si>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</si>
  <si>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</si>
  <si>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</si>
  <si>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</si>
  <si>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</si>
  <si>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</si>
  <si>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</si>
  <si>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</si>
  <si>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</si>
  <si>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</si>
  <si>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</si>
  <si>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</si>
  <si>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</si>
  <si>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</si>
  <si>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</si>
  <si>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</si>
  <si>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</si>
  <si>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</si>
  <si>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</si>
  <si>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</si>
  <si>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</si>
  <si>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</si>
  <si>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</si>
  <si>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</si>
  <si>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</si>
  <si>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</si>
  <si>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</si>
  <si>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</si>
  <si>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</si>
  <si>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</si>
  <si>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</si>
  <si>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</si>
  <si>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</si>
  <si>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</si>
  <si>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</si>
  <si>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</si>
  <si>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</si>
  <si>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</si>
  <si>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</si>
  <si>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</si>
  <si>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</si>
  <si>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</si>
  <si>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</si>
  <si>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</si>
  <si>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</si>
  <si>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</si>
  <si>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</si>
  <si>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</si>
  <si>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</si>
  <si>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</si>
  <si>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</si>
  <si>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</si>
  <si>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</si>
  <si>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</si>
  <si>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</si>
  <si>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</si>
  <si>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</si>
  <si>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</si>
  <si>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</si>
  <si>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</si>
  <si>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</si>
  <si>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</si>
  <si>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</si>
  <si>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</si>
  <si>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</si>
  <si>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</si>
  <si>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</si>
  <si>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</si>
  <si>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</si>
  <si>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</si>
  <si>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</si>
  <si>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</si>
  <si>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</si>
  <si>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</si>
  <si>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</si>
  <si>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</si>
  <si>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</si>
  <si>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</si>
  <si>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</si>
  <si>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</si>
  <si>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</si>
  <si>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</si>
  <si>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</si>
  <si>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</si>
  <si>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</si>
  <si>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</si>
  <si>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</si>
  <si>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</si>
  <si>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</si>
  <si>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</si>
  <si>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</si>
  <si>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</si>
  <si>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</si>
  <si>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</si>
  <si>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</si>
  <si>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</si>
  <si>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</si>
  <si>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</si>
  <si>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</si>
  <si>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</si>
  <si>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</si>
  <si>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</si>
  <si>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</si>
  <si>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</si>
  <si>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</si>
  <si>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</si>
  <si>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</si>
  <si>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</si>
  <si>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</si>
  <si>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</si>
  <si>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</si>
  <si>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</si>
  <si>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</si>
  <si>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</si>
  <si>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</si>
  <si>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</si>
  <si>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</si>
  <si>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</si>
  <si>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</si>
  <si>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</si>
  <si>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</si>
  <si>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</si>
  <si>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</si>
  <si>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</si>
  <si>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</si>
  <si>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</si>
  <si>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</si>
  <si>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</si>
  <si>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</si>
  <si>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</si>
  <si>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</si>
  <si>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</si>
  <si>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</si>
  <si>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</si>
  <si>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</si>
  <si>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</si>
  <si>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</si>
  <si>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</si>
  <si>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</si>
  <si>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</si>
  <si>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</si>
  <si>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</si>
  <si>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</si>
  <si>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</si>
  <si>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</si>
  <si>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</si>
  <si>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</si>
  <si>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</si>
  <si>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</si>
  <si>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</si>
  <si>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</si>
  <si>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</si>
  <si>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</si>
  <si>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</si>
  <si>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</si>
  <si>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</si>
  <si>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</si>
  <si>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</si>
  <si>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</si>
  <si>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</si>
  <si>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</si>
  <si>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</si>
  <si>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</si>
  <si>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</si>
  <si>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</si>
  <si>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</si>
  <si>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</si>
  <si>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</si>
  <si>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</si>
  <si>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</si>
  <si>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</si>
  <si>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</si>
  <si>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</si>
  <si>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</si>
  <si>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</si>
  <si>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</si>
  <si>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</si>
  <si>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</si>
  <si>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</si>
  <si>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</si>
  <si>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</si>
  <si>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</si>
  <si>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</si>
  <si>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</si>
  <si>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</si>
  <si>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</si>
  <si>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</si>
  <si>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</si>
  <si>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</si>
  <si>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</si>
  <si>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</si>
  <si>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</si>
  <si>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</si>
  <si>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</si>
  <si>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</si>
  <si>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</si>
  <si>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</si>
  <si>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</si>
  <si>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</si>
  <si>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</si>
  <si>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</si>
  <si>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</si>
  <si>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</si>
  <si>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</si>
  <si>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</si>
  <si>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</si>
  <si>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</si>
  <si>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</si>
  <si>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</si>
  <si>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</si>
  <si>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</si>
  <si>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</si>
  <si>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</si>
  <si>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</si>
  <si>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</si>
  <si>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</si>
  <si>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</si>
  <si>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</si>
  <si>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</si>
  <si>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</si>
  <si>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</si>
  <si>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</si>
  <si>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</si>
  <si>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</si>
  <si>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</si>
  <si>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</si>
  <si>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</si>
  <si>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</si>
  <si>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</si>
  <si>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</si>
  <si>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</si>
  <si>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</si>
  <si>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</si>
  <si>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</si>
  <si>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</si>
  <si>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</si>
  <si>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</si>
  <si>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</si>
  <si>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</si>
  <si>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</si>
  <si>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</si>
  <si>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</si>
  <si>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</si>
  <si>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</si>
  <si>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</si>
  <si>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</si>
  <si>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</si>
  <si>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</si>
  <si>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</si>
  <si>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</si>
  <si>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</si>
  <si>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</si>
  <si>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</si>
  <si>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</si>
  <si>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</si>
  <si>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</si>
  <si>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</si>
  <si>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</si>
  <si>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</si>
  <si>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</si>
  <si>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</si>
  <si>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</si>
  <si>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</si>
  <si>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</si>
  <si>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</si>
  <si>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</si>
  <si>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</si>
  <si>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</si>
  <si>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</si>
  <si>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</si>
  <si>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</si>
  <si>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</si>
  <si>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</si>
  <si>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</si>
  <si>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</si>
  <si>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</si>
  <si>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</si>
  <si>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</si>
  <si>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</si>
  <si>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</si>
  <si>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</si>
  <si>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</si>
  <si>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</si>
  <si>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</si>
  <si>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</si>
  <si>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</si>
  <si>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</si>
  <si>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</si>
  <si>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</si>
  <si>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</si>
  <si>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</si>
  <si>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</si>
  <si>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</si>
  <si>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</si>
  <si>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</si>
  <si>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</si>
  <si>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</si>
  <si>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</si>
  <si>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</si>
  <si>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</si>
  <si>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</si>
  <si>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</si>
  <si>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</si>
  <si>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</si>
  <si>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</si>
  <si>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</si>
  <si>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</si>
  <si>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</si>
  <si>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</si>
  <si>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</si>
  <si>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</si>
  <si>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</si>
  <si>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</si>
  <si>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</si>
  <si>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</si>
  <si>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</si>
  <si>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</si>
  <si>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</si>
  <si>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</si>
  <si>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</si>
  <si>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</si>
  <si>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</si>
  <si>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</si>
  <si>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</si>
  <si>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</si>
  <si>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</si>
  <si>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</si>
  <si>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</si>
  <si>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</si>
  <si>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</si>
  <si>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</si>
  <si>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</si>
  <si>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</si>
  <si>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</si>
  <si>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</si>
  <si>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</si>
  <si>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</si>
  <si>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</si>
  <si>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</si>
  <si>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</si>
  <si>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</si>
  <si>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</si>
  <si>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</si>
  <si>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</si>
  <si>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</si>
  <si>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</si>
  <si>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</si>
  <si>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</si>
  <si>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</si>
  <si>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</si>
  <si>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</si>
  <si>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</si>
  <si>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</si>
  <si>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</si>
  <si>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</si>
  <si>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</si>
  <si>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</si>
  <si>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</si>
  <si>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</si>
  <si>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</si>
  <si>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</si>
  <si>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</si>
  <si>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</si>
  <si>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</si>
  <si>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</si>
  <si>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</si>
  <si>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</si>
  <si>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</si>
  <si>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</si>
  <si>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</si>
  <si>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</si>
  <si>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</si>
  <si>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</si>
  <si>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</si>
  <si>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</si>
  <si>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</si>
  <si>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</si>
  <si>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</si>
  <si>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</si>
  <si>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</si>
  <si>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</si>
  <si>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</si>
  <si>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</si>
  <si>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</si>
  <si>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</si>
  <si>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</si>
  <si>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</si>
  <si>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</si>
  <si>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</si>
  <si>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</si>
  <si>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</si>
  <si>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</si>
  <si>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</si>
  <si>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</si>
  <si>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</si>
  <si>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</si>
  <si>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</si>
  <si>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</si>
  <si>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</si>
  <si>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</si>
  <si>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</si>
  <si>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</si>
  <si>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</si>
  <si>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</si>
  <si>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</si>
  <si>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</si>
  <si>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</si>
  <si>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</si>
  <si>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</si>
  <si>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</si>
  <si>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</si>
  <si>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</si>
  <si>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</si>
  <si>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</si>
  <si>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</si>
  <si>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</si>
  <si>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</si>
  <si>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</si>
  <si>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</si>
  <si>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</si>
  <si>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</si>
  <si>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</si>
  <si>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</si>
  <si>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</si>
  <si>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</si>
  <si>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</si>
  <si>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</si>
  <si>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</si>
  <si>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</si>
  <si>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</si>
  <si>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</si>
  <si>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</si>
  <si>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</si>
  <si>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</si>
  <si>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</si>
  <si>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</si>
  <si>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</si>
  <si>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</si>
  <si>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</si>
  <si>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</si>
  <si>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</si>
  <si>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</si>
  <si>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</si>
  <si>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</si>
  <si>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</si>
  <si>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</si>
  <si>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</si>
  <si>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</si>
  <si>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</si>
  <si>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</si>
  <si>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</si>
  <si>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</si>
  <si>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</si>
  <si>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</si>
  <si>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</si>
  <si>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</si>
  <si>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</si>
  <si>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</si>
  <si>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</si>
  <si>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</si>
  <si>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</si>
  <si>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</si>
  <si>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</si>
  <si>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</si>
  <si>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</si>
  <si>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</si>
  <si>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</si>
  <si>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</si>
  <si>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</si>
  <si>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</si>
  <si>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</si>
  <si>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</si>
  <si>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</si>
  <si>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</si>
  <si>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</si>
  <si>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</si>
  <si>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</si>
  <si>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</si>
  <si>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</si>
  <si>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</si>
  <si>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</si>
  <si>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</si>
  <si>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</si>
  <si>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</si>
  <si>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</si>
  <si>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</si>
  <si>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</si>
  <si>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</si>
  <si>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</si>
  <si>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</si>
  <si>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</si>
  <si>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</si>
  <si>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</si>
  <si>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</si>
  <si>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</si>
  <si>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</si>
  <si>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</si>
  <si>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</si>
  <si>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</si>
  <si>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</si>
  <si>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</si>
  <si>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</si>
  <si>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</si>
  <si>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</si>
  <si>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</si>
  <si>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</si>
  <si>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</si>
  <si>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</si>
  <si>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</si>
  <si>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</si>
  <si>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</si>
  <si>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</si>
  <si>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</si>
  <si>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</si>
  <si>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</si>
  <si>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</si>
  <si>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</si>
  <si>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</si>
  <si>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</si>
  <si>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</si>
  <si>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</si>
  <si>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</si>
  <si>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</si>
  <si>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</si>
  <si>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</si>
  <si>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</si>
  <si>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</si>
  <si>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</si>
  <si>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</si>
  <si>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</si>
  <si>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</si>
  <si>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</si>
  <si>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</si>
  <si>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</si>
  <si>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</si>
  <si>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</si>
  <si>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</si>
  <si>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</si>
  <si>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</si>
  <si>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</si>
  <si>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</si>
  <si>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</si>
  <si>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</si>
  <si>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</si>
  <si>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</si>
  <si>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</si>
  <si>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</si>
  <si>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</si>
  <si>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</si>
  <si>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</si>
  <si>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</si>
  <si>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</si>
  <si>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</si>
  <si>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</si>
  <si>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</si>
  <si>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</si>
  <si>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</si>
  <si>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</si>
  <si>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</si>
  <si>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</si>
  <si>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</si>
  <si>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</si>
  <si>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</si>
  <si>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</si>
  <si>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</si>
  <si>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</si>
  <si>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</si>
  <si>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</si>
  <si>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Takarítónő, mosónő</t>
  </si>
  <si>
    <t>GAMESZ összesen:</t>
  </si>
  <si>
    <t xml:space="preserve">Teréz Anya Szociális Integrált Intézmény**  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</si>
  <si>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</si>
  <si>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</si>
  <si>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</si>
  <si>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</si>
  <si>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</si>
  <si>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</si>
  <si>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</si>
  <si>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</si>
  <si>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</si>
  <si>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</si>
  <si>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</si>
  <si>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</si>
  <si>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</si>
  <si>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</si>
  <si>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</si>
  <si>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</si>
  <si>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</si>
  <si>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</si>
  <si>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</si>
  <si>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</si>
  <si>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</si>
  <si>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</si>
  <si>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</si>
  <si>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</si>
  <si>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</si>
  <si>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</si>
  <si>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</si>
  <si>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</si>
  <si>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</si>
  <si>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</si>
  <si>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</si>
  <si>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</si>
  <si>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</si>
  <si>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</si>
  <si>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</si>
  <si>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</si>
  <si>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</si>
  <si>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</si>
  <si>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</si>
  <si>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</si>
  <si>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</si>
  <si>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</si>
  <si>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16/2012. (III.28.) önk.r.</t>
  </si>
  <si>
    <t>Helyi díjak és kitüntetések</t>
  </si>
  <si>
    <t>32/2014.(IX.25.) önk.r.</t>
  </si>
  <si>
    <t>Közoktatásért díjak, kitüntetések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</si>
  <si>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</si>
  <si>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</si>
  <si>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</si>
  <si>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</si>
  <si>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</si>
  <si>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</si>
  <si>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</si>
  <si>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</si>
  <si>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</si>
  <si>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</si>
  <si>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</si>
  <si>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</si>
  <si>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</si>
  <si>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</si>
  <si>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</si>
  <si>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</si>
  <si>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dr Gelencsér Anita - Parkolási Iroda bírságbehajtás</t>
  </si>
  <si>
    <t>Flavius Üzletház Társasház - közös ktg.</t>
  </si>
  <si>
    <t>Maraton Lapcsoport - Hévíz Forrás időszaki lap előállítása</t>
  </si>
  <si>
    <t>SZO/189-1/2015</t>
  </si>
  <si>
    <t>BMA Tanácsadó és Szolg. Bt - pénzügyi-számviteli tanácsadás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</si>
  <si>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</si>
  <si>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</si>
  <si>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</si>
  <si>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</si>
  <si>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</si>
  <si>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KGO/153-8/2015</t>
  </si>
  <si>
    <t>KGO/201-9/2015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</si>
  <si>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</si>
  <si>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</si>
  <si>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</si>
  <si>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</si>
  <si>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</si>
  <si>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</si>
  <si>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</si>
  <si>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</si>
  <si>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</si>
  <si>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</si>
  <si>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</si>
  <si>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</si>
  <si>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</si>
  <si>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</si>
  <si>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</si>
  <si>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</si>
  <si>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</si>
  <si>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</si>
  <si>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</si>
  <si>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</si>
  <si>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</si>
  <si>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</si>
  <si>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</si>
  <si>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</si>
  <si>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</si>
  <si>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</si>
  <si>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</si>
  <si>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</si>
  <si>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</si>
  <si>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</si>
  <si>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</si>
  <si>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</si>
  <si>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</si>
  <si>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</si>
  <si>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</si>
  <si>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</si>
  <si>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</si>
  <si>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</si>
  <si>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</si>
  <si>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</si>
  <si>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</si>
  <si>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</si>
  <si>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</si>
  <si>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</si>
  <si>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</si>
  <si>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</si>
  <si>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</si>
  <si>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</si>
  <si>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</si>
  <si>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</si>
  <si>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</si>
  <si>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</si>
  <si>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</si>
  <si>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</si>
  <si>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</si>
  <si>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</si>
  <si>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</si>
  <si>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</si>
  <si>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</si>
  <si>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</si>
  <si>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</si>
  <si>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</si>
  <si>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</si>
  <si>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</si>
  <si>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</si>
  <si>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</si>
  <si>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</si>
  <si>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</si>
  <si>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</si>
  <si>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</si>
  <si>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</si>
  <si>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</si>
  <si>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</si>
  <si>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</si>
  <si>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</si>
  <si>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</si>
  <si>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</si>
  <si>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</si>
  <si>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</si>
  <si>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</si>
  <si>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</si>
  <si>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</si>
  <si>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</si>
  <si>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</si>
  <si>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</si>
  <si>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</si>
  <si>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</si>
  <si>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</si>
  <si>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</si>
  <si>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</si>
  <si>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</si>
  <si>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</si>
  <si>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</si>
  <si>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</si>
  <si>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</si>
  <si>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</si>
  <si>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</si>
  <si>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</si>
  <si>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</si>
  <si>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</si>
  <si>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</si>
  <si>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</si>
  <si>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</si>
  <si>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</si>
  <si>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</si>
  <si>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</si>
  <si>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</si>
  <si>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</si>
  <si>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</si>
  <si>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</si>
  <si>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</si>
  <si>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</si>
  <si>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</si>
  <si>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</si>
  <si>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</si>
  <si>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</si>
  <si>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</si>
  <si>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</si>
  <si>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</si>
  <si>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</si>
  <si>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</si>
  <si>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</si>
  <si>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</si>
  <si>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</si>
  <si>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</si>
  <si>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</si>
  <si>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</si>
  <si>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</si>
  <si>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</si>
  <si>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</si>
  <si>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</si>
  <si>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</si>
  <si>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</si>
  <si>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</si>
  <si>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</si>
  <si>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</si>
  <si>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</si>
  <si>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</si>
  <si>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</si>
  <si>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</si>
  <si>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</si>
  <si>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</si>
  <si>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</si>
  <si>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</si>
  <si>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</si>
  <si>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</si>
  <si>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</si>
  <si>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</si>
  <si>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</si>
  <si>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</si>
  <si>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</si>
  <si>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</si>
  <si>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</si>
  <si>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</si>
  <si>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</si>
  <si>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</si>
  <si>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</si>
  <si>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</si>
  <si>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</si>
  <si>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</si>
  <si>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</si>
  <si>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</si>
  <si>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</si>
  <si>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</si>
  <si>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</si>
  <si>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</si>
  <si>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</si>
  <si>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</si>
  <si>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</si>
  <si>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</si>
  <si>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</si>
  <si>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</si>
  <si>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</si>
  <si>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</si>
  <si>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</si>
  <si>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</si>
  <si>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</si>
  <si>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</si>
  <si>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</si>
  <si>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</si>
  <si>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</si>
  <si>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</si>
  <si>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</si>
  <si>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</si>
  <si>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</si>
  <si>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</si>
  <si>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</si>
  <si>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</si>
  <si>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</si>
  <si>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</si>
  <si>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</si>
  <si>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</si>
  <si>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</si>
  <si>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</si>
  <si>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</si>
  <si>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</si>
  <si>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</si>
  <si>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</si>
  <si>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</si>
  <si>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</si>
  <si>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</si>
  <si>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</si>
  <si>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</si>
  <si>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</si>
  <si>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</si>
  <si>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</si>
  <si>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</si>
  <si>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</si>
  <si>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</si>
  <si>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</si>
  <si>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</si>
  <si>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</si>
  <si>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</si>
  <si>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>505102 Nemzetközi kapcsolatok</t>
  </si>
  <si>
    <t>505102 Nagyköveti program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</si>
  <si>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</si>
  <si>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</si>
  <si>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</si>
  <si>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</si>
  <si>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</si>
  <si>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</si>
  <si>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</si>
  <si>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</si>
  <si>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</si>
  <si>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</si>
  <si>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</si>
  <si>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</si>
  <si>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</si>
  <si>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</si>
  <si>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</si>
  <si>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</si>
  <si>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</si>
  <si>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</si>
  <si>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</si>
  <si>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</si>
  <si>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</si>
  <si>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</si>
  <si>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</si>
  <si>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</si>
  <si>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</si>
  <si>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</si>
  <si>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</si>
  <si>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</si>
  <si>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</si>
  <si>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</si>
  <si>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</si>
  <si>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</si>
  <si>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</si>
  <si>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</si>
  <si>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</si>
  <si>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</si>
  <si>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</si>
  <si>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</si>
  <si>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</si>
  <si>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</si>
  <si>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</si>
  <si>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</si>
  <si>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</si>
  <si>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</si>
  <si>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</si>
  <si>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</si>
  <si>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</si>
  <si>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</si>
  <si>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</si>
  <si>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</si>
  <si>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</si>
  <si>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</si>
  <si>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</si>
  <si>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</si>
  <si>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</si>
  <si>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</si>
  <si>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</si>
  <si>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</si>
  <si>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</si>
  <si>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</si>
  <si>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</si>
  <si>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</si>
  <si>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</si>
  <si>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</si>
  <si>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</si>
  <si>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</si>
  <si>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</si>
  <si>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</si>
  <si>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</si>
  <si>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</si>
  <si>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</si>
  <si>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</si>
  <si>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</si>
  <si>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</si>
  <si>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</si>
  <si>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</si>
  <si>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>Cserna-Szabó András - Hévíz Folyóirat főszerkesztői  feladatok ellátása</t>
  </si>
  <si>
    <t>2017.02.25+3év</t>
  </si>
  <si>
    <t>SZO/492-1/2017</t>
  </si>
  <si>
    <t>Lukács Péter Dániel - városi rendezvényekről sajtó fotó készités</t>
  </si>
  <si>
    <t>KGO/217-14/2017</t>
  </si>
  <si>
    <t>CIB Bank Zrt - Önk.Infr.Fejl.Program 2020 - hitel</t>
  </si>
  <si>
    <t>Dr. Farkas Ügyvédi Iroda</t>
  </si>
  <si>
    <t>EMoGÁ Kft</t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</si>
  <si>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</si>
  <si>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</si>
  <si>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</si>
  <si>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</si>
  <si>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</si>
  <si>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</si>
  <si>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</si>
  <si>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</si>
  <si>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</si>
  <si>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</si>
  <si>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</si>
  <si>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</si>
  <si>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</si>
  <si>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</si>
  <si>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</si>
  <si>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</si>
  <si>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</si>
  <si>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</si>
  <si>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</si>
  <si>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</si>
  <si>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</si>
  <si>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</si>
  <si>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</si>
  <si>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</si>
  <si>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</si>
  <si>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</si>
  <si>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</si>
  <si>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</si>
  <si>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</si>
  <si>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</si>
  <si>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</si>
  <si>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</si>
  <si>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</si>
  <si>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</si>
  <si>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</si>
  <si>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</si>
  <si>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</si>
  <si>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</si>
  <si>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</si>
  <si>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</si>
  <si>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</si>
  <si>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</si>
  <si>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</si>
  <si>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</si>
  <si>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</si>
  <si>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</si>
  <si>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</si>
  <si>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</si>
  <si>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</si>
  <si>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</si>
  <si>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</si>
  <si>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</si>
  <si>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</si>
  <si>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</si>
  <si>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</si>
  <si>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</si>
  <si>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</si>
  <si>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</si>
  <si>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</si>
  <si>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</si>
  <si>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</si>
  <si>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</si>
  <si>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</si>
  <si>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</si>
  <si>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</si>
  <si>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</si>
  <si>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</si>
  <si>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</si>
  <si>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</si>
  <si>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</si>
  <si>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</si>
  <si>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</si>
  <si>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</si>
  <si>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</si>
  <si>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</si>
  <si>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</si>
  <si>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</si>
  <si>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</si>
  <si>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</si>
  <si>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</si>
  <si>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</si>
  <si>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</si>
  <si>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</si>
  <si>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</si>
  <si>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</si>
  <si>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</si>
  <si>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</si>
  <si>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</si>
  <si>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</si>
  <si>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</si>
  <si>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</si>
  <si>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</si>
  <si>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</si>
  <si>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</si>
  <si>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</si>
  <si>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</si>
  <si>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</si>
  <si>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</si>
  <si>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</si>
  <si>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</si>
  <si>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</si>
  <si>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</si>
  <si>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</si>
  <si>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</si>
  <si>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</si>
  <si>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</si>
  <si>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</si>
  <si>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</si>
  <si>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</si>
  <si>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</si>
  <si>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</si>
  <si>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</si>
  <si>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</si>
  <si>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</si>
  <si>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</si>
  <si>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</si>
  <si>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</si>
  <si>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</si>
  <si>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</si>
  <si>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</si>
  <si>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</si>
  <si>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</si>
  <si>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</si>
  <si>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</si>
  <si>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</si>
  <si>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</si>
  <si>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</si>
  <si>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</si>
  <si>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</si>
  <si>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</si>
  <si>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</si>
  <si>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</si>
  <si>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</si>
  <si>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</si>
  <si>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</si>
  <si>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</si>
  <si>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</si>
  <si>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</si>
  <si>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</si>
  <si>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</si>
  <si>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</si>
  <si>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</si>
  <si>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</si>
  <si>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</si>
  <si>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</si>
  <si>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</si>
  <si>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</si>
  <si>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</si>
  <si>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</si>
  <si>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</si>
  <si>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</si>
  <si>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</si>
  <si>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</si>
  <si>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</si>
  <si>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</si>
  <si>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</si>
  <si>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</si>
  <si>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</si>
  <si>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</si>
  <si>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</si>
  <si>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</si>
  <si>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</si>
  <si>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</si>
  <si>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</si>
  <si>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</si>
  <si>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</si>
  <si>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</si>
  <si>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</si>
  <si>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</si>
  <si>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1/3. melléklete  </t>
  </si>
  <si>
    <t>6/2019. (II. 1.) önkormányzati rendelet 4. melléklete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</si>
  <si>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</si>
  <si>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</si>
  <si>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</si>
  <si>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</si>
  <si>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</si>
  <si>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</si>
  <si>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</si>
  <si>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Takarítónő orvosi rendelő</t>
  </si>
  <si>
    <t>TASZII</t>
  </si>
  <si>
    <t>Önkormányzat és intézményei által biztosított közvetett támogatás</t>
  </si>
  <si>
    <t>Önkormányzat:</t>
  </si>
  <si>
    <t>Idősek szakosított ellátása esetében méltányossági okból biztosítottközvetett támogatás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</si>
  <si>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</si>
  <si>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</si>
  <si>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</si>
  <si>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</si>
  <si>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</si>
  <si>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</si>
  <si>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</si>
  <si>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</si>
  <si>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</si>
  <si>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</si>
  <si>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</si>
  <si>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</si>
  <si>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>Szántó András ev. (Dr. Szántó Endre: "Hévíz története" III-IV. kötet)</t>
  </si>
  <si>
    <t>Dr. Szarka Lajos: Hévíz Beadeker</t>
  </si>
  <si>
    <t>"Hévíz - Balaton  Airport Elezete Tanulmány</t>
  </si>
  <si>
    <t>9/1.</t>
  </si>
  <si>
    <t>9/2.</t>
  </si>
  <si>
    <t>" Hévíz - Balaton Airport légi járműmozgási területén repülőtéri burkolati jelekújrafestése"</t>
  </si>
  <si>
    <t>Hévíz, 1088/6. hrsz-ú, 2140 m2 "kivett parkoló" vásárlása Aquamarin Kft-től</t>
  </si>
  <si>
    <t>Egyéb tárgyi eszköz</t>
  </si>
  <si>
    <t xml:space="preserve">5 db Metal pavilon </t>
  </si>
  <si>
    <t xml:space="preserve">Egyéb tárgyi eszköz </t>
  </si>
  <si>
    <t>502225 "Zala két keréken" TOP-3.1.1-15-ZA-2016-00005</t>
  </si>
  <si>
    <t>502231 "Kisfaludy 2030" reptér pályázat</t>
  </si>
  <si>
    <t xml:space="preserve">502222 Városi térfigyelő kamerarendszer </t>
  </si>
  <si>
    <t>Működési többlet felhasználása felhalmozási hiány fedezésére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</si>
  <si>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</si>
  <si>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</si>
  <si>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</si>
  <si>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t>Régi járdaseprő gép értékesítés</t>
  </si>
  <si>
    <t>"Zala két keréken"</t>
  </si>
  <si>
    <t>Kisebbségekért - proMinoritate Alapítvány</t>
  </si>
  <si>
    <t>Rákóczi Szövetség</t>
  </si>
  <si>
    <t>Hévízgyógyfürdő és Szent András Reumakórház</t>
  </si>
  <si>
    <t>VÜZ Kft. Keszthely</t>
  </si>
  <si>
    <t>Működési célú támogatások államháztartáson kívülre összesen:</t>
  </si>
  <si>
    <t>2 db licence vásárlás</t>
  </si>
  <si>
    <t>Hévízi Illyés Gyula Általános  főbejárati lépcső felújítása</t>
  </si>
  <si>
    <t>MLSZ "Pályaépítési Program" keretében 2 db műfüves pálya felújítása</t>
  </si>
  <si>
    <t>Hévíz, Zrinyi u. 99-179. házszám közötti felújítás tervezése</t>
  </si>
  <si>
    <t>Hévíz, Kossuth L. u. 7. szám alatti 2 db önkormányzati tulajdonú ingatlan nyílászáró cseréje</t>
  </si>
  <si>
    <t>Gyógyhelyi főtér GINOP-7.19-17-2017-00003</t>
  </si>
  <si>
    <t>Kézilabda munkacsarnok infrastruktúra kialakítása (1455/8 hrsz ingatlan közművesítése)</t>
  </si>
  <si>
    <t xml:space="preserve">Hévízgyógyfürdő és Szent András Reumakórház kezelésében lévő Dr.Schulhof sétány fejlesztése GINOP-7.1.9-17. pályázat </t>
  </si>
  <si>
    <t>10/1.</t>
  </si>
  <si>
    <t>10/2.</t>
  </si>
  <si>
    <t>Hévíz Város Térfigyelő kamerarendszerének  + Eon tápellátás kiépítése II. ütem (14 db kamera, vezeték nélküli jelátviteli rendszer)</t>
  </si>
  <si>
    <t>PH 2. emeleti tárgyalói és irodai fal gyártása és beépítése</t>
  </si>
  <si>
    <t>Hosszúföldek Sportcentrum tereprendezés, ép. engedélyezési és kiviteli tervek</t>
  </si>
  <si>
    <t>IT eszközök beszerzése</t>
  </si>
  <si>
    <t>3</t>
  </si>
  <si>
    <t>"Hévíz Város és környezetének közösségi közlekedése" NYDOP-3.2.1/B-12-2013-0007 támogatás visszafizetés</t>
  </si>
  <si>
    <t>"Zala két keréken" TOP-3.1.1-15-ZA1-2016-00005 projelkt folyósított előlegének visszafizetése</t>
  </si>
  <si>
    <t>Védőoltás</t>
  </si>
  <si>
    <t>503311 Védőoltás</t>
  </si>
  <si>
    <t>505602 Szünidei gyermekétkeztetés</t>
  </si>
  <si>
    <t>502207 "Gyógyhelyi főtér" GINOP-7.1.9-17-2017-00003</t>
  </si>
  <si>
    <t>502230 Schullhof sétány GINOP-7.1.9-17 pályázat</t>
  </si>
  <si>
    <t>505301 Főépítészi feladatok ellátása</t>
  </si>
  <si>
    <t>505502 Város- és községgazdálkodás</t>
  </si>
  <si>
    <t>505805 Boldog Békeidők Hévize</t>
  </si>
  <si>
    <t>Szabó Lőrinc u. új útszakasz víz- és szennyvíz közmű kiépítése (műszaki ellenőr díja 1.000 e Ft)</t>
  </si>
  <si>
    <t>503301 Szociális célú tüzelőanyag, tüzifa</t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</si>
  <si>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(75.092 ezer Ft-hoz Kormányzati döntés alapján!)</t>
    </r>
  </si>
  <si>
    <t>503304 Gyógyszertámogatás</t>
  </si>
  <si>
    <t>503306 Lakhatási támogatás</t>
  </si>
  <si>
    <t>503402 Lakossági kölcsön kiadásai</t>
  </si>
  <si>
    <t xml:space="preserve">503401 Munkáltatói kölcsön kiadásai 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</si>
  <si>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</si>
  <si>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</si>
  <si>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</si>
  <si>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</si>
  <si>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</si>
  <si>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</si>
  <si>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</si>
  <si>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 xml:space="preserve">502301 ASP rendszer bevezetése </t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</si>
  <si>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73.299 e Ft)</t>
    </r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</si>
  <si>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206.676 e Ft)</t>
    </r>
  </si>
  <si>
    <t xml:space="preserve">Turisztikailag frekventált térségek integrált termék és szolgáltatás fejlesztése - Dr. Schulhofsétány fejlesztése GINOP-7.1.9-17-2018-00015 </t>
  </si>
  <si>
    <t>SportOverBorders Hévíz projekt HUHR/1601/3.1.2/0013</t>
  </si>
  <si>
    <t>RefurbCultur Projekt HUHR/1601/3.1.1/0016</t>
  </si>
  <si>
    <t>Társult önkormányzatok orvosi ügyeleti kiadásokhoz hozzájárulás</t>
  </si>
  <si>
    <t>69.</t>
  </si>
  <si>
    <t>70.</t>
  </si>
  <si>
    <t>Aquamarin Szállodaüzemeltető Kft. üzletrész értékesítés - foglaló</t>
  </si>
  <si>
    <t>Turisztikailag frekventált térségek integrált termék és szolgáltatás fejlesztése GINOP-7.1.9-17-2018-00015</t>
  </si>
  <si>
    <t>Kisfaludy 2030 reptér pályázat megvalósíthatósági tanulmány visszaigényelhető Áfa</t>
  </si>
  <si>
    <t>Hévízi TDM Egyesület 2019. évi minőségfejl tám. elszámolás szerint visszafizetendő</t>
  </si>
  <si>
    <t>Szabó Lőrinc utcai új útszakasz telektulajd. fizetett önerő hozzájárulás</t>
  </si>
  <si>
    <t>71.</t>
  </si>
  <si>
    <t>72.</t>
  </si>
  <si>
    <t>SportOverBorders projekt Zalaegerszeg Megyei Jogú Város</t>
  </si>
  <si>
    <t>73.</t>
  </si>
  <si>
    <t>74.</t>
  </si>
  <si>
    <t>75.</t>
  </si>
  <si>
    <t>76.</t>
  </si>
  <si>
    <t>77.</t>
  </si>
  <si>
    <t>SportOverBorders projekt Hévíz Sportkör</t>
  </si>
  <si>
    <t xml:space="preserve">SportOverBorders projekt Cazma </t>
  </si>
  <si>
    <t>SportOverBorders projekt Koprovnica</t>
  </si>
  <si>
    <t>Tar Ferenc: Egy arisztokrata család mindennapjai c. kötewt megjelentetésének támogatása</t>
  </si>
  <si>
    <t>Dr Ladányi Péter: Keszthelyi Nagyváthy Szakközépiskola intézmény története c. kötet megjelentetésének támogatása</t>
  </si>
  <si>
    <t>12/1.</t>
  </si>
  <si>
    <t>12/2.</t>
  </si>
  <si>
    <r>
      <t xml:space="preserve">Széchenyi utca Kölcsey és Ady u. közötti szakasz déli oldalán 12 parkolóhely megépítése </t>
    </r>
    <r>
      <rPr>
        <b/>
        <sz val="8"/>
        <color rgb="FF0070C0"/>
        <rFont val="Times New Roman"/>
        <family val="1"/>
        <charset val="238"/>
      </rPr>
      <t xml:space="preserve">(Kormányzati döntés alapján! 24.882 ezer Ft) </t>
    </r>
  </si>
  <si>
    <t>6/3.</t>
  </si>
  <si>
    <t>Nagyparkoló tér nyugati üzletsor előtti szennyvíz gerincvezeték kiviteli tervei</t>
  </si>
  <si>
    <t>Kálvária "Kulturbarangolás Hévízen"TOP 1.2.1-15 (engedélyezési tervdok. és ktgbecslés váll díj 30%-a)</t>
  </si>
  <si>
    <t>Hévíz Sportkör támogatása felhalmozásra</t>
  </si>
  <si>
    <t>Internetes étkezési rendszer</t>
  </si>
  <si>
    <t>502220 Kálvária "Kulturbarangolás Hévízen" TOP-1.2.1-15</t>
  </si>
  <si>
    <t>502232 Szabó Lőrinc utca új útszakasz beruházás</t>
  </si>
  <si>
    <t>502303 Informatikai rendszer szállítása, bevezetése</t>
  </si>
  <si>
    <t>505803 SportOverBorders pályázat</t>
  </si>
  <si>
    <t>505806 "Helyi termék, helyi érték" VP6-19.2.1-42-7-17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</si>
  <si>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</si>
  <si>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Eszközbeszerzés (defibrillátor beszerzés is)</t>
  </si>
  <si>
    <t>Nemzeti Egészségbiztosítási Alapkezelő</t>
  </si>
  <si>
    <t>Felhalmozási bevételek összesen:</t>
  </si>
  <si>
    <t>Polgármesteri Hivatal Összesen:</t>
  </si>
  <si>
    <t xml:space="preserve">Hévíz, 846 hrsz-ú, a Széchenyi u .54. és 5+6. házszám között elhelyezkedő -jelenleg útként és parkolóként használt - területrész megvásárlása </t>
  </si>
  <si>
    <t>Polgármesteri Hivatal 304. iroda korszerűsítése</t>
  </si>
  <si>
    <t>Hévíz TV Nonprofit Kft.</t>
  </si>
  <si>
    <t xml:space="preserve">24 db ebédlő asztal és 144 db SAI szék </t>
  </si>
  <si>
    <t>502217 Új parkolóhelyek kialakítása</t>
  </si>
  <si>
    <t>Polgármesteri Hivatal összesen:***</t>
  </si>
  <si>
    <t>*** A Képviselő-testület 268/2019. (XI. 29.) határozata szerint a 2019. december 15. napjával hatályba lépő SZMSZ módosítás 1 fő önkormányzati főtanácsadóval bővíti a Polgármesteri hivatal köztisztviselői létszámát.</t>
  </si>
  <si>
    <t>2019. évi teljesítés</t>
  </si>
  <si>
    <t xml:space="preserve">Teljesítés összesen </t>
  </si>
  <si>
    <t>Teljesítés %-a</t>
  </si>
  <si>
    <t xml:space="preserve">2019. évi előirányzat összesen </t>
  </si>
  <si>
    <t xml:space="preserve">2019. évi zárszámadási rendelet </t>
  </si>
  <si>
    <t xml:space="preserve">Teljesítés %-a </t>
  </si>
  <si>
    <t>Hévíz Város Önkormányzat  és intézményei</t>
  </si>
  <si>
    <t>2019. évi zárszámadási rendelet</t>
  </si>
  <si>
    <t>2019. évi előirányzat</t>
  </si>
  <si>
    <t>2019. évi adatok</t>
  </si>
  <si>
    <t xml:space="preserve">Teljesítés  összesen </t>
  </si>
  <si>
    <t>IV. Gróf I. Festetics György Művelődési Központ, Városi Könyvtár és Muzeális Gyűjtemény</t>
  </si>
  <si>
    <t>2019. évi tény</t>
  </si>
  <si>
    <t>Kiadások és társadalmi szervezetek támogatása a polgármesteri keret terhére</t>
  </si>
  <si>
    <t>ezer Ft-ban</t>
  </si>
  <si>
    <t>Eredeti előirányzat</t>
  </si>
  <si>
    <t>Tényleges felhasználás</t>
  </si>
  <si>
    <t>Előirányzat maradvány</t>
  </si>
  <si>
    <t>Támogatott megnevezése ill. számlakibocsátó megnevezése</t>
  </si>
  <si>
    <t>Támogatás célja</t>
  </si>
  <si>
    <t>Támogatás összege</t>
  </si>
  <si>
    <t>Polgármesteri keretből felhasznál összeg</t>
  </si>
  <si>
    <t xml:space="preserve"> </t>
  </si>
  <si>
    <t>503301 Rendkívüli támogatás</t>
  </si>
  <si>
    <t>606 kellene</t>
  </si>
  <si>
    <t>Pelso Társaság</t>
  </si>
  <si>
    <t>Festetics bál támogatói jegy és közterhei</t>
  </si>
  <si>
    <t>támogatás a Szegedi Bendegúz Akadémia által rendezett nyelvész verseny oszágos döntőjeben való részvétel miatt</t>
  </si>
  <si>
    <t>támogatás a Kecskeméten megrendezett országos magyar anyanyelvi tanulmányi versenyen  - Qualitas - való részvétel miatt</t>
  </si>
  <si>
    <t>támogatás a Szegeden megrendezett országos magyar anyanyelvi tanulmányi versenyen  - Tudásbajnokság - való részvétel miatt</t>
  </si>
  <si>
    <t>Kisebbségekért - Pro Minoritate Alapítvány</t>
  </si>
  <si>
    <t xml:space="preserve">Hozzájárulás az erdélyi Tusnádfürdőn megrendezendő XXX. Bálványosi Nyári Egyetem és Diáktábor kiadásaihoz </t>
  </si>
  <si>
    <t xml:space="preserve">Hozzájárulás Csangó bál kiadásaihoz </t>
  </si>
  <si>
    <t>Magyar Iskolaválasztási Program keretében, a felvidéki magyar iskolába beíratott gyermekek családjának támogatása</t>
  </si>
  <si>
    <t>Aquamarin Szállodaipari Kft</t>
  </si>
  <si>
    <t>Mesztegnyői jótékonysági bál tombola felajánlása - 2 fő részére egy hétvégi szállás biztosítása félpanzióval</t>
  </si>
  <si>
    <t>Balatongyöröki református üdülőházban megszervezett gyermek hittantábor gyermek meleg étkezés bitosítása</t>
  </si>
  <si>
    <t>Hévíz, Vörösmarty u. 92. sz. alatti ingatlan rezsi (viziközmű)  költségeinek biztosításához  támogatás</t>
  </si>
  <si>
    <t>Pannon Írók Társasága</t>
  </si>
  <si>
    <t>Dr. Lángi Péter: Keszthelyi Nagyváhy Szakközépiskola intézmény története c. könyv megjelentetése támogatása</t>
  </si>
  <si>
    <t>Tar Ferenc: Egy arisztrokrata család mindennapjai c. könyv megjelentetése támogatása</t>
  </si>
  <si>
    <t xml:space="preserve">Zobori KalandoZoo Kft. </t>
  </si>
  <si>
    <t>Általános iskolai tanulók jutalom útja a zalaszabari kalandparkba</t>
  </si>
  <si>
    <t>Tihanyi Nóra kiskorú gyermeke részére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</si>
  <si>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3.195 adótárgy, 311924 m2-re vonatkozóan</t>
    </r>
  </si>
  <si>
    <t>önkormányzat által felvett hitelállomány alakulása, lejárat és eszközök alakulása szerinti bontásban</t>
  </si>
  <si>
    <t>2019. december 31.</t>
  </si>
  <si>
    <t>Felvett hitel összege</t>
  </si>
  <si>
    <t>Kapott  hitel</t>
  </si>
  <si>
    <t>Záróállomány 2019. 12.31. napján</t>
  </si>
  <si>
    <t xml:space="preserve">  hosszúlejáratú fejlesztési hitel</t>
  </si>
  <si>
    <t>8 év</t>
  </si>
  <si>
    <t xml:space="preserve">Euribor + 0,43 % + 1,5 % </t>
  </si>
  <si>
    <t>Nyújtott hitel</t>
  </si>
  <si>
    <t>tartós részesedések</t>
  </si>
  <si>
    <t>Bekerülési érték (névérték) (Ft)</t>
  </si>
  <si>
    <t>Előző években elszámolt értékvesztés</t>
  </si>
  <si>
    <t>Állományváltozás (+/-)</t>
  </si>
  <si>
    <t>Tárgyévben kivezetett értékvesztés</t>
  </si>
  <si>
    <t>Könyvszerinti érték (Ft)</t>
  </si>
  <si>
    <t>Összeg (e Ft)</t>
  </si>
  <si>
    <t>NHSZ ZÖLDFOK Zrt.</t>
  </si>
  <si>
    <t>Aquamarin Szállodaipari Kft. üzletrész (100 %)</t>
  </si>
  <si>
    <t>Hévízi Televízió Nonprofit Kft. üzletrész (100 %)</t>
  </si>
  <si>
    <t>Hévízi Turisztikai Nonprofit Kft. üzletrész (51 %)</t>
  </si>
  <si>
    <t>Hévíz-Balaton Airport Kft. üzletrész (100 %)</t>
  </si>
  <si>
    <t>Hévízi Kulturális Központ Nonprofit Kft. üzletrész (100 %)</t>
  </si>
  <si>
    <t>Önkormányzat, Polgármesteri Hivatal és intézményenkénti eredménykimutatása</t>
  </si>
  <si>
    <t>Eszközök</t>
  </si>
  <si>
    <t xml:space="preserve">Hévíz Város Önkormány-zata </t>
  </si>
  <si>
    <t>Polgármest. Hivatal</t>
  </si>
  <si>
    <t>Brunszvik</t>
  </si>
  <si>
    <t>Festetics Művelődési Központ</t>
  </si>
  <si>
    <t>GAMESZ és int. ö.:</t>
  </si>
  <si>
    <t>Mindössz.</t>
  </si>
  <si>
    <t>01. Közhatalmi eredményszemléletű bevételek</t>
  </si>
  <si>
    <t>02. Eszközök és szolgáltatások értékesítése nettó eredményszemléletű bevételei</t>
  </si>
  <si>
    <t>03 Tevékenység egyéb nettó eredményszemléletű bevételei</t>
  </si>
  <si>
    <t>I. 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</si>
  <si>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</si>
  <si>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</si>
  <si>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(=±04+05)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</si>
  <si>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</si>
  <si>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</si>
  <si>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</si>
  <si>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</si>
  <si>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(=06+07+08+09)</t>
  </si>
  <si>
    <t>10. Anyagköltség</t>
  </si>
  <si>
    <t>11. Igénybe vett szolgáltatások értéke</t>
  </si>
  <si>
    <t>12. Eladott áruk beszerzési értéke</t>
  </si>
  <si>
    <t>13. Eladott (közvetített) szolgáltatások értéke</t>
  </si>
  <si>
    <t>IV. Anyagjellegű ráfordítások (=10+11+12+13)</t>
  </si>
  <si>
    <t>14. Bérköltség</t>
  </si>
  <si>
    <t>15. Személyi jellegű egyéb kifizetések</t>
  </si>
  <si>
    <t>16. Bérjárulékok</t>
  </si>
  <si>
    <t>V. Személyi jellegű ráfordítások (=14+15+16)</t>
  </si>
  <si>
    <t>VI. Értékcsökkenési leírás</t>
  </si>
  <si>
    <t>VII. Egyéb ráfordítások</t>
  </si>
  <si>
    <t>A) TEVÉKENYSÉGEK EREDMÉNYE (=I±II+III-IV-V-VI-VII)</t>
  </si>
  <si>
    <t>17. Kapott (járó) osztalék és részesedés</t>
  </si>
  <si>
    <t>18. Részesedésekből származó eredményszemléletű bevételek, árfolyamnyereségek</t>
  </si>
  <si>
    <t>19. Befektetett pénzügyi eszközökből származó eredményszemléletű bevételek, árfolyamnyereségek</t>
  </si>
  <si>
    <t>20. Egyéb kapott (járó) kamatok és kamatjellegű eredményszemléletű bevételek</t>
  </si>
  <si>
    <t>21.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</si>
  <si>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</si>
  <si>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</si>
  <si>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VIII. Pénzügyi műveletek eredményszemléletű bevételei (=17+18+19+20+21)</t>
  </si>
  <si>
    <t>22. Részesedésekből származó ráfordítások, árfolyamveszteségek</t>
  </si>
  <si>
    <t>23. Befektetett pénzügyi eszközökből (értékpapírokból, kölcsönökből) származó ráfordítások, árfolyamveszteségek</t>
  </si>
  <si>
    <t>24. Fizetendő kamatok és kamatjellegű ráfordítások</t>
  </si>
  <si>
    <t>25.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</si>
  <si>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</si>
  <si>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</si>
  <si>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26.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</si>
  <si>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</si>
  <si>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</si>
  <si>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IX. Pénzügyi műveletek ráfordításai (=22+23+24+25+26)</t>
  </si>
  <si>
    <t>B) PÉNZÜGYI MŰVELETEK EREDMÉNYE (=VIII-IX)</t>
  </si>
  <si>
    <t>C) MÉRLEG SZERINTI EREDMÉNY (=±A±B)</t>
  </si>
  <si>
    <t xml:space="preserve">vagyonmérlege </t>
  </si>
  <si>
    <t xml:space="preserve">                                                                                                      e Ft                                                                                                </t>
  </si>
  <si>
    <t>Önkormányzat</t>
  </si>
  <si>
    <t>GAMESZ és intézményei</t>
  </si>
  <si>
    <t>Változás %-ban</t>
  </si>
  <si>
    <t>Előző év</t>
  </si>
  <si>
    <t>Tárgy év</t>
  </si>
  <si>
    <t>ESZKÖZÖK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</si>
  <si>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</si>
  <si>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</si>
  <si>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</si>
  <si>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</si>
  <si>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</si>
  <si>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</si>
  <si>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</si>
  <si>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</si>
  <si>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</si>
  <si>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(=A/II/1+...+A/II/5)</t>
  </si>
  <si>
    <t>A/III/1 Tartós részesedések</t>
  </si>
  <si>
    <t>A/III/2 Tartós hitelviszonyt megtestesítő értékpapírok</t>
  </si>
  <si>
    <t>A/III/3 Befektetett pénzügyi eszközök értékhelyesbítése</t>
  </si>
  <si>
    <t>A/III Befektetett pénzügyi eszközök (=A/III/1+A/III/2+A/III/3)</t>
  </si>
  <si>
    <t>A/IV/1 Koncesszióba, vagyonkezelésbe adott eszközök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</si>
  <si>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</si>
  <si>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</si>
  <si>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</si>
  <si>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</si>
  <si>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</si>
  <si>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</si>
  <si>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</si>
  <si>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</si>
  <si>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</si>
  <si>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</si>
  <si>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</si>
  <si>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</si>
  <si>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</si>
  <si>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</si>
  <si>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</si>
  <si>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(=C/I/1+C/I/2)</t>
  </si>
  <si>
    <t>C/II/1 Forintpénztár</t>
  </si>
  <si>
    <t>C/II/2 Valutapénztár</t>
  </si>
  <si>
    <t>C/II/3 Betétkönyvek, csekkek, elektonikus pénzeszközök</t>
  </si>
  <si>
    <t>C/II Pénztárak, csekkek, betétkönyvek 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</si>
  <si>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</si>
  <si>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</si>
  <si>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</si>
  <si>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</si>
  <si>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</si>
  <si>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</si>
  <si>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</si>
  <si>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</t>
  </si>
  <si>
    <t>D/I/2 Költségvetési évben esedékes követelések felhalmozási célú támogatások bevételeire államháztartáson belülről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</si>
  <si>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</si>
  <si>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</si>
  <si>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</si>
  <si>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 xml:space="preserve">D/I/6 Költségvetési évben esedékes követelések működési célú átvett pénzeszközre </t>
  </si>
  <si>
    <t xml:space="preserve">D/I/7 Költségvetési évben esedékes követelések felhalmozási célú átvett pénzeszközre </t>
  </si>
  <si>
    <t>D/I/8 Költségvetési évben esedékes követelések finanszírozási bevételekre</t>
  </si>
  <si>
    <t>D/I Költségvetési évben esedékes követelések (=D/I/1+…+D/I/8)</t>
  </si>
  <si>
    <t>D/II/1 Költségvetési évet követően esedékes követelések működési célú támogatások bevételeire államháztartáson belülről</t>
  </si>
  <si>
    <t>D/II/2 Költségvetési évet követően esedékes követelések felhalmozási célú támogatások bevételeire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</si>
  <si>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</si>
  <si>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</si>
  <si>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</si>
  <si>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</si>
  <si>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 xml:space="preserve">D/II/7 Költségvetési évet követően esedékes követelések felhalmozási célú átvett pénzeszközre </t>
  </si>
  <si>
    <t>D/II/8 Költségvetési évet követően esedékes követelések finanszírozási bevételekre</t>
  </si>
  <si>
    <t>D/II Költségvetési évet követően esedékes követelések (=D/II/1+…+D/II/8)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</si>
  <si>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</si>
  <si>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</si>
  <si>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</si>
  <si>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</si>
  <si>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</si>
  <si>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</si>
  <si>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</si>
  <si>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</si>
  <si>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</si>
  <si>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D/III Követelés jellegű sajátos elszámolások (=D/III/1+…+D/III/9)</t>
  </si>
  <si>
    <t>D) KÖVETELÉSEK (=D/I+D/II+D/III)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</si>
  <si>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</si>
  <si>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</si>
  <si>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</si>
  <si>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</si>
  <si>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</si>
  <si>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78.</t>
  </si>
  <si>
    <t>E/II/1 Kapott előleghez kapcsolódó fizetendő általános forgalmi adó</t>
  </si>
  <si>
    <t>79.</t>
  </si>
  <si>
    <t>E/II/2 Más fizetendő általános forgalmi adó</t>
  </si>
  <si>
    <t>80.</t>
  </si>
  <si>
    <t>E/II Fizetendő általános forgalmi adó elszámolása (=E/II/1+E/II/2)</t>
  </si>
  <si>
    <t>81.</t>
  </si>
  <si>
    <t>E/III/1 December havi illetmények, munkabérek elszámolása</t>
  </si>
  <si>
    <t>82.</t>
  </si>
  <si>
    <t>E/III/2 Utalványok, bérletek és más hasonló, készpénz-helyettesítő fizetési eszköznek nem minősülő eszközök elszámolásai</t>
  </si>
  <si>
    <t>83.</t>
  </si>
  <si>
    <t>E/III Egyéb sajátos eszközoldali elszámolások (=E/III/1+E/III/2)</t>
  </si>
  <si>
    <t>84.</t>
  </si>
  <si>
    <t>E) EGYÉB SAJÁTOS ELSZÁMOLÁSOK (=E/I+E/II+E/III)</t>
  </si>
  <si>
    <t>85.</t>
  </si>
  <si>
    <t>F/1 Eredményszemléletű bevételek aktív időbeli elhatárolása</t>
  </si>
  <si>
    <t>86.</t>
  </si>
  <si>
    <t>F/2 Költségek, ráfordítások aktív időbeli elhatárolása</t>
  </si>
  <si>
    <t>87.</t>
  </si>
  <si>
    <t>F/3 Halasztott ráfordítások</t>
  </si>
  <si>
    <t>88.</t>
  </si>
  <si>
    <t>F) AKTÍV IDŐBELI ELHATÁROLÁSOK (=F/1+F/2+F/3)</t>
  </si>
  <si>
    <t>89.</t>
  </si>
  <si>
    <t>ESZKÖZÖK ÖSSZESEN (=A+B+C+D+E+F)</t>
  </si>
  <si>
    <t>90.</t>
  </si>
  <si>
    <t>FORRÁSOK</t>
  </si>
  <si>
    <t>91.</t>
  </si>
  <si>
    <t>G/I Nemzeti vagyon induláskori értéke</t>
  </si>
  <si>
    <t>92.</t>
  </si>
  <si>
    <t>G/II Nemzeti vagyon változásai</t>
  </si>
  <si>
    <t>93.</t>
  </si>
  <si>
    <t>G/III/1 Megszűnés miatt átvett lekötött betétek könyv szerinti értéke és változása</t>
  </si>
  <si>
    <t>94.</t>
  </si>
  <si>
    <t>G/III/2 Megszűnés miatt átvett egyéb pénzeszközök könyv szerinti értéke és változása</t>
  </si>
  <si>
    <t>95.</t>
  </si>
  <si>
    <t>G/III/3 Pénzeszközön kívüli egyéb eszközök induláskori értéke és változásai</t>
  </si>
  <si>
    <t>96.</t>
  </si>
  <si>
    <t>G/III Egyéb eszközök induláskori értéke és változásai (=G/III/1+G/III/2+G/III/3)</t>
  </si>
  <si>
    <t>97.</t>
  </si>
  <si>
    <t>G/IV Felhalmozott eredmény</t>
  </si>
  <si>
    <t>98.</t>
  </si>
  <si>
    <t>G/V Eszközök értékhelyesbítésének forrása</t>
  </si>
  <si>
    <t>99.</t>
  </si>
  <si>
    <t>G/VI Mérleg szerinti eredmény</t>
  </si>
  <si>
    <t>100.</t>
  </si>
  <si>
    <t>G) SAJÁT TŐKE (=G/I+…+G/VI)</t>
  </si>
  <si>
    <t>101.</t>
  </si>
  <si>
    <t>H/I/1 Költségvetési évben esedékes kötelezettségek személyi juttatásokra</t>
  </si>
  <si>
    <t>102.</t>
  </si>
  <si>
    <t>H/I/2 Költségvetési évben esedékes kötelezettségek munkaadókat terhelő járulékokra és szociális hozzájárulási adóra</t>
  </si>
  <si>
    <t>103.</t>
  </si>
  <si>
    <t>H/I/3 Költségvetési évben esedékes kötelezettségek dologi kiadásokra</t>
  </si>
  <si>
    <t>104.</t>
  </si>
  <si>
    <t>H/I/4 Költségvetési évben esedékes kötelezettségek ellátottak pénzbeli juttatásaira</t>
  </si>
  <si>
    <t>105.</t>
  </si>
  <si>
    <t xml:space="preserve">H/I/5 Költségvetési évben esedékes kötelezettségek egyéb működési célú kiadásokra </t>
  </si>
  <si>
    <t>106.</t>
  </si>
  <si>
    <t>H/I/6 Költségvetési évben esedékes kötelezettségek beruházásokra</t>
  </si>
  <si>
    <t>107.</t>
  </si>
  <si>
    <t>H/I/7 Költségvetési évben esedékes kötelezettségek felújításokra</t>
  </si>
  <si>
    <t>108.</t>
  </si>
  <si>
    <t>H/I/8 Költségvetési évben esedékes kötelezettségek egyéb felhalmozási célú kiadásokra</t>
  </si>
  <si>
    <t>109.</t>
  </si>
  <si>
    <t>H/I/9 Költségvetési évben esedékes kötelezettségek finanszírozási kiadásokra</t>
  </si>
  <si>
    <t>110.</t>
  </si>
  <si>
    <t>H/I Költségvetési évben esedékes kötelezettségek (=H/I/1+…H/I/9)</t>
  </si>
  <si>
    <t>111.</t>
  </si>
  <si>
    <t>H/II/1 Költségvetési évet követően esedékes kötelezettségek személyi juttatásokra</t>
  </si>
  <si>
    <t>112.</t>
  </si>
  <si>
    <t>H/II/2 Költségvetési évet követően esedékes kötelezettségek munkaadókat terhelő járulékokra és szociális hozzájárulási adóra</t>
  </si>
  <si>
    <t>113.</t>
  </si>
  <si>
    <t>H/II/3 Költségvetési évet követően esedékes kötelezettségek dologi kiadásokra</t>
  </si>
  <si>
    <t>114.</t>
  </si>
  <si>
    <t>H/II/4 Költségvetési évet követően esedékes kötelezettségek ellátottak pénzbeli juttatásaira</t>
  </si>
  <si>
    <t>115.</t>
  </si>
  <si>
    <t>H/II/5 Költségvetési évet követően esedékes kötelezettségek egyéb működési célú kiadásokra</t>
  </si>
  <si>
    <t>116.</t>
  </si>
  <si>
    <t>H/II/6 Költségvetési évet követően esedékes kötelezettségek beruházásokra</t>
  </si>
  <si>
    <t>117.</t>
  </si>
  <si>
    <t>H/II/7 Költségvetési évet követően esedékes kötelezettségek felújításokra</t>
  </si>
  <si>
    <t>118.</t>
  </si>
  <si>
    <t>H/II/8 Költségvetési évet követően esedékes kötelezettségek egyéb felhalmozási célú kiadásokra</t>
  </si>
  <si>
    <t>119.</t>
  </si>
  <si>
    <t xml:space="preserve">H/II/9 Költségvetési évet követően esedékes kötelezettségek finanszírozási kiadásokra </t>
  </si>
  <si>
    <t>120.</t>
  </si>
  <si>
    <t>H/II Költségvetési évet követően esedékes kötelezettségek (=H/II/1+…H/II/9)</t>
  </si>
  <si>
    <t>121.</t>
  </si>
  <si>
    <t>H/III/1 Kapott előlegek</t>
  </si>
  <si>
    <t>122.</t>
  </si>
  <si>
    <t>H/III/2 Továbbadási célból folyósított támogatások, ellátások elszámolása</t>
  </si>
  <si>
    <t>123.</t>
  </si>
  <si>
    <t>H/III/3 Más szervezetet megillető bevételek elszámolása</t>
  </si>
  <si>
    <t>124.</t>
  </si>
  <si>
    <t>H/III/4 Forgótőke elszámolása (Kincstár)</t>
  </si>
  <si>
    <t>125.</t>
  </si>
  <si>
    <t>H/III/5 Nemzeti vagyonba tartozó befektetett eszközökkel  kapcsolatos egyes kötelezettség jellegű sajátos elszámolások</t>
  </si>
  <si>
    <t>126.</t>
  </si>
  <si>
    <t>H/III/6 Nem társadalombiztosítás pénzügyi alapjait terhelő kifizetett ellátások megtérítésének elszámolása</t>
  </si>
  <si>
    <t>127.</t>
  </si>
  <si>
    <t>H/III/7 Munkáltató által korengedményes nyugdíjhoz megfizetett hozzájárulás elszámolása</t>
  </si>
  <si>
    <t>128.</t>
  </si>
  <si>
    <t>H/III/8 Letétre, megőrzésre, fedezetkezelésre átvett pénzeszközök, biztosítékok</t>
  </si>
  <si>
    <t>129.</t>
  </si>
  <si>
    <t>H/III/9 Nemzetközi támogatási programok pénzeszközei</t>
  </si>
  <si>
    <t>130.</t>
  </si>
  <si>
    <t>H/III/10 Államadósság Kezelő Központ Zrt.-nél elhelyezett fedezeti betétek</t>
  </si>
  <si>
    <t>131.</t>
  </si>
  <si>
    <t>H/III Kötelezettség jellegű sajátos elszámolások (=H)/III/1+…+H)/III/10)</t>
  </si>
  <si>
    <t>132.</t>
  </si>
  <si>
    <t>H) KÖTELEZETTSÉGEK (=H/I+H/II+H/III)</t>
  </si>
  <si>
    <t>133.</t>
  </si>
  <si>
    <t>I) KINCSTÁRI SZÁMLAVEZETÉSSEL KAPCSOLATOS ELSZÁMOLÁSOK</t>
  </si>
  <si>
    <t>134.</t>
  </si>
  <si>
    <t>J/1 Eredményszemléletű bevételek passzív időbeli elhatárolása</t>
  </si>
  <si>
    <t>135.</t>
  </si>
  <si>
    <t>J/2 Költségek, ráfordítások passzív időbeli elhatárolása</t>
  </si>
  <si>
    <t>136.</t>
  </si>
  <si>
    <t>J/3 Halasztott eredményszemléletű bevételek</t>
  </si>
  <si>
    <t>137.</t>
  </si>
  <si>
    <t>J) PASSZÍV IDŐBELI ELHATÁROLÁSOK (=J/1+J/2+J/3)</t>
  </si>
  <si>
    <t>138.</t>
  </si>
  <si>
    <t>FORRÁSOK ÖSSZESEN (=G+H+I+J+K)</t>
  </si>
  <si>
    <t>Ingatlanok és kapcsolódó vagyoni értékű jogok és üzemeltetésre átadott ingatlanok kimutatása</t>
  </si>
  <si>
    <t xml:space="preserve">Főkönyvi szám </t>
  </si>
  <si>
    <t>Bruttó érték (Ft)</t>
  </si>
  <si>
    <t>Nettó érték (Ft)</t>
  </si>
  <si>
    <t>Kizárólagos önkormányzati tulajdonban lévő</t>
  </si>
  <si>
    <t xml:space="preserve">Földterületek  </t>
  </si>
  <si>
    <t>Telkek</t>
  </si>
  <si>
    <t>Épületek</t>
  </si>
  <si>
    <t>Egyéb építmények</t>
  </si>
  <si>
    <t>Épületek - műemlék jellegű</t>
  </si>
  <si>
    <t>Ingatlanhoz kapcsolódó vagyoni értékű jogok</t>
  </si>
  <si>
    <t>Nemzetgazdasági szempontból kiemelt jelentőségű</t>
  </si>
  <si>
    <t>Forgalomképtelen ingatlanok</t>
  </si>
  <si>
    <t>Ingatlan vagyonkataszter</t>
  </si>
  <si>
    <t>Eltérés</t>
  </si>
  <si>
    <t xml:space="preserve">Földterületek (korlátozottan forgalomképes) </t>
  </si>
  <si>
    <t>Telkek (korlátozottan forgalomképes)</t>
  </si>
  <si>
    <t xml:space="preserve">Épületek (korlátozottan forgalomképes) </t>
  </si>
  <si>
    <t>Egyéb építmények (korlátozottan forgalomképes)</t>
  </si>
  <si>
    <t>Korl.fk. ingatlanhoz kapcsolódó vagyoni értékű jogok</t>
  </si>
  <si>
    <t>Korlátozottan forgalomképes ingatlanok</t>
  </si>
  <si>
    <t>Földterületek (forgalomképes)</t>
  </si>
  <si>
    <t>Telkek (forgalomképes)</t>
  </si>
  <si>
    <t xml:space="preserve">Épületek (forgalomképes) </t>
  </si>
  <si>
    <t>Egyéb építmények (forgalomképes)</t>
  </si>
  <si>
    <t>Erdő (forgalomképes)</t>
  </si>
  <si>
    <t>Épületek - Idegen tulajdon</t>
  </si>
  <si>
    <t>Egyéb építmények - Idegen tulajdon</t>
  </si>
  <si>
    <t>Forgalomképes ingatlanok</t>
  </si>
  <si>
    <t>Földterületek (forgalomképes) - stratégiai vagyon</t>
  </si>
  <si>
    <t>Telkek (forgalomképes) - stratégia vagyon</t>
  </si>
  <si>
    <t>Épületek (forgalomképes) - stratégiai vagyon</t>
  </si>
  <si>
    <t>Egyéb építmények (forgalomképes) - stratégiai vagyon</t>
  </si>
  <si>
    <t>Ingatlanhoz kapcsolódó vagyoni értékű jogok (forgalomképes) -stratégiai vagyon</t>
  </si>
  <si>
    <t>Stratégiai vagyon</t>
  </si>
  <si>
    <t>Forgalomképes ingatlanok összesen</t>
  </si>
  <si>
    <t>Önkormányzat ingatlanok és kapcsolódó vagyoni értékű jogok és üzemeltetésre átadott ingatlanok összesen:</t>
  </si>
  <si>
    <t>Dr. Moll K. téri öntözőrendszer</t>
  </si>
  <si>
    <t>Ingatlanvagyon kataszter</t>
  </si>
  <si>
    <t>Hévíz Város Önkormányzat ingatlanok és kapcsolódó vagyoni értékű jogok és üzemeltetésre átadott ingatlanok összesen:</t>
  </si>
  <si>
    <t>forgalomképes és stratégiai ingatlan vagyon és kapcsolódó vagyoni értékű jogok</t>
  </si>
  <si>
    <t>e Ft-ban</t>
  </si>
  <si>
    <t>Hrsz.</t>
  </si>
  <si>
    <t>Utca, hsz</t>
  </si>
  <si>
    <t>Bruttó érték</t>
  </si>
  <si>
    <t>Nettó érték</t>
  </si>
  <si>
    <t xml:space="preserve">Forgalomképes vagyon </t>
  </si>
  <si>
    <t>016/34</t>
  </si>
  <si>
    <t>Szántó</t>
  </si>
  <si>
    <t>külterület</t>
  </si>
  <si>
    <t>018/10</t>
  </si>
  <si>
    <t>018/9</t>
  </si>
  <si>
    <t>022/13</t>
  </si>
  <si>
    <t>022/14</t>
  </si>
  <si>
    <t>022/4</t>
  </si>
  <si>
    <t>022/52</t>
  </si>
  <si>
    <t>022/53</t>
  </si>
  <si>
    <t>022/9</t>
  </si>
  <si>
    <t>033</t>
  </si>
  <si>
    <t>041</t>
  </si>
  <si>
    <t>062/1</t>
  </si>
  <si>
    <t>Erdő</t>
  </si>
  <si>
    <t>064/7</t>
  </si>
  <si>
    <t>07/2</t>
  </si>
  <si>
    <t>Széchenyi u.</t>
  </si>
  <si>
    <t>070/112</t>
  </si>
  <si>
    <t>Hévízi gyep</t>
  </si>
  <si>
    <t>072/188</t>
  </si>
  <si>
    <t>072/3</t>
  </si>
  <si>
    <t>1055/38</t>
  </si>
  <si>
    <t>Beépített terület</t>
  </si>
  <si>
    <t>Tavirózsa u. 2/a</t>
  </si>
  <si>
    <t>1069/2/A</t>
  </si>
  <si>
    <t>Társasház 2 db lakás</t>
  </si>
  <si>
    <t>Kossuth L. u. 7.</t>
  </si>
  <si>
    <t>1069/5/A/1</t>
  </si>
  <si>
    <t xml:space="preserve">Lakás </t>
  </si>
  <si>
    <t>Kossuth L. u. 5.</t>
  </si>
  <si>
    <t>1069/5/A/2</t>
  </si>
  <si>
    <t>Üzlet</t>
  </si>
  <si>
    <t>1069/5/A/3</t>
  </si>
  <si>
    <t>1088/6</t>
  </si>
  <si>
    <t>58 férőhelyes parkoló</t>
  </si>
  <si>
    <t>Széchenyi u. 27.</t>
  </si>
  <si>
    <t>110/2</t>
  </si>
  <si>
    <t>Beépítetlen terület</t>
  </si>
  <si>
    <t>Attila u.</t>
  </si>
  <si>
    <t>1391/1</t>
  </si>
  <si>
    <t>Ady E. u.</t>
  </si>
  <si>
    <t>1455/52</t>
  </si>
  <si>
    <t>Semmelweis u.</t>
  </si>
  <si>
    <t>1455/54</t>
  </si>
  <si>
    <t>1455/72</t>
  </si>
  <si>
    <t>Dr. Korányi u.</t>
  </si>
  <si>
    <t>1455/87</t>
  </si>
  <si>
    <t>Közterület</t>
  </si>
  <si>
    <t>Névtelen u.</t>
  </si>
  <si>
    <t>1455/88</t>
  </si>
  <si>
    <t>1455/89</t>
  </si>
  <si>
    <t>1455/90</t>
  </si>
  <si>
    <t>1455/91</t>
  </si>
  <si>
    <t>1455/92</t>
  </si>
  <si>
    <t>2001</t>
  </si>
  <si>
    <t>2063</t>
  </si>
  <si>
    <t>Gyep</t>
  </si>
  <si>
    <t>265/4</t>
  </si>
  <si>
    <t>Bartók B. u.</t>
  </si>
  <si>
    <t>492/6</t>
  </si>
  <si>
    <t xml:space="preserve">Effinger K. u. </t>
  </si>
  <si>
    <t>495/3</t>
  </si>
  <si>
    <t>Fecske u.</t>
  </si>
  <si>
    <t>57/2</t>
  </si>
  <si>
    <t>Zrínyi u. 148.</t>
  </si>
  <si>
    <t>904/2</t>
  </si>
  <si>
    <t>Attila u. 8.</t>
  </si>
  <si>
    <t>904/3</t>
  </si>
  <si>
    <t>Jókai u.</t>
  </si>
  <si>
    <t>492</t>
  </si>
  <si>
    <t>Móricz Zs. u. parkoló</t>
  </si>
  <si>
    <t>Móricz Zs. u.</t>
  </si>
  <si>
    <t>932/4</t>
  </si>
  <si>
    <t>Nagyparkoló tér T1-jelű út</t>
  </si>
  <si>
    <t>Nagyparkoló tér</t>
  </si>
  <si>
    <t>934/3</t>
  </si>
  <si>
    <t>Kerékpárút</t>
  </si>
  <si>
    <t>999</t>
  </si>
  <si>
    <t>Rendőrörs</t>
  </si>
  <si>
    <t>Erzsébet k.né u. 5.</t>
  </si>
  <si>
    <t>Ady u. gyalogátkelőhely (Tó D-i bejárat)</t>
  </si>
  <si>
    <t>Ady u. gyalogátkelőhely (Vörösmarty u.)</t>
  </si>
  <si>
    <t>Piac térburkolata</t>
  </si>
  <si>
    <t>Piac - tolókapu</t>
  </si>
  <si>
    <t>Piac - főkapu</t>
  </si>
  <si>
    <t>Piac - járdaburkolat</t>
  </si>
  <si>
    <t>Piac épülete</t>
  </si>
  <si>
    <t>Terminál épületen takarófal (Reptér)</t>
  </si>
  <si>
    <t>Kerékpáros dokkoló rendszer (HEBI)</t>
  </si>
  <si>
    <t>Forgalomképes vagyon összesen:</t>
  </si>
  <si>
    <t>011</t>
  </si>
  <si>
    <t>Gamesz kertészet</t>
  </si>
  <si>
    <t>1006</t>
  </si>
  <si>
    <t>Lakóház, udvar, gazdi ép.</t>
  </si>
  <si>
    <t>Rákóczi u. 2.</t>
  </si>
  <si>
    <t>1070</t>
  </si>
  <si>
    <t>Bibó AGSZ kollégiuma</t>
  </si>
  <si>
    <t>Rózsa-köz 7.</t>
  </si>
  <si>
    <t>1091</t>
  </si>
  <si>
    <t>Víztorony</t>
  </si>
  <si>
    <t>1093/A</t>
  </si>
  <si>
    <t>Hévízi Televízió</t>
  </si>
  <si>
    <t>Széchenyi u. 29.</t>
  </si>
  <si>
    <t>1300</t>
  </si>
  <si>
    <t>Sziráky-ház</t>
  </si>
  <si>
    <t>Vörösmarty u. 38.</t>
  </si>
  <si>
    <t>1455/94</t>
  </si>
  <si>
    <t>Kossuth L. utcai foghíj</t>
  </si>
  <si>
    <t xml:space="preserve">Kossuth L. u. </t>
  </si>
  <si>
    <t>1455/97</t>
  </si>
  <si>
    <t xml:space="preserve">Tavirózsa u. </t>
  </si>
  <si>
    <t>1627/7</t>
  </si>
  <si>
    <t>É-i szabadidőkp.</t>
  </si>
  <si>
    <t>1627/8</t>
  </si>
  <si>
    <t>67/11</t>
  </si>
  <si>
    <t>Egregyi múzeum</t>
  </si>
  <si>
    <t>Attila u. 123.</t>
  </si>
  <si>
    <t>67/13</t>
  </si>
  <si>
    <t>Beépítetlen terület (Jézus szíve templom)</t>
  </si>
  <si>
    <t>67/15</t>
  </si>
  <si>
    <t>Dísz tér</t>
  </si>
  <si>
    <t>Zrínyi u. 130/B</t>
  </si>
  <si>
    <t>67/16</t>
  </si>
  <si>
    <t>Gamesz telephely</t>
  </si>
  <si>
    <t>964/9</t>
  </si>
  <si>
    <t>Nyilvános WC</t>
  </si>
  <si>
    <t>Kölcsey u.</t>
  </si>
  <si>
    <t>978</t>
  </si>
  <si>
    <t>Rózsakert</t>
  </si>
  <si>
    <t>Rákóczi u. 17.</t>
  </si>
  <si>
    <t>984</t>
  </si>
  <si>
    <t>Deák téri Galéria földje</t>
  </si>
  <si>
    <t>Rákóczi u. 17-19.</t>
  </si>
  <si>
    <t>Stratégiai vagyon összesen:</t>
  </si>
  <si>
    <t>Forgalomképes és stratégiai ingatlanvagyon összesen:</t>
  </si>
  <si>
    <t>Ingatlanv.-kataszter nyilvántartása szerinti forgalomképes vagyon:</t>
  </si>
  <si>
    <t>Ingatlanvagyon-katasztertől való eltérés:</t>
  </si>
  <si>
    <t>Öntözőrendszer</t>
  </si>
  <si>
    <t>Dr. Moll Károly tér</t>
  </si>
  <si>
    <t>Gamesz és önállóan gazdálkodó intézmények összesen:</t>
  </si>
  <si>
    <t>Önkormányzat forgalomképes és stratégiai ingatlanvagyon összesen:</t>
  </si>
  <si>
    <t>Befejezetlen beruházások állománya</t>
  </si>
  <si>
    <t>Ft</t>
  </si>
  <si>
    <t>Ssz.</t>
  </si>
  <si>
    <t>Főkönyvi/nytsz.</t>
  </si>
  <si>
    <t>Nyitó</t>
  </si>
  <si>
    <t>Növekedés</t>
  </si>
  <si>
    <t>Csökkenés</t>
  </si>
  <si>
    <t>Záró</t>
  </si>
  <si>
    <t>Befejezetlen ingatlan beruházások</t>
  </si>
  <si>
    <t>Előző évekről áthúzódó</t>
  </si>
  <si>
    <t>1511133/000001</t>
  </si>
  <si>
    <t>Pócza villa fejlesztése refurb culture pályázat keretében</t>
  </si>
  <si>
    <t>151114/000001</t>
  </si>
  <si>
    <t>Gyógyhelyi főtér kialakítása</t>
  </si>
  <si>
    <t>151114/000011</t>
  </si>
  <si>
    <t>Árpád, Móricz Zs., Nagy I. és Vörösmarty utcák - közmű</t>
  </si>
  <si>
    <t>151114/000015</t>
  </si>
  <si>
    <t>Kerékpár forgalmi hálózat (Vörösmarty, Kossuth stb. utcák)</t>
  </si>
  <si>
    <t>151114/000006</t>
  </si>
  <si>
    <t>Hosszúföldek külterület 022/53 felmérés</t>
  </si>
  <si>
    <t>151114/000014</t>
  </si>
  <si>
    <t>Tavirózsa utcai sétány és lelátó</t>
  </si>
  <si>
    <t>151114/000028</t>
  </si>
  <si>
    <t>Vörösmarty-Csokonai u. sarokingatlanon parkolók kialakítása</t>
  </si>
  <si>
    <t>Csokonai utca csapadék-, szennyvíz, út, járda és zöldfelület tervezése</t>
  </si>
  <si>
    <t>1511133/000002</t>
  </si>
  <si>
    <t>Közlekedés fejlesztése, buszpályaudvar</t>
  </si>
  <si>
    <t>151114/000003</t>
  </si>
  <si>
    <t>Orvosi rendelő, ügyelet átalakítása</t>
  </si>
  <si>
    <t>151114/000008</t>
  </si>
  <si>
    <t>Nagyparkoló T1-jelű út, kapcsolódó parkoló felületek és zöldterületi rekonstrukció</t>
  </si>
  <si>
    <t>151114/000010</t>
  </si>
  <si>
    <t>Termelői piac fejlesztése</t>
  </si>
  <si>
    <t>Egregyi lőtér fejlesztése</t>
  </si>
  <si>
    <t>151114/000012</t>
  </si>
  <si>
    <t>Turizmus fejlesztés, kultúrbarangolás</t>
  </si>
  <si>
    <t>022/53 hrsz külterületi ingatlan tereprendezése</t>
  </si>
  <si>
    <t>151114/000002</t>
  </si>
  <si>
    <t>Festetics sétány kialakítása</t>
  </si>
  <si>
    <t>Széchenyi utca fejlesztése</t>
  </si>
  <si>
    <t>151114/000004</t>
  </si>
  <si>
    <t>Zrínyi utca külterület 022/1 hrsz.</t>
  </si>
  <si>
    <t>Dr. Schulhof Vilmos sétány felújítása</t>
  </si>
  <si>
    <t>Széchenyi utcai zárt árok kivitelezése</t>
  </si>
  <si>
    <t>2019. évi</t>
  </si>
  <si>
    <t>Szabó L. utca É-i részének vízi-közművesítése</t>
  </si>
  <si>
    <t>Befejezetlen ingatlan beruházások összesen:</t>
  </si>
  <si>
    <t>Befejezetlen gép, berendezés, felszerelés beruházások</t>
  </si>
  <si>
    <t>15113/000007</t>
  </si>
  <si>
    <t>Térfigyelő kamerarendszer kialakítása</t>
  </si>
  <si>
    <t>Befejezetlen gép, berendezés, felszerelés beruházások összesen</t>
  </si>
  <si>
    <t>Befejezetlen egyéb beruházások</t>
  </si>
  <si>
    <t>151115/000001</t>
  </si>
  <si>
    <t>Széchenyi utca fejlesztése ívóvíz bekötés és geodáziai bemérés</t>
  </si>
  <si>
    <t>Befejezetlen egyéb beruházások összesen</t>
  </si>
  <si>
    <t>Befejezetlen ingatlan fejújítások</t>
  </si>
  <si>
    <t>152114/000001</t>
  </si>
  <si>
    <t>Zrínyi utca belterület (300 hrsz.) felújítása</t>
  </si>
  <si>
    <t>Befejezetlen ingatlan felújítások összesen</t>
  </si>
  <si>
    <t>Önkormányzat befejezetlen beruházások, felújítások mindösszesen:</t>
  </si>
  <si>
    <t>0-ra leírt, de még használatban lévő eszközök állománya</t>
  </si>
  <si>
    <t>Mennyiség (db)</t>
  </si>
  <si>
    <t>Vagyoni értékű jogok</t>
  </si>
  <si>
    <t xml:space="preserve">Szellemi termékek </t>
  </si>
  <si>
    <t>Immateriális javak összesen:</t>
  </si>
  <si>
    <t>Ingatlanok és kapcsolódó vagyoni értékű jogok</t>
  </si>
  <si>
    <t>Gépek, berendezések, felszerelések, járművek</t>
  </si>
  <si>
    <t>Beruházások, felújítások</t>
  </si>
  <si>
    <t>Tárgyi eszközök összesen:</t>
  </si>
  <si>
    <r>
      <t xml:space="preserve">Önkormányzat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</si>
  <si>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</si>
  <si>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Önkormányzat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</si>
  <si>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Polgármesteri Hivatal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</si>
  <si>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</si>
  <si>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>Polgármesteri Hivatal 0-ra leírt, de még használatban lévő eszközök</t>
    </r>
    <r>
      <rPr>
        <b/>
        <u/>
        <sz val="10"/>
        <rFont val="Times New Roman"/>
        <family val="1"/>
        <charset val="238"/>
      </rPr>
      <t xml:space="preserve"> nettó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</si>
  <si>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</si>
  <si>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</si>
  <si>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GAMESZ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</si>
  <si>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t>Teréz Anya Szociális Integrált Intézmény</t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</si>
  <si>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</si>
  <si>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 xml:space="preserve">eszközök elszámolt értékcsökkenése </t>
    </r>
    <r>
      <rPr>
        <b/>
        <sz val="10"/>
        <rFont val="Times New Roman"/>
        <family val="1"/>
        <charset val="238"/>
      </rPr>
      <t>összesen:</t>
    </r>
  </si>
  <si>
    <r>
      <t xml:space="preserve">TASZII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</si>
  <si>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t>Brunszvik Teréz Napköziotthonos Óvoda</t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</si>
  <si>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</si>
  <si>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</si>
  <si>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Brunszvik Óvoda  0-ra leírt, de még használatban lévő </t>
    </r>
    <r>
      <rPr>
        <b/>
        <u/>
        <sz val="10"/>
        <rFont val="Times New Roman"/>
        <family val="1"/>
        <charset val="238"/>
      </rPr>
      <t>eszközök nettó értéke</t>
    </r>
    <r>
      <rPr>
        <b/>
        <sz val="10"/>
        <rFont val="Times New Roman"/>
        <family val="1"/>
        <charset val="238"/>
      </rPr>
      <t xml:space="preserve"> összesen:</t>
    </r>
  </si>
  <si>
    <t>Gróf I. Festetics György Művelődési Központ</t>
  </si>
  <si>
    <r>
      <t xml:space="preserve">Gróf I. Festetics Gy. M. Kp.  0-ra leírt, de még használatban lévő </t>
    </r>
    <r>
      <rPr>
        <b/>
        <u/>
        <sz val="10"/>
        <rFont val="Times New Roman"/>
        <family val="1"/>
        <charset val="238"/>
      </rPr>
      <t>eszközök bruttó értéke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</si>
  <si>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elszámolt értékcsökkenése</t>
    </r>
    <r>
      <rPr>
        <b/>
        <sz val="10"/>
        <rFont val="Times New Roman"/>
        <family val="1"/>
        <charset val="238"/>
      </rPr>
      <t xml:space="preserve"> összesen:</t>
    </r>
  </si>
  <si>
    <r>
      <t xml:space="preserve">Gróf I. Festetics Gy. M. Kp.  0-ra leírt, de még használatban lévő eszközök </t>
    </r>
    <r>
      <rPr>
        <b/>
        <u/>
        <sz val="10"/>
        <rFont val="Times New Roman"/>
        <family val="1"/>
        <charset val="238"/>
      </rPr>
      <t>nettó értéke</t>
    </r>
    <r>
      <rPr>
        <b/>
        <sz val="10"/>
        <rFont val="Times New Roman"/>
        <family val="1"/>
        <charset val="238"/>
      </rPr>
      <t xml:space="preserve"> összesen:</t>
    </r>
  </si>
  <si>
    <t>befektetett pénzügyi eszközök, készletek, követelések és értékpapírok állományának és</t>
  </si>
  <si>
    <t>értékvesztésének alakulása</t>
  </si>
  <si>
    <t>Nyitó adatok</t>
  </si>
  <si>
    <t>Tárgyévben elszámolt értékvesztés</t>
  </si>
  <si>
    <t>Záró adatok</t>
  </si>
  <si>
    <t>Bekerülési érték</t>
  </si>
  <si>
    <t>Elszámolt értékvesztés nyitó értéke</t>
  </si>
  <si>
    <t>Értékvesztés záró értéke</t>
  </si>
  <si>
    <t>Könyv szerinti érték</t>
  </si>
  <si>
    <t>Adott előlegek</t>
  </si>
  <si>
    <t>Tartós részesedések</t>
  </si>
  <si>
    <t>Tartós hitelviszonyt megtestesítő értékpapírok</t>
  </si>
  <si>
    <t>Készletek</t>
  </si>
  <si>
    <t>Lekötött bankbetétek</t>
  </si>
  <si>
    <t>Kincstáron kívüli forintszámlák</t>
  </si>
  <si>
    <t>Kincstáron kívüli devizaszámlák</t>
  </si>
  <si>
    <t>Követelések a követelés jellegű sajátos elszámolások kivételével</t>
  </si>
  <si>
    <t>Nem tartós részesedések</t>
  </si>
  <si>
    <t>Forgatási célú hitelviszonyt megtestesítő értékpapírok</t>
  </si>
  <si>
    <t>Önkormányzat, Polgármesteri Hivatal és intézményenkénti maradvány kimutatása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</si>
  <si>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</si>
  <si>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</si>
  <si>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</si>
  <si>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</si>
  <si>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04. Alaptevékenység finanszírozási kiadásai</t>
  </si>
  <si>
    <t>II. Alaptevékenység finanszírozási egyenlege (=03-04)</t>
  </si>
  <si>
    <t>A) Alaptevékenység maradványa (=±I±II)</t>
  </si>
  <si>
    <t>05 Vállalkozási tevékenység költségvetési bevételei</t>
  </si>
  <si>
    <t>06 Vállalkozási tevékenység költségvetési kiadásai</t>
  </si>
  <si>
    <t>III. Vállalkozási tevékenység költségvetési egyenlege (=05-06)</t>
  </si>
  <si>
    <t>07 Vállalkozási tevékenység finanszírozási bevételei</t>
  </si>
  <si>
    <t>08 Vállalkozási tevékenység finanszírozási kiadásai</t>
  </si>
  <si>
    <t>IV. Vállalkozási tevékenység finanszírozási egyenlege (=07-08)</t>
  </si>
  <si>
    <t>B) Vállalkozási tevékenység maradványa (=±III±IV)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</si>
  <si>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</si>
  <si>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</si>
  <si>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</si>
  <si>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(=B*0,09)</t>
  </si>
  <si>
    <t>G) Vállalkozási tevékenység felhasználható maradványa (=B-F)</t>
  </si>
  <si>
    <t>HIV/198/2020.</t>
  </si>
  <si>
    <t>HIV/280-115/2018</t>
  </si>
  <si>
    <t xml:space="preserve">Karsádi György János EV </t>
  </si>
  <si>
    <t>637-2/2009,                     HIV/724-2/2019, HIV/2699/2019.</t>
  </si>
  <si>
    <t>1621,1622,1623 Hrsz-ú ingatlanok bérlete             (DRV Zrt területe)</t>
  </si>
  <si>
    <t>HIV/1169-1/2018</t>
  </si>
  <si>
    <t>HIV/1169-2/2018</t>
  </si>
  <si>
    <t>Fehér Renátó - Héviz Folyóirat főszerkesztő-helyettesi feladatok ellátása</t>
  </si>
  <si>
    <t>HIV/590-2/2018</t>
  </si>
  <si>
    <t>HIV/9327-2/2019</t>
  </si>
  <si>
    <t>HIV/4493-7/2019</t>
  </si>
  <si>
    <t>HOSER Ker. és Szolg. KFT    -      Bérleti szerződés  (Hévíz, 1627/1/A/33. hrsz és 1627/1/A/56. hrsz.)</t>
  </si>
  <si>
    <t>PMK/22-23/2017</t>
  </si>
  <si>
    <t>HIV/552-5/2018</t>
  </si>
  <si>
    <t>ZNET Telekom Zrt - internet szolg. (ROMKERT) Zrinyi 130/b.</t>
  </si>
  <si>
    <t>HIV/4442-13/2018</t>
  </si>
  <si>
    <t>Optiterm Kft. - hivatal épület hütő-fütő rendszer karb.t.</t>
  </si>
  <si>
    <t>SZO/582-4/2016</t>
  </si>
  <si>
    <t>HIV/466-7/2019</t>
  </si>
  <si>
    <t>ZNET Telekom Zrt - internet szolg. (Rózsakert) Deák tér 1.</t>
  </si>
  <si>
    <t>HIV/1159-7/2019.</t>
  </si>
  <si>
    <t>HIV/10045-1/2018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</si>
  <si>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</si>
  <si>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</si>
  <si>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</si>
  <si>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</si>
  <si>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</si>
  <si>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</si>
  <si>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</si>
  <si>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</si>
  <si>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</si>
  <si>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</si>
  <si>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</si>
  <si>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</si>
  <si>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</si>
  <si>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</si>
  <si>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</si>
  <si>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</si>
  <si>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</si>
  <si>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</si>
  <si>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HIV/7103-2/2019</t>
  </si>
  <si>
    <t>Héviz Folyóirat nyomdai előkészitő munkái</t>
  </si>
  <si>
    <t>HIV/9997-7/2019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</si>
  <si>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</si>
  <si>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</si>
  <si>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</si>
  <si>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</si>
  <si>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</si>
  <si>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</si>
  <si>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</si>
  <si>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</si>
  <si>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</si>
  <si>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</si>
  <si>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</si>
  <si>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</si>
  <si>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</si>
  <si>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HIV/479-7/2019</t>
  </si>
  <si>
    <t>Allfordent Kft - fogászati ügyelet ellátás Keszthely</t>
  </si>
  <si>
    <t>…/2018.dec.28.</t>
  </si>
  <si>
    <t>Szabó Béla EV - pályázati szakértői tanácsadás</t>
  </si>
  <si>
    <t>határozott - projekt záró elszámolási hi</t>
  </si>
  <si>
    <t>HIV/7342/2019.</t>
  </si>
  <si>
    <t>International Cert Hungary Kft - felülvizsgálati szerz</t>
  </si>
  <si>
    <t>20/2020. (VI. 29.) önkormányzati rendelet 1. melléklete</t>
  </si>
  <si>
    <t xml:space="preserve">20/2020. (VI. 29.) önkormányzati rendelet 1/1. melléklete </t>
  </si>
  <si>
    <t xml:space="preserve">20/2020. (VI. 29.) önkormányzati rendelet 1/2. melléklete </t>
  </si>
  <si>
    <t xml:space="preserve">20/2020. (VI. 29.) önkormányzati rendelet 1/3. melléklete </t>
  </si>
  <si>
    <t xml:space="preserve">20/2020. (VI. 29.) önkormányzati rendelet 1/4. melléklete </t>
  </si>
  <si>
    <t xml:space="preserve">20/2020. (VI. 29.) önkormányzati rendelet 1/5. melléklete </t>
  </si>
  <si>
    <t xml:space="preserve">20/2020. (VI. 29.) önkormányzati rendelet 1/6. melléklete </t>
  </si>
  <si>
    <t xml:space="preserve">20/2020. (VI. 29.) önkormányzati rendelet 1/7. melléklete </t>
  </si>
  <si>
    <t xml:space="preserve">20/2020. (VI. 29.) önkormányzati rendelet 1/8. melléklete </t>
  </si>
  <si>
    <t>20/2020. (VI. 29.) önkormányzati rendelet 2/1. melléklete</t>
  </si>
  <si>
    <t>20/2020. (VI. 29.) önkormányzati rendelet 2/1/1. melléklete</t>
  </si>
  <si>
    <t>20/2020. (VI. 29.) önkormányzati rendelet 2/2. melléklete</t>
  </si>
  <si>
    <t xml:space="preserve">20/2020. (VI. 29.) önkormányzati rendelet 2/3. melléklete  </t>
  </si>
  <si>
    <t>20/2020. (VI. 29.) önkormányzati  rendelet 2/4. melléklete</t>
  </si>
  <si>
    <t>20/2020. (VI. 29.) önkormányzati rendelet 3/1. melléklete</t>
  </si>
  <si>
    <t xml:space="preserve">20/2020. (VI. 29.) önkormányzati  rendelet 3/2. melléklete </t>
  </si>
  <si>
    <t xml:space="preserve">20/2020. (VI. 29.) önkormányzati  rendelet 3/3. melléklete </t>
  </si>
  <si>
    <t xml:space="preserve">20/2020. (VI. 29.) önkormányzati rendelet 3/4. melléklete </t>
  </si>
  <si>
    <t>20/2020. (VI. 29.) önkormányzati rendelet 4/1. melléklete</t>
  </si>
  <si>
    <t>20/2020. (VI. 29.) önkormányzati rendelet 4/2. melléklete</t>
  </si>
  <si>
    <t xml:space="preserve">20/2020. (VI. 29.) önkormányzati rendelet 5. melléklete   </t>
  </si>
  <si>
    <t xml:space="preserve"> 20/2020. (VI. 29.) önkormányzati rendelet 6. melléklete</t>
  </si>
  <si>
    <t>20/2020. (VI. 29.) önkormányzati  rendelet 7/1. melléklete</t>
  </si>
  <si>
    <t>20/2020. (VI. 29.) önkormányzati rendelet 7/2. melléklete</t>
  </si>
  <si>
    <t xml:space="preserve"> 20/2020. (VI. 29.) önkormányzati rendelet 8. melléklete </t>
  </si>
  <si>
    <t xml:space="preserve"> 20/2020. (VI. 29.) önkormányzati rendelet 9. melléklete </t>
  </si>
  <si>
    <t xml:space="preserve">  20/2020. (VI. 29.) önkormányzati rendelet 9/a. melléklete </t>
  </si>
  <si>
    <t xml:space="preserve">  20/2020. (VI. 29.) önkormányzati rendelet 9/b. melléklete </t>
  </si>
  <si>
    <t xml:space="preserve">  20/2020. (VI. 29.) önkormányzati rendelet 9/c. melléklete </t>
  </si>
  <si>
    <t xml:space="preserve">    20/2020. (VI. 29.) önkormányzati rendelet 9/d. melléklete </t>
  </si>
  <si>
    <t xml:space="preserve">    20/2020. (VI. 29.) önkormányzati rendelet 10.  melléklete </t>
  </si>
  <si>
    <t xml:space="preserve">     20/2020. (VI. 29.) önkormányzati rendelet 11.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</si>
</sst>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8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  <font>
      <b/>
      <sz val="10"/>
      <color indexed="10"/>
      <name val="Times New Roman"/>
      <family val="1"/>
      <charset val="238"/>
    </font>
    <font>
      <b/>
      <sz val="8"/>
      <color indexed="10"/>
      <name val="Arial"/>
      <family val="2"/>
      <charset val="238"/>
    </font>
    <font>
      <b/>
      <i/>
      <sz val="10"/>
      <name val="Times New Roman"/>
      <family val="1"/>
      <charset val="238"/>
    </font>
    <font>
      <sz val="7"/>
      <color rgb="FF00B050"/>
      <name val="Times New Roman"/>
      <family val="1"/>
      <charset val="238"/>
    </font>
    <font>
      <sz val="7"/>
      <color rgb="FFFF33CC"/>
      <name val="Times New Roman"/>
      <family val="1"/>
      <charset val="238"/>
    </font>
    <font>
      <sz val="8"/>
      <color rgb="FFFF33CC"/>
      <name val="Times New Roman"/>
      <family val="1"/>
      <charset val="238"/>
    </font>
    <font>
      <b/>
      <sz val="8"/>
      <color rgb="FFFF33CC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u/>
      <sz val="10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b/>
      <i/>
      <sz val="10"/>
      <color rgb="FF00B050"/>
      <name val="Times New Roman"/>
      <family val="1"/>
      <charset val="238"/>
    </font>
    <font>
      <b/>
      <sz val="1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9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6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</cellStyleXfs>
  <cellXfs count="2181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2" xfId="0" applyNumberFormat="1" applyFont="1" applyFill="1" applyBorder="1"/>
    <xf numFmtId="3" fontId="64" fillId="0" borderId="63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52" fillId="0" borderId="0" xfId="77" applyFont="1"/>
    <xf numFmtId="3" fontId="52" fillId="0" borderId="0" xfId="77" applyNumberFormat="1" applyFont="1"/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99" fillId="0" borderId="0" xfId="72" applyFont="1" applyAlignment="1"/>
    <xf numFmtId="0" fontId="99" fillId="0" borderId="0" xfId="72" applyFont="1" applyAlignment="1">
      <alignment horizontal="center"/>
    </xf>
    <xf numFmtId="0" fontId="97" fillId="0" borderId="0" xfId="72" applyFont="1" applyAlignment="1">
      <alignment horizontal="center"/>
    </xf>
    <xf numFmtId="0" fontId="97" fillId="0" borderId="0" xfId="72" applyFont="1" applyAlignment="1">
      <alignment horizontal="right"/>
    </xf>
    <xf numFmtId="0" fontId="99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7" fillId="0" borderId="0" xfId="72" applyNumberFormat="1" applyFont="1" applyAlignment="1"/>
    <xf numFmtId="0" fontId="97" fillId="0" borderId="0" xfId="72" applyFont="1" applyBorder="1" applyAlignment="1">
      <alignment horizontal="center"/>
    </xf>
    <xf numFmtId="0" fontId="97" fillId="0" borderId="0" xfId="72" applyFont="1" applyAlignment="1">
      <alignment horizontal="left"/>
    </xf>
    <xf numFmtId="0" fontId="97" fillId="0" borderId="0" xfId="72" applyFont="1" applyAlignment="1"/>
    <xf numFmtId="14" fontId="97" fillId="0" borderId="0" xfId="72" applyNumberFormat="1" applyFont="1" applyAlignment="1">
      <alignment horizontal="right"/>
    </xf>
    <xf numFmtId="0" fontId="97" fillId="0" borderId="0" xfId="72" applyFont="1" applyBorder="1" applyAlignment="1">
      <alignment horizontal="left"/>
    </xf>
    <xf numFmtId="0" fontId="97" fillId="0" borderId="0" xfId="72" applyFont="1" applyBorder="1" applyAlignment="1">
      <alignment horizontal="left" wrapText="1"/>
    </xf>
    <xf numFmtId="14" fontId="97" fillId="0" borderId="0" xfId="72" applyNumberFormat="1" applyFont="1" applyBorder="1" applyAlignment="1">
      <alignment horizontal="right"/>
    </xf>
    <xf numFmtId="0" fontId="97" fillId="0" borderId="0" xfId="72" applyFont="1" applyBorder="1" applyAlignment="1">
      <alignment horizontal="right"/>
    </xf>
    <xf numFmtId="14" fontId="97" fillId="0" borderId="0" xfId="72" applyNumberFormat="1" applyFont="1" applyBorder="1" applyAlignment="1" applyProtection="1">
      <alignment horizontal="left"/>
      <protection locked="0"/>
    </xf>
    <xf numFmtId="0" fontId="97" fillId="0" borderId="0" xfId="72" applyFont="1" applyBorder="1" applyAlignment="1" applyProtection="1">
      <alignment horizontal="left" wrapText="1"/>
      <protection locked="0"/>
    </xf>
    <xf numFmtId="14" fontId="97" fillId="0" borderId="0" xfId="72" applyNumberFormat="1" applyFont="1" applyBorder="1" applyAlignment="1" applyProtection="1">
      <alignment horizontal="right"/>
      <protection locked="0"/>
    </xf>
    <xf numFmtId="1" fontId="97" fillId="0" borderId="0" xfId="72" applyNumberFormat="1" applyFont="1" applyBorder="1" applyAlignment="1" applyProtection="1">
      <alignment wrapText="1"/>
      <protection locked="0"/>
    </xf>
    <xf numFmtId="1" fontId="97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7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7" fillId="0" borderId="0" xfId="72" applyFont="1" applyBorder="1" applyAlignment="1" applyProtection="1">
      <alignment wrapText="1"/>
      <protection locked="0"/>
    </xf>
    <xf numFmtId="1" fontId="97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7" fillId="0" borderId="0" xfId="72" applyFont="1"/>
    <xf numFmtId="0" fontId="97" fillId="0" borderId="0" xfId="72" applyFont="1" applyAlignment="1">
      <alignment horizontal="left" wrapText="1"/>
    </xf>
    <xf numFmtId="0" fontId="97" fillId="0" borderId="0" xfId="72" applyFont="1" applyAlignment="1">
      <alignment wrapText="1"/>
    </xf>
    <xf numFmtId="0" fontId="97" fillId="0" borderId="0" xfId="72" applyFont="1" applyAlignment="1">
      <alignment horizontal="right" wrapText="1"/>
    </xf>
    <xf numFmtId="3" fontId="97" fillId="0" borderId="0" xfId="72" applyNumberFormat="1" applyFont="1" applyAlignment="1">
      <alignment wrapText="1"/>
    </xf>
    <xf numFmtId="0" fontId="97" fillId="0" borderId="0" xfId="72" applyFont="1" applyBorder="1" applyAlignment="1">
      <alignment wrapText="1"/>
    </xf>
    <xf numFmtId="0" fontId="97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7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99" fillId="0" borderId="24" xfId="72" applyNumberFormat="1" applyFont="1" applyBorder="1" applyAlignment="1">
      <alignment horizontal="center"/>
    </xf>
    <xf numFmtId="0" fontId="99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99" fillId="0" borderId="0" xfId="72" applyFont="1" applyAlignment="1">
      <alignment horizontal="left"/>
    </xf>
    <xf numFmtId="0" fontId="99" fillId="0" borderId="0" xfId="72" applyFont="1" applyBorder="1" applyAlignment="1">
      <alignment horizontal="center"/>
    </xf>
    <xf numFmtId="0" fontId="99" fillId="0" borderId="0" xfId="72" applyFont="1" applyBorder="1" applyAlignment="1">
      <alignment horizontal="right"/>
    </xf>
    <xf numFmtId="0" fontId="100" fillId="0" borderId="0" xfId="72" applyFont="1" applyBorder="1" applyAlignment="1">
      <alignment horizontal="left"/>
    </xf>
    <xf numFmtId="3" fontId="99" fillId="0" borderId="24" xfId="72" applyNumberFormat="1" applyFont="1" applyBorder="1" applyAlignment="1"/>
    <xf numFmtId="3" fontId="103" fillId="0" borderId="0" xfId="0" applyNumberFormat="1" applyFont="1"/>
    <xf numFmtId="3" fontId="57" fillId="0" borderId="66" xfId="74" applyNumberFormat="1" applyFont="1" applyBorder="1"/>
    <xf numFmtId="3" fontId="34" fillId="0" borderId="66" xfId="0" applyNumberFormat="1" applyFont="1" applyBorder="1"/>
    <xf numFmtId="3" fontId="28" fillId="0" borderId="66" xfId="0" applyNumberFormat="1" applyFont="1" applyBorder="1"/>
    <xf numFmtId="3" fontId="30" fillId="0" borderId="66" xfId="0" applyNumberFormat="1" applyFont="1" applyBorder="1"/>
    <xf numFmtId="3" fontId="38" fillId="0" borderId="66" xfId="0" applyNumberFormat="1" applyFont="1" applyBorder="1"/>
    <xf numFmtId="3" fontId="25" fillId="0" borderId="66" xfId="0" applyNumberFormat="1" applyFont="1" applyBorder="1"/>
    <xf numFmtId="0" fontId="25" fillId="0" borderId="66" xfId="0" applyFont="1" applyBorder="1"/>
    <xf numFmtId="3" fontId="28" fillId="0" borderId="68" xfId="0" applyNumberFormat="1" applyFont="1" applyBorder="1"/>
    <xf numFmtId="3" fontId="57" fillId="0" borderId="66" xfId="0" applyNumberFormat="1" applyFont="1" applyBorder="1"/>
    <xf numFmtId="3" fontId="25" fillId="0" borderId="67" xfId="0" applyNumberFormat="1" applyFont="1" applyBorder="1"/>
    <xf numFmtId="0" fontId="34" fillId="0" borderId="66" xfId="0" applyFont="1" applyBorder="1"/>
    <xf numFmtId="0" fontId="25" fillId="0" borderId="27" xfId="0" applyFont="1" applyBorder="1" applyAlignment="1">
      <alignment wrapText="1"/>
    </xf>
    <xf numFmtId="0" fontId="52" fillId="0" borderId="0" xfId="73" applyFont="1" applyAlignment="1">
      <alignment horizontal="right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7" fillId="0" borderId="0" xfId="73" applyFont="1"/>
    <xf numFmtId="3" fontId="35" fillId="0" borderId="68" xfId="0" applyNumberFormat="1" applyFont="1" applyBorder="1"/>
    <xf numFmtId="3" fontId="58" fillId="0" borderId="66" xfId="74" applyNumberFormat="1" applyFont="1" applyBorder="1"/>
    <xf numFmtId="3" fontId="58" fillId="0" borderId="66" xfId="0" applyNumberFormat="1" applyFont="1" applyBorder="1"/>
    <xf numFmtId="3" fontId="35" fillId="0" borderId="66" xfId="0" applyNumberFormat="1" applyFont="1" applyBorder="1"/>
    <xf numFmtId="3" fontId="39" fillId="0" borderId="66" xfId="0" applyNumberFormat="1" applyFont="1" applyBorder="1"/>
    <xf numFmtId="3" fontId="66" fillId="0" borderId="66" xfId="0" applyNumberFormat="1" applyFont="1" applyBorder="1"/>
    <xf numFmtId="0" fontId="30" fillId="0" borderId="66" xfId="0" applyFont="1" applyBorder="1"/>
    <xf numFmtId="0" fontId="22" fillId="0" borderId="68" xfId="0" applyFont="1" applyBorder="1"/>
    <xf numFmtId="3" fontId="23" fillId="0" borderId="66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2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3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2" xfId="0" applyNumberFormat="1" applyFont="1" applyBorder="1"/>
    <xf numFmtId="3" fontId="64" fillId="0" borderId="75" xfId="0" applyNumberFormat="1" applyFont="1" applyBorder="1" applyAlignment="1">
      <alignment horizontal="right" vertical="center" wrapText="1"/>
    </xf>
    <xf numFmtId="3" fontId="64" fillId="0" borderId="76" xfId="0" applyNumberFormat="1" applyFont="1" applyBorder="1" applyAlignment="1">
      <alignment horizontal="center" vertical="center" wrapText="1"/>
    </xf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7" xfId="0" applyNumberFormat="1" applyFont="1" applyFill="1" applyBorder="1"/>
    <xf numFmtId="3" fontId="57" fillId="0" borderId="66" xfId="0" applyNumberFormat="1" applyFont="1" applyBorder="1" applyAlignment="1">
      <alignment horizontal="center" vertical="center" wrapText="1"/>
    </xf>
    <xf numFmtId="3" fontId="64" fillId="0" borderId="66" xfId="0" applyNumberFormat="1" applyFont="1" applyBorder="1"/>
    <xf numFmtId="3" fontId="59" fillId="0" borderId="66" xfId="0" applyNumberFormat="1" applyFont="1" applyBorder="1"/>
    <xf numFmtId="3" fontId="64" fillId="0" borderId="78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79" xfId="0" applyFont="1" applyFill="1" applyBorder="1" applyAlignment="1"/>
    <xf numFmtId="3" fontId="64" fillId="0" borderId="50" xfId="0" applyNumberFormat="1" applyFont="1" applyFill="1" applyBorder="1"/>
    <xf numFmtId="3" fontId="64" fillId="0" borderId="62" xfId="0" applyNumberFormat="1" applyFont="1" applyBorder="1"/>
    <xf numFmtId="3" fontId="64" fillId="0" borderId="80" xfId="0" applyNumberFormat="1" applyFont="1" applyBorder="1"/>
    <xf numFmtId="3" fontId="64" fillId="0" borderId="81" xfId="0" applyNumberFormat="1" applyFont="1" applyBorder="1"/>
    <xf numFmtId="3" fontId="64" fillId="0" borderId="66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0" fontId="62" fillId="0" borderId="0" xfId="0" applyFont="1" applyAlignment="1">
      <alignment wrapText="1"/>
    </xf>
    <xf numFmtId="0" fontId="39" fillId="0" borderId="22" xfId="0" applyFont="1" applyBorder="1"/>
    <xf numFmtId="3" fontId="59" fillId="0" borderId="62" xfId="0" applyNumberFormat="1" applyFont="1" applyFill="1" applyBorder="1"/>
    <xf numFmtId="3" fontId="59" fillId="0" borderId="80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09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3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5" xfId="0" applyFont="1" applyBorder="1"/>
    <xf numFmtId="0" fontId="57" fillId="0" borderId="66" xfId="0" applyFont="1" applyBorder="1"/>
    <xf numFmtId="0" fontId="57" fillId="0" borderId="69" xfId="0" applyFont="1" applyBorder="1"/>
    <xf numFmtId="3" fontId="64" fillId="0" borderId="69" xfId="0" applyNumberFormat="1" applyFont="1" applyBorder="1" applyAlignment="1">
      <alignment horizontal="right"/>
    </xf>
    <xf numFmtId="3" fontId="109" fillId="0" borderId="0" xfId="0" applyNumberFormat="1" applyFont="1"/>
    <xf numFmtId="3" fontId="110" fillId="0" borderId="0" xfId="0" applyNumberFormat="1" applyFont="1"/>
    <xf numFmtId="0" fontId="109" fillId="0" borderId="0" xfId="0" applyFont="1" applyBorder="1"/>
    <xf numFmtId="0" fontId="110" fillId="0" borderId="0" xfId="0" applyFont="1"/>
    <xf numFmtId="3" fontId="92" fillId="0" borderId="0" xfId="0" applyNumberFormat="1" applyFont="1" applyAlignment="1">
      <alignment wrapText="1"/>
    </xf>
    <xf numFmtId="0" fontId="107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4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5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3" fontId="35" fillId="0" borderId="22" xfId="0" applyNumberFormat="1" applyFont="1" applyBorder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4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7" xfId="0" applyNumberFormat="1" applyFont="1" applyBorder="1"/>
    <xf numFmtId="0" fontId="42" fillId="0" borderId="88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6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7" fillId="0" borderId="24" xfId="71" applyNumberFormat="1" applyFont="1" applyBorder="1" applyAlignment="1">
      <alignment vertical="center"/>
    </xf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99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0" fillId="0" borderId="0" xfId="0" applyNumberFormat="1" applyFont="1" applyFill="1"/>
    <xf numFmtId="14" fontId="97" fillId="0" borderId="0" xfId="72" applyNumberFormat="1" applyFont="1" applyFill="1" applyBorder="1" applyAlignment="1" applyProtection="1">
      <alignment horizontal="left"/>
      <protection locked="0"/>
    </xf>
    <xf numFmtId="3" fontId="121" fillId="0" borderId="0" xfId="72" applyNumberFormat="1" applyFont="1" applyFill="1" applyBorder="1" applyAlignment="1" applyProtection="1">
      <alignment wrapText="1"/>
      <protection locked="0"/>
    </xf>
    <xf numFmtId="3" fontId="97" fillId="0" borderId="0" xfId="0" applyNumberFormat="1" applyFont="1" applyFill="1"/>
    <xf numFmtId="3" fontId="97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2" fillId="0" borderId="0" xfId="0" applyFont="1" applyFill="1"/>
    <xf numFmtId="0" fontId="123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7" fillId="0" borderId="0" xfId="72" applyNumberFormat="1" applyFont="1" applyFill="1" applyBorder="1" applyAlignment="1" applyProtection="1">
      <alignment horizontal="right"/>
      <protection locked="0"/>
    </xf>
    <xf numFmtId="0" fontId="120" fillId="0" borderId="0" xfId="0" applyFont="1" applyFill="1" applyAlignment="1">
      <alignment horizontal="center"/>
    </xf>
    <xf numFmtId="3" fontId="123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4" fillId="0" borderId="24" xfId="71" applyNumberFormat="1" applyFont="1" applyFill="1" applyBorder="1" applyAlignment="1">
      <alignment vertical="center"/>
    </xf>
    <xf numFmtId="0" fontId="117" fillId="0" borderId="24" xfId="71" applyFont="1" applyBorder="1" applyAlignment="1">
      <alignment vertical="center"/>
    </xf>
    <xf numFmtId="4" fontId="117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8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18" fillId="0" borderId="24" xfId="71" applyNumberFormat="1" applyFont="1" applyFill="1" applyBorder="1" applyAlignment="1">
      <alignment vertical="center"/>
    </xf>
    <xf numFmtId="3" fontId="125" fillId="0" borderId="24" xfId="71" applyNumberFormat="1" applyFont="1" applyFill="1" applyBorder="1" applyAlignment="1">
      <alignment vertical="center" wrapText="1"/>
    </xf>
    <xf numFmtId="0" fontId="117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18" fillId="0" borderId="24" xfId="71" applyNumberFormat="1" applyFont="1" applyFill="1" applyBorder="1" applyAlignment="1">
      <alignment vertical="center"/>
    </xf>
    <xf numFmtId="165" fontId="118" fillId="0" borderId="24" xfId="71" applyNumberFormat="1" applyFont="1" applyFill="1" applyBorder="1" applyAlignment="1">
      <alignment vertical="center"/>
    </xf>
    <xf numFmtId="168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/>
    </xf>
    <xf numFmtId="3" fontId="118" fillId="0" borderId="24" xfId="71" applyNumberFormat="1" applyFont="1" applyBorder="1" applyAlignment="1">
      <alignment horizontal="right" vertical="center"/>
    </xf>
    <xf numFmtId="165" fontId="118" fillId="0" borderId="24" xfId="71" applyNumberFormat="1" applyFont="1" applyBorder="1" applyAlignment="1">
      <alignment vertical="center"/>
    </xf>
    <xf numFmtId="0" fontId="126" fillId="0" borderId="24" xfId="75" applyFont="1" applyBorder="1" applyAlignment="1">
      <alignment vertical="center"/>
    </xf>
    <xf numFmtId="3" fontId="118" fillId="0" borderId="24" xfId="75" applyNumberFormat="1" applyFont="1" applyBorder="1" applyAlignment="1">
      <alignment vertical="center"/>
    </xf>
    <xf numFmtId="0" fontId="108" fillId="0" borderId="24" xfId="71" applyFont="1" applyBorder="1" applyAlignment="1">
      <alignment vertical="center" wrapText="1"/>
    </xf>
    <xf numFmtId="9" fontId="118" fillId="0" borderId="24" xfId="71" applyNumberFormat="1" applyFont="1" applyFill="1" applyBorder="1" applyAlignment="1">
      <alignment vertical="center"/>
    </xf>
    <xf numFmtId="0" fontId="117" fillId="0" borderId="25" xfId="71" applyFont="1" applyBorder="1" applyAlignment="1">
      <alignment vertical="center" wrapText="1"/>
    </xf>
    <xf numFmtId="3" fontId="118" fillId="0" borderId="25" xfId="71" applyNumberFormat="1" applyFont="1" applyBorder="1" applyAlignment="1">
      <alignment vertical="center"/>
    </xf>
    <xf numFmtId="3" fontId="118" fillId="0" borderId="25" xfId="71" applyNumberFormat="1" applyFont="1" applyFill="1" applyBorder="1" applyAlignment="1">
      <alignment vertical="center"/>
    </xf>
    <xf numFmtId="165" fontId="118" fillId="0" borderId="25" xfId="71" applyNumberFormat="1" applyFont="1" applyFill="1" applyBorder="1" applyAlignment="1">
      <alignment vertical="center"/>
    </xf>
    <xf numFmtId="3" fontId="117" fillId="0" borderId="25" xfId="71" applyNumberFormat="1" applyFont="1" applyBorder="1" applyAlignment="1">
      <alignment vertical="center"/>
    </xf>
    <xf numFmtId="4" fontId="117" fillId="0" borderId="25" xfId="71" applyNumberFormat="1" applyFont="1" applyBorder="1" applyAlignment="1">
      <alignment vertical="center"/>
    </xf>
    <xf numFmtId="0" fontId="108" fillId="0" borderId="92" xfId="71" applyFont="1" applyFill="1" applyBorder="1" applyAlignment="1">
      <alignment vertical="center"/>
    </xf>
    <xf numFmtId="3" fontId="127" fillId="0" borderId="62" xfId="71" applyNumberFormat="1" applyFont="1" applyFill="1" applyBorder="1" applyAlignment="1">
      <alignment vertical="center"/>
    </xf>
    <xf numFmtId="3" fontId="127" fillId="0" borderId="80" xfId="71" applyNumberFormat="1" applyFont="1" applyFill="1" applyBorder="1" applyAlignment="1">
      <alignment vertical="center"/>
    </xf>
    <xf numFmtId="3" fontId="127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3" xfId="0" applyFont="1" applyBorder="1"/>
    <xf numFmtId="0" fontId="50" fillId="0" borderId="93" xfId="0" applyFont="1" applyBorder="1" applyAlignment="1">
      <alignment horizontal="right"/>
    </xf>
    <xf numFmtId="0" fontId="54" fillId="0" borderId="93" xfId="0" applyFont="1" applyBorder="1" applyAlignment="1">
      <alignment horizontal="right"/>
    </xf>
    <xf numFmtId="0" fontId="48" fillId="0" borderId="93" xfId="0" applyFont="1" applyBorder="1" applyAlignment="1">
      <alignment horizontal="right"/>
    </xf>
    <xf numFmtId="4" fontId="48" fillId="0" borderId="93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0" xfId="0" applyFont="1" applyBorder="1"/>
    <xf numFmtId="0" fontId="55" fillId="0" borderId="90" xfId="0" applyFont="1" applyBorder="1" applyAlignment="1">
      <alignment horizontal="right"/>
    </xf>
    <xf numFmtId="0" fontId="54" fillId="0" borderId="90" xfId="0" applyFont="1" applyBorder="1" applyAlignment="1">
      <alignment horizontal="right"/>
    </xf>
    <xf numFmtId="0" fontId="48" fillId="0" borderId="90" xfId="0" applyFont="1" applyBorder="1" applyAlignment="1">
      <alignment horizontal="right"/>
    </xf>
    <xf numFmtId="0" fontId="48" fillId="0" borderId="91" xfId="0" applyFont="1" applyFill="1" applyBorder="1" applyAlignment="1">
      <alignment horizontal="right"/>
    </xf>
    <xf numFmtId="14" fontId="97" fillId="0" borderId="0" xfId="72" applyNumberFormat="1" applyFont="1" applyFill="1" applyBorder="1" applyAlignment="1" applyProtection="1">
      <alignment horizontal="left" wrapText="1"/>
      <protection locked="0"/>
    </xf>
    <xf numFmtId="0" fontId="108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19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19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29" fillId="0" borderId="24" xfId="71" applyFont="1" applyBorder="1" applyAlignment="1">
      <alignment vertical="center"/>
    </xf>
    <xf numFmtId="2" fontId="118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 wrapText="1"/>
    </xf>
    <xf numFmtId="0" fontId="130" fillId="0" borderId="24" xfId="71" applyFont="1" applyBorder="1" applyAlignment="1">
      <alignment vertical="center"/>
    </xf>
    <xf numFmtId="3" fontId="118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5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 wrapText="1"/>
    </xf>
    <xf numFmtId="0" fontId="113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18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5" fillId="0" borderId="0" xfId="71" applyFont="1" applyBorder="1" applyAlignment="1">
      <alignment vertical="center"/>
    </xf>
    <xf numFmtId="0" fontId="131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4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6" xfId="0" applyFont="1" applyBorder="1"/>
    <xf numFmtId="0" fontId="43" fillId="0" borderId="66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3" fontId="25" fillId="0" borderId="72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2" xfId="0" applyNumberFormat="1" applyFont="1" applyBorder="1"/>
    <xf numFmtId="3" fontId="30" fillId="0" borderId="74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6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6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6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3" fillId="0" borderId="0" xfId="0" applyFont="1" applyBorder="1"/>
    <xf numFmtId="3" fontId="133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6" xfId="0" applyFont="1" applyBorder="1" applyAlignment="1">
      <alignment horizontal="left" vertical="center" wrapText="1"/>
    </xf>
    <xf numFmtId="0" fontId="58" fillId="0" borderId="66" xfId="0" applyFont="1" applyBorder="1"/>
    <xf numFmtId="0" fontId="82" fillId="0" borderId="66" xfId="0" applyFont="1" applyBorder="1"/>
    <xf numFmtId="0" fontId="85" fillId="0" borderId="66" xfId="0" applyFont="1" applyBorder="1"/>
    <xf numFmtId="0" fontId="85" fillId="0" borderId="66" xfId="0" applyFont="1" applyFill="1" applyBorder="1"/>
    <xf numFmtId="3" fontId="25" fillId="0" borderId="74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5" xfId="0" applyNumberFormat="1" applyFont="1" applyBorder="1" applyAlignment="1">
      <alignment horizontal="center" vertical="center" wrapText="1"/>
    </xf>
    <xf numFmtId="3" fontId="28" fillId="0" borderId="88" xfId="0" applyNumberFormat="1" applyFont="1" applyBorder="1"/>
    <xf numFmtId="3" fontId="28" fillId="25" borderId="66" xfId="0" applyNumberFormat="1" applyFont="1" applyFill="1" applyBorder="1"/>
    <xf numFmtId="0" fontId="77" fillId="0" borderId="87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3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3" fontId="82" fillId="0" borderId="22" xfId="0" applyNumberFormat="1" applyFont="1" applyBorder="1"/>
    <xf numFmtId="3" fontId="135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5" xfId="0" applyFont="1" applyBorder="1" applyAlignment="1">
      <alignment horizontal="center" vertical="center"/>
    </xf>
    <xf numFmtId="3" fontId="93" fillId="0" borderId="85" xfId="0" applyNumberFormat="1" applyFont="1" applyBorder="1" applyAlignment="1">
      <alignment horizontal="center" vertical="center" wrapText="1"/>
    </xf>
    <xf numFmtId="3" fontId="93" fillId="0" borderId="86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7" xfId="0" applyFont="1" applyBorder="1"/>
    <xf numFmtId="3" fontId="30" fillId="0" borderId="87" xfId="0" applyNumberFormat="1" applyFont="1" applyBorder="1"/>
    <xf numFmtId="3" fontId="59" fillId="0" borderId="21" xfId="0" applyNumberFormat="1" applyFont="1" applyBorder="1"/>
    <xf numFmtId="3" fontId="133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0" fontId="136" fillId="0" borderId="0" xfId="0" applyFont="1" applyBorder="1" applyAlignment="1">
      <alignment vertic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8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8" fillId="0" borderId="34" xfId="0" applyNumberFormat="1" applyFont="1" applyBorder="1"/>
    <xf numFmtId="3" fontId="108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6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8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6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6" xfId="0" applyNumberFormat="1" applyFont="1" applyBorder="1" applyAlignment="1">
      <alignment horizontal="center" vertical="center"/>
    </xf>
    <xf numFmtId="3" fontId="25" fillId="0" borderId="78" xfId="0" applyNumberFormat="1" applyFont="1" applyBorder="1"/>
    <xf numFmtId="3" fontId="25" fillId="0" borderId="83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8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3" xfId="0" applyNumberFormat="1" applyFont="1" applyBorder="1"/>
    <xf numFmtId="3" fontId="130" fillId="0" borderId="24" xfId="71" applyNumberFormat="1" applyFont="1" applyBorder="1" applyAlignment="1">
      <alignment vertical="center"/>
    </xf>
    <xf numFmtId="3" fontId="138" fillId="0" borderId="24" xfId="71" applyNumberFormat="1" applyFont="1" applyFill="1" applyBorder="1" applyAlignment="1">
      <alignment vertical="center"/>
    </xf>
    <xf numFmtId="0" fontId="138" fillId="0" borderId="0" xfId="71" applyFont="1" applyAlignment="1">
      <alignment vertical="center"/>
    </xf>
    <xf numFmtId="0" fontId="1" fillId="0" borderId="0" xfId="70" applyAlignment="1">
      <alignment vertical="center"/>
    </xf>
    <xf numFmtId="3" fontId="140" fillId="0" borderId="24" xfId="71" applyNumberFormat="1" applyFont="1" applyBorder="1" applyAlignment="1">
      <alignment vertical="center"/>
    </xf>
    <xf numFmtId="3" fontId="141" fillId="0" borderId="0" xfId="71" applyNumberFormat="1" applyFont="1" applyAlignment="1">
      <alignment vertical="center"/>
    </xf>
    <xf numFmtId="3" fontId="139" fillId="0" borderId="24" xfId="71" applyNumberFormat="1" applyFont="1" applyBorder="1" applyAlignment="1">
      <alignment vertical="center" wrapText="1"/>
    </xf>
    <xf numFmtId="165" fontId="140" fillId="0" borderId="24" xfId="71" applyNumberFormat="1" applyFont="1" applyBorder="1" applyAlignment="1">
      <alignment vertical="center"/>
    </xf>
    <xf numFmtId="167" fontId="140" fillId="0" borderId="24" xfId="71" applyNumberFormat="1" applyFont="1" applyBorder="1" applyAlignment="1">
      <alignment vertical="center"/>
    </xf>
    <xf numFmtId="4" fontId="140" fillId="0" borderId="24" xfId="71" applyNumberFormat="1" applyFont="1" applyBorder="1" applyAlignment="1">
      <alignment vertical="center"/>
    </xf>
    <xf numFmtId="3" fontId="142" fillId="0" borderId="24" xfId="71" applyNumberFormat="1" applyFont="1" applyFill="1" applyBorder="1" applyAlignment="1">
      <alignment vertical="center"/>
    </xf>
    <xf numFmtId="3" fontId="140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6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44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99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3" xfId="0" applyNumberFormat="1" applyFont="1" applyBorder="1"/>
    <xf numFmtId="3" fontId="26" fillId="0" borderId="98" xfId="0" applyNumberFormat="1" applyFont="1" applyBorder="1"/>
    <xf numFmtId="0" fontId="53" fillId="0" borderId="93" xfId="0" applyFont="1" applyBorder="1"/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6" xfId="0" applyNumberFormat="1" applyFont="1" applyBorder="1" applyAlignment="1">
      <alignment horizontal="right" vertical="center"/>
    </xf>
    <xf numFmtId="0" fontId="23" fillId="0" borderId="66" xfId="0" applyFont="1" applyBorder="1"/>
    <xf numFmtId="0" fontId="22" fillId="0" borderId="121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7" fillId="0" borderId="12" xfId="0" applyFont="1" applyBorder="1" applyAlignment="1">
      <alignment horizontal="right"/>
    </xf>
    <xf numFmtId="0" fontId="99" fillId="0" borderId="12" xfId="0" applyFont="1" applyBorder="1" applyAlignment="1">
      <alignment horizontal="right"/>
    </xf>
    <xf numFmtId="0" fontId="99" fillId="0" borderId="24" xfId="72" applyFont="1" applyFill="1" applyBorder="1" applyAlignment="1">
      <alignment horizontal="center"/>
    </xf>
    <xf numFmtId="0" fontId="99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49" fontId="99" fillId="0" borderId="24" xfId="72" applyNumberFormat="1" applyFont="1" applyFill="1" applyBorder="1" applyAlignment="1">
      <alignment horizontal="center" wrapText="1"/>
    </xf>
    <xf numFmtId="0" fontId="99" fillId="0" borderId="24" xfId="0" applyFont="1" applyBorder="1" applyAlignment="1">
      <alignment horizontal="center" wrapText="1"/>
    </xf>
    <xf numFmtId="0" fontId="97" fillId="0" borderId="0" xfId="72" applyFont="1" applyFill="1" applyBorder="1" applyAlignment="1">
      <alignment horizontal="center"/>
    </xf>
    <xf numFmtId="0" fontId="97" fillId="0" borderId="0" xfId="72" applyFont="1" applyFill="1" applyAlignment="1">
      <alignment horizontal="left" wrapText="1"/>
    </xf>
    <xf numFmtId="0" fontId="97" fillId="0" borderId="0" xfId="72" applyFont="1" applyFill="1" applyAlignment="1">
      <alignment wrapText="1"/>
    </xf>
    <xf numFmtId="0" fontId="97" fillId="0" borderId="0" xfId="72" applyFont="1" applyFill="1" applyAlignment="1">
      <alignment horizontal="center"/>
    </xf>
    <xf numFmtId="3" fontId="97" fillId="0" borderId="0" xfId="72" applyNumberFormat="1" applyFont="1" applyFill="1" applyAlignment="1">
      <alignment wrapText="1"/>
    </xf>
    <xf numFmtId="0" fontId="97" fillId="0" borderId="0" xfId="72" applyFont="1" applyFill="1" applyAlignment="1">
      <alignment horizontal="left"/>
    </xf>
    <xf numFmtId="0" fontId="97" fillId="0" borderId="0" xfId="72" applyFont="1" applyFill="1" applyAlignment="1"/>
    <xf numFmtId="3" fontId="97" fillId="0" borderId="0" xfId="72" applyNumberFormat="1" applyFont="1" applyFill="1" applyAlignment="1"/>
    <xf numFmtId="14" fontId="97" fillId="0" borderId="0" xfId="72" applyNumberFormat="1" applyFont="1" applyFill="1" applyAlignment="1">
      <alignment horizontal="center"/>
    </xf>
    <xf numFmtId="0" fontId="97" fillId="0" borderId="0" xfId="72" applyFont="1" applyFill="1" applyBorder="1" applyAlignment="1">
      <alignment horizontal="left"/>
    </xf>
    <xf numFmtId="0" fontId="97" fillId="0" borderId="0" xfId="72" applyFont="1" applyFill="1" applyBorder="1" applyAlignment="1">
      <alignment horizontal="left" wrapText="1"/>
    </xf>
    <xf numFmtId="14" fontId="97" fillId="0" borderId="0" xfId="72" applyNumberFormat="1" applyFont="1" applyFill="1" applyBorder="1" applyAlignment="1">
      <alignment horizontal="center"/>
    </xf>
    <xf numFmtId="3" fontId="97" fillId="0" borderId="0" xfId="72" applyNumberFormat="1" applyFont="1" applyFill="1" applyBorder="1" applyAlignment="1">
      <alignment horizontal="right"/>
    </xf>
    <xf numFmtId="0" fontId="97" fillId="0" borderId="0" xfId="72" applyFont="1" applyFill="1" applyBorder="1" applyAlignment="1" applyProtection="1">
      <alignment wrapText="1"/>
      <protection locked="0"/>
    </xf>
    <xf numFmtId="14" fontId="97" fillId="0" borderId="0" xfId="72" applyNumberFormat="1" applyFont="1" applyFill="1" applyBorder="1" applyAlignment="1" applyProtection="1">
      <alignment horizontal="center"/>
      <protection locked="0"/>
    </xf>
    <xf numFmtId="3" fontId="97" fillId="0" borderId="0" xfId="72" applyNumberFormat="1" applyFont="1" applyFill="1" applyBorder="1" applyAlignment="1" applyProtection="1">
      <alignment horizontal="right" wrapText="1"/>
      <protection locked="0"/>
    </xf>
    <xf numFmtId="3" fontId="97" fillId="0" borderId="0" xfId="72" applyNumberFormat="1" applyFont="1" applyFill="1" applyBorder="1" applyAlignment="1" applyProtection="1">
      <protection locked="0"/>
    </xf>
    <xf numFmtId="0" fontId="97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7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7" fillId="0" borderId="0" xfId="0" applyNumberFormat="1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97" fillId="0" borderId="0" xfId="0" applyFont="1" applyFill="1"/>
    <xf numFmtId="0" fontId="145" fillId="0" borderId="0" xfId="0" applyFont="1" applyFill="1"/>
    <xf numFmtId="0" fontId="145" fillId="0" borderId="0" xfId="0" applyFont="1"/>
    <xf numFmtId="3" fontId="99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0" fontId="97" fillId="0" borderId="15" xfId="0" applyFont="1" applyBorder="1" applyAlignment="1">
      <alignment wrapText="1"/>
    </xf>
    <xf numFmtId="0" fontId="99" fillId="0" borderId="24" xfId="0" applyFont="1" applyBorder="1"/>
    <xf numFmtId="0" fontId="100" fillId="0" borderId="24" xfId="0" applyFont="1" applyBorder="1" applyAlignment="1">
      <alignment horizontal="right"/>
    </xf>
    <xf numFmtId="0" fontId="97" fillId="0" borderId="24" xfId="0" applyFont="1" applyBorder="1" applyAlignment="1">
      <alignment horizontal="right"/>
    </xf>
    <xf numFmtId="0" fontId="99" fillId="0" borderId="24" xfId="0" applyFont="1" applyBorder="1" applyAlignment="1">
      <alignment horizontal="right"/>
    </xf>
    <xf numFmtId="165" fontId="99" fillId="0" borderId="24" xfId="0" applyNumberFormat="1" applyFont="1" applyBorder="1" applyAlignment="1">
      <alignment horizontal="right"/>
    </xf>
    <xf numFmtId="1" fontId="99" fillId="0" borderId="24" xfId="0" applyNumberFormat="1" applyFont="1" applyBorder="1" applyAlignment="1">
      <alignment horizontal="right"/>
    </xf>
    <xf numFmtId="167" fontId="99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3" fontId="25" fillId="0" borderId="69" xfId="0" applyNumberFormat="1" applyFont="1" applyBorder="1"/>
    <xf numFmtId="3" fontId="28" fillId="0" borderId="0" xfId="0" applyNumberFormat="1" applyFont="1" applyAlignment="1">
      <alignment wrapText="1"/>
    </xf>
    <xf numFmtId="0" fontId="61" fillId="0" borderId="0" xfId="78" applyFont="1" applyBorder="1"/>
    <xf numFmtId="0" fontId="43" fillId="0" borderId="66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6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6" xfId="0" applyFont="1" applyBorder="1" applyAlignment="1">
      <alignment vertical="center"/>
    </xf>
    <xf numFmtId="3" fontId="125" fillId="0" borderId="0" xfId="0" applyNumberFormat="1" applyFont="1" applyBorder="1"/>
    <xf numFmtId="3" fontId="125" fillId="0" borderId="66" xfId="0" applyNumberFormat="1" applyFont="1" applyBorder="1"/>
    <xf numFmtId="3" fontId="30" fillId="0" borderId="59" xfId="0" applyNumberFormat="1" applyFont="1" applyFill="1" applyBorder="1"/>
    <xf numFmtId="0" fontId="30" fillId="0" borderId="78" xfId="0" applyFont="1" applyBorder="1"/>
    <xf numFmtId="3" fontId="25" fillId="0" borderId="65" xfId="0" applyNumberFormat="1" applyFont="1" applyBorder="1"/>
    <xf numFmtId="3" fontId="25" fillId="0" borderId="64" xfId="0" applyNumberFormat="1" applyFont="1" applyFill="1" applyBorder="1"/>
    <xf numFmtId="3" fontId="30" fillId="0" borderId="124" xfId="0" applyNumberFormat="1" applyFont="1" applyBorder="1"/>
    <xf numFmtId="3" fontId="25" fillId="0" borderId="124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99" fillId="24" borderId="12" xfId="0" applyNumberFormat="1" applyFont="1" applyFill="1" applyBorder="1" applyAlignment="1">
      <alignment horizontal="right" vertical="center"/>
    </xf>
    <xf numFmtId="167" fontId="99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6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6" xfId="0" applyNumberFormat="1" applyFont="1" applyBorder="1" applyAlignment="1">
      <alignment vertical="center"/>
    </xf>
    <xf numFmtId="0" fontId="25" fillId="0" borderId="83" xfId="0" applyFont="1" applyBorder="1"/>
    <xf numFmtId="0" fontId="40" fillId="0" borderId="0" xfId="0" applyFont="1" applyBorder="1"/>
    <xf numFmtId="0" fontId="108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3" fontId="108" fillId="0" borderId="34" xfId="0" applyNumberFormat="1" applyFont="1" applyBorder="1" applyAlignment="1">
      <alignment vertical="center"/>
    </xf>
    <xf numFmtId="3" fontId="29" fillId="0" borderId="0" xfId="0" applyNumberFormat="1" applyFont="1"/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4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3" xfId="0" applyNumberFormat="1" applyFont="1" applyBorder="1" applyAlignment="1">
      <alignment vertical="center"/>
    </xf>
    <xf numFmtId="0" fontId="44" fillId="0" borderId="72" xfId="0" applyFont="1" applyBorder="1"/>
    <xf numFmtId="0" fontId="48" fillId="0" borderId="27" xfId="0" applyFont="1" applyFill="1" applyBorder="1" applyAlignment="1">
      <alignment wrapText="1"/>
    </xf>
    <xf numFmtId="3" fontId="44" fillId="0" borderId="74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8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4" xfId="0" applyFont="1" applyBorder="1"/>
    <xf numFmtId="0" fontId="28" fillId="0" borderId="125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8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29" fillId="0" borderId="0" xfId="71" applyFont="1" applyAlignment="1">
      <alignment vertical="center"/>
    </xf>
    <xf numFmtId="0" fontId="117" fillId="0" borderId="0" xfId="71" applyFont="1" applyAlignment="1">
      <alignment vertical="center"/>
    </xf>
    <xf numFmtId="3" fontId="117" fillId="0" borderId="0" xfId="71" applyNumberFormat="1" applyFont="1" applyAlignment="1">
      <alignment vertical="center"/>
    </xf>
    <xf numFmtId="3" fontId="153" fillId="0" borderId="46" xfId="71" applyNumberFormat="1" applyFont="1" applyFill="1" applyBorder="1" applyAlignment="1">
      <alignment horizontal="center" vertical="center" wrapText="1"/>
    </xf>
    <xf numFmtId="3" fontId="153" fillId="0" borderId="33" xfId="71" applyNumberFormat="1" applyFont="1" applyFill="1" applyBorder="1" applyAlignment="1">
      <alignment horizontal="center" vertical="center" wrapText="1"/>
    </xf>
    <xf numFmtId="3" fontId="153" fillId="0" borderId="47" xfId="71" applyNumberFormat="1" applyFont="1" applyFill="1" applyBorder="1" applyAlignment="1">
      <alignment horizontal="center" vertical="center" wrapText="1"/>
    </xf>
    <xf numFmtId="0" fontId="129" fillId="0" borderId="0" xfId="71" applyFont="1" applyBorder="1" applyAlignment="1">
      <alignment vertical="center"/>
    </xf>
    <xf numFmtId="0" fontId="108" fillId="0" borderId="48" xfId="71" applyFont="1" applyBorder="1" applyAlignment="1">
      <alignment vertical="center"/>
    </xf>
    <xf numFmtId="3" fontId="118" fillId="0" borderId="48" xfId="71" applyNumberFormat="1" applyFont="1" applyFill="1" applyBorder="1" applyAlignment="1">
      <alignment vertical="center"/>
    </xf>
    <xf numFmtId="0" fontId="129" fillId="0" borderId="48" xfId="71" applyFont="1" applyBorder="1" applyAlignment="1">
      <alignment vertical="center"/>
    </xf>
    <xf numFmtId="0" fontId="129" fillId="0" borderId="22" xfId="71" applyFont="1" applyBorder="1" applyAlignment="1">
      <alignment vertical="center"/>
    </xf>
    <xf numFmtId="0" fontId="115" fillId="0" borderId="24" xfId="71" applyFont="1" applyBorder="1" applyAlignment="1">
      <alignment vertical="center"/>
    </xf>
    <xf numFmtId="3" fontId="154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29" fillId="0" borderId="0" xfId="71" applyNumberFormat="1" applyFont="1" applyAlignment="1">
      <alignment vertical="center"/>
    </xf>
    <xf numFmtId="3" fontId="154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49" fillId="0" borderId="22" xfId="70" applyFont="1" applyBorder="1" applyAlignment="1">
      <alignment vertical="center"/>
    </xf>
    <xf numFmtId="0" fontId="129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1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49" fillId="0" borderId="22" xfId="70" applyFont="1" applyBorder="1" applyAlignment="1">
      <alignment vertical="center" wrapText="1"/>
    </xf>
    <xf numFmtId="0" fontId="156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17" fillId="0" borderId="24" xfId="71" applyNumberFormat="1" applyFont="1" applyBorder="1" applyAlignment="1">
      <alignment vertical="center"/>
    </xf>
    <xf numFmtId="0" fontId="127" fillId="0" borderId="24" xfId="71" applyFont="1" applyBorder="1" applyAlignment="1">
      <alignment vertical="center" wrapText="1"/>
    </xf>
    <xf numFmtId="0" fontId="157" fillId="0" borderId="0" xfId="71" applyFont="1" applyAlignment="1">
      <alignment vertical="center"/>
    </xf>
    <xf numFmtId="9" fontId="118" fillId="0" borderId="25" xfId="71" applyNumberFormat="1" applyFont="1" applyFill="1" applyBorder="1" applyAlignment="1">
      <alignment vertical="center"/>
    </xf>
    <xf numFmtId="0" fontId="127" fillId="0" borderId="25" xfId="71" applyFont="1" applyBorder="1" applyAlignment="1">
      <alignment vertical="center" wrapText="1"/>
    </xf>
    <xf numFmtId="3" fontId="108" fillId="0" borderId="62" xfId="71" applyNumberFormat="1" applyFont="1" applyFill="1" applyBorder="1" applyAlignment="1">
      <alignment vertical="center"/>
    </xf>
    <xf numFmtId="3" fontId="108" fillId="0" borderId="80" xfId="71" applyNumberFormat="1" applyFont="1" applyFill="1" applyBorder="1" applyAlignment="1">
      <alignment vertical="center"/>
    </xf>
    <xf numFmtId="3" fontId="108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0" fontId="30" fillId="0" borderId="49" xfId="0" applyFont="1" applyBorder="1" applyAlignment="1">
      <alignment wrapText="1"/>
    </xf>
    <xf numFmtId="3" fontId="119" fillId="0" borderId="0" xfId="78" applyNumberFormat="1" applyFont="1" applyBorder="1" applyAlignment="1">
      <alignment vertical="center"/>
    </xf>
    <xf numFmtId="3" fontId="134" fillId="0" borderId="0" xfId="78" applyNumberFormat="1" applyFont="1" applyBorder="1" applyAlignment="1">
      <alignment vertical="center"/>
    </xf>
    <xf numFmtId="3" fontId="119" fillId="0" borderId="0" xfId="78" applyNumberFormat="1" applyFont="1" applyAlignment="1">
      <alignment vertical="center"/>
    </xf>
    <xf numFmtId="0" fontId="44" fillId="0" borderId="66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6" xfId="0" applyNumberFormat="1" applyFont="1" applyBorder="1" applyAlignment="1">
      <alignment vertical="center" wrapText="1"/>
    </xf>
    <xf numFmtId="3" fontId="158" fillId="0" borderId="0" xfId="71" applyNumberFormat="1" applyFont="1" applyAlignment="1">
      <alignment vertical="center"/>
    </xf>
    <xf numFmtId="3" fontId="158" fillId="0" borderId="0" xfId="71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108" fillId="0" borderId="26" xfId="0" applyNumberFormat="1" applyFont="1" applyBorder="1"/>
    <xf numFmtId="3" fontId="108" fillId="0" borderId="0" xfId="0" applyNumberFormat="1" applyFont="1" applyBorder="1"/>
    <xf numFmtId="1" fontId="35" fillId="0" borderId="0" xfId="78" applyNumberFormat="1" applyFont="1"/>
    <xf numFmtId="3" fontId="35" fillId="0" borderId="22" xfId="78" applyNumberFormat="1" applyFont="1" applyBorder="1"/>
    <xf numFmtId="0" fontId="97" fillId="0" borderId="12" xfId="0" applyFont="1" applyBorder="1" applyAlignment="1">
      <alignment wrapText="1"/>
    </xf>
    <xf numFmtId="0" fontId="97" fillId="0" borderId="12" xfId="0" applyFont="1" applyBorder="1"/>
    <xf numFmtId="0" fontId="97" fillId="0" borderId="12" xfId="0" applyFont="1" applyBorder="1" applyAlignment="1">
      <alignment horizontal="right" vertical="center"/>
    </xf>
    <xf numFmtId="0" fontId="99" fillId="0" borderId="12" xfId="0" applyFont="1" applyBorder="1" applyAlignment="1">
      <alignment horizontal="right" vertical="center"/>
    </xf>
    <xf numFmtId="165" fontId="99" fillId="0" borderId="12" xfId="0" applyNumberFormat="1" applyFont="1" applyBorder="1" applyAlignment="1">
      <alignment horizontal="right"/>
    </xf>
    <xf numFmtId="1" fontId="48" fillId="0" borderId="12" xfId="0" applyNumberFormat="1" applyFont="1" applyBorder="1"/>
    <xf numFmtId="166" fontId="35" fillId="0" borderId="12" xfId="0" applyNumberFormat="1" applyFont="1" applyBorder="1" applyAlignment="1">
      <alignment horizontal="center" vertical="center"/>
    </xf>
    <xf numFmtId="0" fontId="97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3" fontId="29" fillId="0" borderId="83" xfId="0" applyNumberFormat="1" applyFont="1" applyBorder="1" applyAlignment="1">
      <alignment vertical="center"/>
    </xf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6" xfId="78" applyNumberFormat="1" applyFont="1" applyBorder="1"/>
    <xf numFmtId="3" fontId="28" fillId="0" borderId="66" xfId="78" applyNumberFormat="1" applyFont="1" applyBorder="1" applyAlignment="1">
      <alignment vertical="center"/>
    </xf>
    <xf numFmtId="3" fontId="28" fillId="0" borderId="69" xfId="78" applyNumberFormat="1" applyFont="1" applyBorder="1" applyAlignment="1">
      <alignment vertical="center"/>
    </xf>
    <xf numFmtId="3" fontId="30" fillId="0" borderId="66" xfId="78" applyNumberFormat="1" applyFont="1" applyBorder="1"/>
    <xf numFmtId="3" fontId="35" fillId="0" borderId="66" xfId="78" applyNumberFormat="1" applyFont="1" applyBorder="1" applyAlignment="1">
      <alignment vertical="center"/>
    </xf>
    <xf numFmtId="3" fontId="35" fillId="0" borderId="66" xfId="78" applyNumberFormat="1" applyFont="1" applyBorder="1" applyAlignment="1">
      <alignment horizontal="right" vertical="center"/>
    </xf>
    <xf numFmtId="3" fontId="31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148" fillId="0" borderId="66" xfId="0" applyFont="1" applyBorder="1" applyAlignment="1">
      <alignment wrapText="1"/>
    </xf>
    <xf numFmtId="0" fontId="108" fillId="0" borderId="66" xfId="0" applyFont="1" applyBorder="1" applyAlignment="1">
      <alignment vertical="center" wrapText="1"/>
    </xf>
    <xf numFmtId="0" fontId="56" fillId="0" borderId="66" xfId="0" applyFont="1" applyBorder="1" applyAlignment="1">
      <alignment wrapText="1"/>
    </xf>
    <xf numFmtId="0" fontId="108" fillId="0" borderId="72" xfId="0" applyFont="1" applyBorder="1" applyAlignment="1">
      <alignment wrapText="1"/>
    </xf>
    <xf numFmtId="0" fontId="108" fillId="0" borderId="66" xfId="0" applyFont="1" applyBorder="1" applyAlignment="1">
      <alignment wrapText="1"/>
    </xf>
    <xf numFmtId="0" fontId="29" fillId="0" borderId="72" xfId="0" applyFont="1" applyBorder="1" applyAlignment="1">
      <alignment wrapText="1"/>
    </xf>
    <xf numFmtId="3" fontId="56" fillId="0" borderId="26" xfId="0" applyNumberFormat="1" applyFont="1" applyBorder="1"/>
    <xf numFmtId="3" fontId="29" fillId="0" borderId="34" xfId="0" applyNumberFormat="1" applyFont="1" applyBorder="1"/>
    <xf numFmtId="3" fontId="29" fillId="0" borderId="26" xfId="0" applyNumberFormat="1" applyFont="1" applyBorder="1"/>
    <xf numFmtId="3" fontId="29" fillId="0" borderId="26" xfId="0" applyNumberFormat="1" applyFont="1" applyBorder="1" applyAlignment="1">
      <alignment vertical="center"/>
    </xf>
    <xf numFmtId="3" fontId="29" fillId="0" borderId="34" xfId="0" applyNumberFormat="1" applyFont="1" applyBorder="1" applyAlignment="1">
      <alignment vertical="center"/>
    </xf>
    <xf numFmtId="0" fontId="31" fillId="0" borderId="66" xfId="0" applyFont="1" applyBorder="1" applyAlignment="1">
      <alignment wrapText="1"/>
    </xf>
    <xf numFmtId="3" fontId="29" fillId="0" borderId="59" xfId="0" applyNumberFormat="1" applyFont="1" applyBorder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1" fontId="58" fillId="0" borderId="26" xfId="0" applyNumberFormat="1" applyFont="1" applyBorder="1" applyAlignment="1">
      <alignment horizontal="center" vertical="center"/>
    </xf>
    <xf numFmtId="3" fontId="30" fillId="0" borderId="83" xfId="0" applyNumberFormat="1" applyFont="1" applyFill="1" applyBorder="1"/>
    <xf numFmtId="3" fontId="28" fillId="25" borderId="75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6" xfId="0" applyNumberFormat="1" applyFont="1" applyBorder="1" applyAlignment="1">
      <alignment vertical="center"/>
    </xf>
    <xf numFmtId="0" fontId="39" fillId="0" borderId="66" xfId="0" applyFont="1" applyBorder="1"/>
    <xf numFmtId="0" fontId="35" fillId="0" borderId="66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2" xfId="0" applyFont="1" applyBorder="1" applyAlignment="1">
      <alignment horizontal="center" vertical="center" wrapText="1"/>
    </xf>
    <xf numFmtId="0" fontId="71" fillId="0" borderId="66" xfId="0" applyFont="1" applyBorder="1"/>
    <xf numFmtId="0" fontId="31" fillId="0" borderId="66" xfId="0" applyFont="1" applyBorder="1"/>
    <xf numFmtId="0" fontId="71" fillId="0" borderId="0" xfId="0" applyFont="1" applyBorder="1"/>
    <xf numFmtId="0" fontId="31" fillId="0" borderId="0" xfId="0" applyFont="1" applyBorder="1"/>
    <xf numFmtId="3" fontId="108" fillId="0" borderId="83" xfId="0" applyNumberFormat="1" applyFont="1" applyBorder="1"/>
    <xf numFmtId="3" fontId="31" fillId="25" borderId="42" xfId="0" applyNumberFormat="1" applyFont="1" applyFill="1" applyBorder="1"/>
    <xf numFmtId="3" fontId="108" fillId="0" borderId="113" xfId="0" applyNumberFormat="1" applyFont="1" applyBorder="1"/>
    <xf numFmtId="0" fontId="56" fillId="0" borderId="25" xfId="0" applyFont="1" applyBorder="1" applyAlignment="1">
      <alignment horizontal="center"/>
    </xf>
    <xf numFmtId="0" fontId="56" fillId="0" borderId="26" xfId="0" applyFont="1" applyBorder="1" applyAlignment="1">
      <alignment horizontal="center" vertical="center"/>
    </xf>
    <xf numFmtId="0" fontId="56" fillId="0" borderId="66" xfId="0" applyFont="1" applyBorder="1" applyAlignment="1">
      <alignment horizontal="center"/>
    </xf>
    <xf numFmtId="0" fontId="56" fillId="0" borderId="125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108" fillId="0" borderId="72" xfId="0" applyFont="1" applyBorder="1" applyAlignment="1">
      <alignment vertical="center" wrapText="1"/>
    </xf>
    <xf numFmtId="3" fontId="56" fillId="0" borderId="66" xfId="0" applyNumberFormat="1" applyFont="1" applyBorder="1"/>
    <xf numFmtId="0" fontId="34" fillId="0" borderId="75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4" fillId="0" borderId="125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8" fillId="0" borderId="125" xfId="0" applyFont="1" applyBorder="1" applyAlignment="1">
      <alignment horizontal="center" vertical="center"/>
    </xf>
    <xf numFmtId="49" fontId="28" fillId="0" borderId="77" xfId="78" applyNumberFormat="1" applyFont="1" applyBorder="1" applyAlignment="1">
      <alignment horizontal="center" vertical="center" wrapText="1"/>
    </xf>
    <xf numFmtId="49" fontId="28" fillId="0" borderId="66" xfId="78" applyNumberFormat="1" applyFont="1" applyBorder="1" applyAlignment="1">
      <alignment horizontal="center" vertical="center" wrapText="1"/>
    </xf>
    <xf numFmtId="3" fontId="25" fillId="0" borderId="66" xfId="78" applyNumberFormat="1" applyFont="1" applyBorder="1" applyAlignment="1">
      <alignment horizontal="center" vertical="center" wrapText="1"/>
    </xf>
    <xf numFmtId="3" fontId="28" fillId="0" borderId="66" xfId="78" applyNumberFormat="1" applyFont="1" applyBorder="1" applyAlignment="1">
      <alignment horizontal="center" vertical="center" wrapText="1"/>
    </xf>
    <xf numFmtId="49" fontId="25" fillId="0" borderId="66" xfId="78" applyNumberFormat="1" applyFont="1" applyBorder="1" applyAlignment="1">
      <alignment horizontal="center" vertical="center" wrapText="1"/>
    </xf>
    <xf numFmtId="49" fontId="25" fillId="0" borderId="72" xfId="78" applyNumberFormat="1" applyFont="1" applyBorder="1" applyAlignment="1">
      <alignment horizontal="center" vertical="center" wrapText="1"/>
    </xf>
    <xf numFmtId="49" fontId="25" fillId="0" borderId="75" xfId="78" applyNumberFormat="1" applyFont="1" applyBorder="1" applyAlignment="1">
      <alignment horizontal="center" vertical="center" wrapText="1"/>
    </xf>
    <xf numFmtId="3" fontId="25" fillId="0" borderId="66" xfId="78" applyNumberFormat="1" applyFont="1" applyBorder="1" applyAlignment="1">
      <alignment horizontal="center" wrapText="1"/>
    </xf>
    <xf numFmtId="49" fontId="35" fillId="0" borderId="66" xfId="78" applyNumberFormat="1" applyFont="1" applyBorder="1" applyAlignment="1">
      <alignment horizontal="center" vertical="center" wrapText="1"/>
    </xf>
    <xf numFmtId="49" fontId="58" fillId="0" borderId="66" xfId="78" applyNumberFormat="1" applyFont="1" applyBorder="1" applyAlignment="1">
      <alignment horizontal="center" vertical="center" wrapText="1"/>
    </xf>
    <xf numFmtId="3" fontId="28" fillId="0" borderId="72" xfId="78" applyNumberFormat="1" applyFont="1" applyBorder="1" applyAlignment="1">
      <alignment horizontal="center" vertical="center" wrapText="1"/>
    </xf>
    <xf numFmtId="49" fontId="28" fillId="0" borderId="69" xfId="78" applyNumberFormat="1" applyFont="1" applyBorder="1" applyAlignment="1">
      <alignment horizontal="center" vertical="center" wrapText="1"/>
    </xf>
    <xf numFmtId="49" fontId="28" fillId="0" borderId="72" xfId="78" applyNumberFormat="1" applyFont="1" applyBorder="1" applyAlignment="1">
      <alignment horizontal="center" vertical="center" wrapText="1"/>
    </xf>
    <xf numFmtId="0" fontId="30" fillId="0" borderId="66" xfId="78" applyFont="1" applyBorder="1"/>
    <xf numFmtId="0" fontId="30" fillId="0" borderId="66" xfId="78" applyFont="1" applyBorder="1" applyAlignment="1">
      <alignment vertical="center"/>
    </xf>
    <xf numFmtId="0" fontId="35" fillId="0" borderId="66" xfId="78" applyFont="1" applyBorder="1"/>
    <xf numFmtId="3" fontId="25" fillId="0" borderId="70" xfId="78" applyNumberFormat="1" applyFont="1" applyBorder="1" applyAlignment="1">
      <alignment horizontal="center" vertical="center" wrapText="1"/>
    </xf>
    <xf numFmtId="0" fontId="37" fillId="0" borderId="66" xfId="78" applyFont="1" applyBorder="1"/>
    <xf numFmtId="0" fontId="28" fillId="0" borderId="66" xfId="78" applyFont="1" applyBorder="1"/>
    <xf numFmtId="49" fontId="25" fillId="0" borderId="70" xfId="78" applyNumberFormat="1" applyFont="1" applyBorder="1" applyAlignment="1">
      <alignment horizontal="center" vertical="center" wrapText="1"/>
    </xf>
    <xf numFmtId="0" fontId="60" fillId="0" borderId="66" xfId="78" applyFont="1" applyBorder="1"/>
    <xf numFmtId="0" fontId="61" fillId="0" borderId="66" xfId="78" applyFont="1" applyBorder="1"/>
    <xf numFmtId="3" fontId="53" fillId="0" borderId="24" xfId="0" applyNumberFormat="1" applyFont="1" applyBorder="1" applyAlignment="1">
      <alignment vertical="center"/>
    </xf>
    <xf numFmtId="0" fontId="53" fillId="0" borderId="24" xfId="0" applyFont="1" applyBorder="1" applyAlignment="1">
      <alignment vertical="center"/>
    </xf>
    <xf numFmtId="0" fontId="85" fillId="0" borderId="0" xfId="0" applyFont="1" applyBorder="1"/>
    <xf numFmtId="3" fontId="63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38" fillId="0" borderId="66" xfId="0" applyFont="1" applyBorder="1" applyAlignment="1">
      <alignment horizontal="center" vertical="center"/>
    </xf>
    <xf numFmtId="0" fontId="80" fillId="0" borderId="0" xfId="0" applyFont="1" applyBorder="1" applyAlignment="1">
      <alignment wrapText="1"/>
    </xf>
    <xf numFmtId="3" fontId="35" fillId="0" borderId="0" xfId="78" applyNumberFormat="1" applyFont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0" fillId="0" borderId="27" xfId="0" applyNumberFormat="1" applyFont="1" applyFill="1" applyBorder="1"/>
    <xf numFmtId="3" fontId="38" fillId="0" borderId="0" xfId="0" applyNumberFormat="1" applyFont="1"/>
    <xf numFmtId="3" fontId="38" fillId="0" borderId="22" xfId="0" applyNumberFormat="1" applyFont="1" applyBorder="1"/>
    <xf numFmtId="0" fontId="28" fillId="0" borderId="68" xfId="0" applyFont="1" applyBorder="1"/>
    <xf numFmtId="0" fontId="28" fillId="0" borderId="88" xfId="0" applyFont="1" applyBorder="1"/>
    <xf numFmtId="3" fontId="28" fillId="0" borderId="26" xfId="0" applyNumberFormat="1" applyFont="1" applyBorder="1"/>
    <xf numFmtId="3" fontId="25" fillId="0" borderId="26" xfId="0" applyNumberFormat="1" applyFont="1" applyBorder="1"/>
    <xf numFmtId="3" fontId="25" fillId="0" borderId="68" xfId="0" applyNumberFormat="1" applyFont="1" applyBorder="1"/>
    <xf numFmtId="3" fontId="39" fillId="0" borderId="66" xfId="74" applyNumberFormat="1" applyFont="1" applyBorder="1"/>
    <xf numFmtId="3" fontId="58" fillId="0" borderId="69" xfId="0" applyNumberFormat="1" applyFont="1" applyBorder="1"/>
    <xf numFmtId="3" fontId="35" fillId="0" borderId="66" xfId="0" applyNumberFormat="1" applyFont="1" applyBorder="1" applyAlignment="1">
      <alignment vertical="center"/>
    </xf>
    <xf numFmtId="3" fontId="59" fillId="0" borderId="69" xfId="0" applyNumberFormat="1" applyFont="1" applyBorder="1"/>
    <xf numFmtId="3" fontId="30" fillId="0" borderId="72" xfId="0" applyNumberFormat="1" applyFont="1" applyFill="1" applyBorder="1"/>
    <xf numFmtId="3" fontId="30" fillId="0" borderId="34" xfId="0" applyNumberFormat="1" applyFont="1" applyFill="1" applyBorder="1"/>
    <xf numFmtId="3" fontId="30" fillId="0" borderId="72" xfId="0" applyNumberFormat="1" applyFont="1" applyBorder="1"/>
    <xf numFmtId="3" fontId="58" fillId="0" borderId="66" xfId="0" applyNumberFormat="1" applyFont="1" applyBorder="1" applyAlignment="1">
      <alignment wrapText="1"/>
    </xf>
    <xf numFmtId="3" fontId="35" fillId="0" borderId="26" xfId="0" applyNumberFormat="1" applyFont="1" applyBorder="1" applyAlignment="1">
      <alignment vertical="center"/>
    </xf>
    <xf numFmtId="3" fontId="58" fillId="0" borderId="26" xfId="0" applyNumberFormat="1" applyFont="1" applyBorder="1"/>
    <xf numFmtId="3" fontId="30" fillId="0" borderId="128" xfId="0" applyNumberFormat="1" applyFont="1" applyBorder="1"/>
    <xf numFmtId="3" fontId="30" fillId="0" borderId="41" xfId="0" applyNumberFormat="1" applyFont="1" applyBorder="1"/>
    <xf numFmtId="3" fontId="30" fillId="0" borderId="69" xfId="0" applyNumberFormat="1" applyFont="1" applyBorder="1"/>
    <xf numFmtId="3" fontId="28" fillId="0" borderId="42" xfId="0" applyNumberFormat="1" applyFont="1" applyBorder="1"/>
    <xf numFmtId="3" fontId="25" fillId="0" borderId="49" xfId="0" applyNumberFormat="1" applyFont="1" applyBorder="1"/>
    <xf numFmtId="3" fontId="25" fillId="0" borderId="74" xfId="0" applyNumberFormat="1" applyFont="1" applyBorder="1"/>
    <xf numFmtId="3" fontId="25" fillId="0" borderId="59" xfId="0" applyNumberFormat="1" applyFont="1" applyBorder="1"/>
    <xf numFmtId="3" fontId="30" fillId="0" borderId="113" xfId="0" applyNumberFormat="1" applyFont="1" applyBorder="1"/>
    <xf numFmtId="3" fontId="58" fillId="0" borderId="113" xfId="0" applyNumberFormat="1" applyFont="1" applyBorder="1"/>
    <xf numFmtId="3" fontId="30" fillId="0" borderId="88" xfId="0" applyNumberFormat="1" applyFont="1" applyBorder="1"/>
    <xf numFmtId="3" fontId="133" fillId="0" borderId="66" xfId="74" applyNumberFormat="1" applyFont="1" applyBorder="1"/>
    <xf numFmtId="3" fontId="135" fillId="0" borderId="66" xfId="0" applyNumberFormat="1" applyFont="1" applyBorder="1"/>
    <xf numFmtId="3" fontId="58" fillId="0" borderId="66" xfId="74" applyNumberFormat="1" applyFont="1" applyBorder="1" applyAlignment="1">
      <alignment vertical="center"/>
    </xf>
    <xf numFmtId="3" fontId="30" fillId="0" borderId="68" xfId="0" applyNumberFormat="1" applyFont="1" applyBorder="1"/>
    <xf numFmtId="3" fontId="58" fillId="0" borderId="42" xfId="0" applyNumberFormat="1" applyFont="1" applyBorder="1"/>
    <xf numFmtId="3" fontId="59" fillId="0" borderId="74" xfId="0" applyNumberFormat="1" applyFont="1" applyBorder="1"/>
    <xf numFmtId="0" fontId="28" fillId="0" borderId="66" xfId="0" applyFont="1" applyBorder="1"/>
    <xf numFmtId="0" fontId="28" fillId="0" borderId="56" xfId="0" applyFont="1" applyBorder="1"/>
    <xf numFmtId="3" fontId="30" fillId="0" borderId="74" xfId="0" applyNumberFormat="1" applyFont="1" applyFill="1" applyBorder="1"/>
    <xf numFmtId="0" fontId="64" fillId="0" borderId="0" xfId="0" applyFont="1" applyFill="1" applyAlignment="1">
      <alignment horizontal="center"/>
    </xf>
    <xf numFmtId="0" fontId="25" fillId="0" borderId="0" xfId="0" applyFont="1" applyAlignment="1"/>
    <xf numFmtId="3" fontId="63" fillId="0" borderId="0" xfId="0" applyNumberFormat="1" applyFont="1"/>
    <xf numFmtId="0" fontId="29" fillId="0" borderId="24" xfId="0" applyFont="1" applyBorder="1" applyAlignment="1">
      <alignment horizontal="center" vertical="center" wrapText="1"/>
    </xf>
    <xf numFmtId="3" fontId="25" fillId="0" borderId="60" xfId="0" applyNumberFormat="1" applyFont="1" applyBorder="1"/>
    <xf numFmtId="3" fontId="64" fillId="0" borderId="69" xfId="0" applyNumberFormat="1" applyFont="1" applyBorder="1"/>
    <xf numFmtId="3" fontId="25" fillId="0" borderId="56" xfId="0" applyNumberFormat="1" applyFont="1" applyBorder="1"/>
    <xf numFmtId="0" fontId="28" fillId="0" borderId="25" xfId="0" applyFont="1" applyBorder="1"/>
    <xf numFmtId="0" fontId="28" fillId="0" borderId="26" xfId="0" applyFont="1" applyBorder="1"/>
    <xf numFmtId="3" fontId="25" fillId="0" borderId="66" xfId="0" applyNumberFormat="1" applyFont="1" applyFill="1" applyBorder="1"/>
    <xf numFmtId="3" fontId="57" fillId="0" borderId="66" xfId="0" applyNumberFormat="1" applyFont="1" applyBorder="1" applyAlignment="1">
      <alignment wrapText="1"/>
    </xf>
    <xf numFmtId="3" fontId="64" fillId="0" borderId="67" xfId="0" applyNumberFormat="1" applyFont="1" applyBorder="1"/>
    <xf numFmtId="3" fontId="29" fillId="0" borderId="2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3" fontId="118" fillId="0" borderId="22" xfId="0" applyNumberFormat="1" applyFont="1" applyBorder="1" applyAlignment="1">
      <alignment vertical="center"/>
    </xf>
    <xf numFmtId="3" fontId="83" fillId="0" borderId="22" xfId="0" applyNumberFormat="1" applyFont="1" applyBorder="1" applyAlignment="1">
      <alignment vertical="center"/>
    </xf>
    <xf numFmtId="3" fontId="83" fillId="0" borderId="0" xfId="0" applyNumberFormat="1" applyFont="1" applyAlignment="1">
      <alignment vertical="center"/>
    </xf>
    <xf numFmtId="3" fontId="23" fillId="0" borderId="71" xfId="0" applyNumberFormat="1" applyFont="1" applyBorder="1" applyAlignment="1">
      <alignment vertical="center"/>
    </xf>
    <xf numFmtId="3" fontId="26" fillId="0" borderId="12" xfId="0" applyNumberFormat="1" applyFont="1" applyFill="1" applyBorder="1" applyAlignment="1">
      <alignment vertical="center"/>
    </xf>
    <xf numFmtId="0" fontId="23" fillId="0" borderId="0" xfId="0" applyFont="1" applyBorder="1"/>
    <xf numFmtId="0" fontId="23" fillId="0" borderId="25" xfId="0" applyFont="1" applyBorder="1"/>
    <xf numFmtId="3" fontId="23" fillId="0" borderId="26" xfId="0" applyNumberFormat="1" applyFont="1" applyBorder="1" applyAlignment="1">
      <alignment vertical="center"/>
    </xf>
    <xf numFmtId="3" fontId="26" fillId="0" borderId="26" xfId="0" applyNumberFormat="1" applyFont="1" applyBorder="1" applyAlignment="1">
      <alignment vertical="center"/>
    </xf>
    <xf numFmtId="3" fontId="23" fillId="0" borderId="48" xfId="0" applyNumberFormat="1" applyFont="1" applyBorder="1" applyAlignment="1">
      <alignment vertical="center"/>
    </xf>
    <xf numFmtId="3" fontId="26" fillId="0" borderId="129" xfId="0" applyNumberFormat="1" applyFont="1" applyBorder="1" applyAlignment="1">
      <alignment vertical="center"/>
    </xf>
    <xf numFmtId="3" fontId="64" fillId="0" borderId="86" xfId="0" applyNumberFormat="1" applyFont="1" applyBorder="1" applyAlignment="1">
      <alignment horizontal="center" vertical="center" wrapText="1"/>
    </xf>
    <xf numFmtId="3" fontId="64" fillId="0" borderId="24" xfId="0" applyNumberFormat="1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wrapText="1"/>
    </xf>
    <xf numFmtId="3" fontId="35" fillId="0" borderId="0" xfId="0" applyNumberFormat="1" applyFont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88" xfId="0" applyFont="1" applyBorder="1"/>
    <xf numFmtId="3" fontId="30" fillId="0" borderId="49" xfId="0" applyNumberFormat="1" applyFont="1" applyBorder="1"/>
    <xf numFmtId="3" fontId="35" fillId="0" borderId="72" xfId="0" applyNumberFormat="1" applyFont="1" applyBorder="1"/>
    <xf numFmtId="3" fontId="35" fillId="0" borderId="83" xfId="0" applyNumberFormat="1" applyFont="1" applyBorder="1"/>
    <xf numFmtId="3" fontId="35" fillId="0" borderId="128" xfId="0" applyNumberFormat="1" applyFont="1" applyBorder="1"/>
    <xf numFmtId="3" fontId="30" fillId="0" borderId="75" xfId="0" applyNumberFormat="1" applyFont="1" applyBorder="1"/>
    <xf numFmtId="3" fontId="30" fillId="0" borderId="42" xfId="0" applyNumberFormat="1" applyFont="1" applyBorder="1"/>
    <xf numFmtId="0" fontId="33" fillId="0" borderId="123" xfId="0" applyFont="1" applyBorder="1"/>
    <xf numFmtId="0" fontId="76" fillId="0" borderId="0" xfId="0" applyFont="1" applyBorder="1"/>
    <xf numFmtId="0" fontId="2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3" fontId="108" fillId="0" borderId="24" xfId="0" applyNumberFormat="1" applyFont="1" applyBorder="1" applyAlignment="1">
      <alignment horizontal="center" vertical="center" wrapText="1"/>
    </xf>
    <xf numFmtId="3" fontId="64" fillId="0" borderId="127" xfId="0" applyNumberFormat="1" applyFont="1" applyBorder="1" applyAlignment="1">
      <alignment horizontal="center" vertical="center" wrapText="1"/>
    </xf>
    <xf numFmtId="3" fontId="64" fillId="0" borderId="131" xfId="0" applyNumberFormat="1" applyFont="1" applyBorder="1" applyAlignment="1">
      <alignment horizontal="center" vertical="center" wrapText="1"/>
    </xf>
    <xf numFmtId="3" fontId="39" fillId="0" borderId="0" xfId="0" applyNumberFormat="1" applyFont="1"/>
    <xf numFmtId="3" fontId="66" fillId="0" borderId="22" xfId="0" applyNumberFormat="1" applyFont="1" applyBorder="1"/>
    <xf numFmtId="3" fontId="66" fillId="0" borderId="0" xfId="0" applyNumberFormat="1" applyFont="1"/>
    <xf numFmtId="0" fontId="39" fillId="0" borderId="75" xfId="0" applyFont="1" applyBorder="1"/>
    <xf numFmtId="0" fontId="39" fillId="0" borderId="113" xfId="0" applyFont="1" applyBorder="1"/>
    <xf numFmtId="0" fontId="39" fillId="0" borderId="26" xfId="0" applyFont="1" applyBorder="1"/>
    <xf numFmtId="3" fontId="35" fillId="0" borderId="26" xfId="0" applyNumberFormat="1" applyFont="1" applyBorder="1"/>
    <xf numFmtId="3" fontId="30" fillId="0" borderId="26" xfId="0" applyNumberFormat="1" applyFont="1" applyBorder="1"/>
    <xf numFmtId="3" fontId="39" fillId="0" borderId="41" xfId="0" applyNumberFormat="1" applyFont="1" applyBorder="1"/>
    <xf numFmtId="3" fontId="39" fillId="0" borderId="132" xfId="0" applyNumberFormat="1" applyFont="1" applyBorder="1"/>
    <xf numFmtId="3" fontId="39" fillId="0" borderId="56" xfId="0" applyNumberFormat="1" applyFont="1" applyBorder="1"/>
    <xf numFmtId="3" fontId="35" fillId="0" borderId="75" xfId="0" applyNumberFormat="1" applyFont="1" applyBorder="1"/>
    <xf numFmtId="3" fontId="35" fillId="0" borderId="113" xfId="0" applyNumberFormat="1" applyFont="1" applyBorder="1"/>
    <xf numFmtId="3" fontId="35" fillId="0" borderId="69" xfId="0" applyNumberFormat="1" applyFont="1" applyBorder="1"/>
    <xf numFmtId="3" fontId="35" fillId="0" borderId="42" xfId="0" applyNumberFormat="1" applyFont="1" applyBorder="1"/>
    <xf numFmtId="3" fontId="30" fillId="0" borderId="132" xfId="0" applyNumberFormat="1" applyFont="1" applyBorder="1"/>
    <xf numFmtId="3" fontId="30" fillId="0" borderId="56" xfId="0" applyNumberFormat="1" applyFont="1" applyBorder="1"/>
    <xf numFmtId="3" fontId="35" fillId="0" borderId="132" xfId="0" applyNumberFormat="1" applyFont="1" applyBorder="1"/>
    <xf numFmtId="3" fontId="35" fillId="0" borderId="56" xfId="0" applyNumberFormat="1" applyFont="1" applyBorder="1"/>
    <xf numFmtId="3" fontId="39" fillId="0" borderId="128" xfId="0" applyNumberFormat="1" applyFont="1" applyBorder="1"/>
    <xf numFmtId="3" fontId="39" fillId="0" borderId="74" xfId="0" applyNumberFormat="1" applyFont="1" applyBorder="1"/>
    <xf numFmtId="3" fontId="39" fillId="0" borderId="27" xfId="0" applyNumberFormat="1" applyFont="1" applyBorder="1"/>
    <xf numFmtId="3" fontId="66" fillId="0" borderId="41" xfId="0" applyNumberFormat="1" applyFont="1" applyBorder="1"/>
    <xf numFmtId="0" fontId="35" fillId="0" borderId="56" xfId="0" applyFont="1" applyBorder="1"/>
    <xf numFmtId="3" fontId="25" fillId="0" borderId="0" xfId="78" applyNumberFormat="1" applyFont="1" applyBorder="1" applyAlignment="1">
      <alignment horizontal="center"/>
    </xf>
    <xf numFmtId="3" fontId="25" fillId="0" borderId="103" xfId="78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 wrapText="1"/>
    </xf>
    <xf numFmtId="0" fontId="40" fillId="0" borderId="66" xfId="0" applyFont="1" applyBorder="1"/>
    <xf numFmtId="0" fontId="160" fillId="0" borderId="0" xfId="0" applyFont="1"/>
    <xf numFmtId="0" fontId="40" fillId="0" borderId="88" xfId="0" applyFont="1" applyBorder="1"/>
    <xf numFmtId="0" fontId="40" fillId="0" borderId="25" xfId="0" applyFont="1" applyBorder="1"/>
    <xf numFmtId="0" fontId="40" fillId="0" borderId="26" xfId="0" applyFont="1" applyBorder="1"/>
    <xf numFmtId="0" fontId="40" fillId="0" borderId="56" xfId="0" applyFont="1" applyBorder="1"/>
    <xf numFmtId="3" fontId="108" fillId="0" borderId="74" xfId="0" applyNumberFormat="1" applyFont="1" applyBorder="1"/>
    <xf numFmtId="3" fontId="108" fillId="0" borderId="27" xfId="0" applyNumberFormat="1" applyFont="1" applyBorder="1"/>
    <xf numFmtId="3" fontId="29" fillId="0" borderId="22" xfId="0" applyNumberFormat="1" applyFont="1" applyBorder="1" applyAlignment="1">
      <alignment vertical="center"/>
    </xf>
    <xf numFmtId="3" fontId="29" fillId="0" borderId="6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29" fillId="0" borderId="74" xfId="0" applyNumberFormat="1" applyFont="1" applyBorder="1" applyAlignment="1">
      <alignment vertical="center"/>
    </xf>
    <xf numFmtId="3" fontId="29" fillId="0" borderId="72" xfId="0" applyNumberFormat="1" applyFont="1" applyBorder="1" applyAlignment="1">
      <alignment vertical="center"/>
    </xf>
    <xf numFmtId="3" fontId="29" fillId="0" borderId="27" xfId="0" applyNumberFormat="1" applyFont="1" applyBorder="1" applyAlignment="1">
      <alignment vertical="center"/>
    </xf>
    <xf numFmtId="3" fontId="64" fillId="0" borderId="48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37" fillId="0" borderId="24" xfId="78" applyFont="1" applyBorder="1"/>
    <xf numFmtId="3" fontId="30" fillId="0" borderId="22" xfId="78" applyNumberFormat="1" applyFont="1" applyBorder="1"/>
    <xf numFmtId="3" fontId="35" fillId="0" borderId="22" xfId="78" applyNumberFormat="1" applyFont="1" applyBorder="1" applyAlignment="1">
      <alignment vertical="center"/>
    </xf>
    <xf numFmtId="3" fontId="30" fillId="0" borderId="70" xfId="78" applyNumberFormat="1" applyFont="1" applyBorder="1"/>
    <xf numFmtId="3" fontId="35" fillId="0" borderId="128" xfId="78" applyNumberFormat="1" applyFont="1" applyBorder="1"/>
    <xf numFmtId="3" fontId="30" fillId="0" borderId="74" xfId="78" applyNumberFormat="1" applyFont="1" applyBorder="1"/>
    <xf numFmtId="0" fontId="37" fillId="0" borderId="0" xfId="78" applyFont="1" applyBorder="1"/>
    <xf numFmtId="3" fontId="30" fillId="0" borderId="72" xfId="78" applyNumberFormat="1" applyFont="1" applyBorder="1"/>
    <xf numFmtId="1" fontId="35" fillId="0" borderId="0" xfId="78" applyNumberFormat="1" applyFont="1" applyBorder="1"/>
    <xf numFmtId="3" fontId="35" fillId="0" borderId="26" xfId="78" applyNumberFormat="1" applyFont="1" applyBorder="1" applyAlignment="1">
      <alignment vertical="center"/>
    </xf>
    <xf numFmtId="3" fontId="35" fillId="0" borderId="27" xfId="78" applyNumberFormat="1" applyFont="1" applyBorder="1" applyAlignment="1">
      <alignment vertical="center"/>
    </xf>
    <xf numFmtId="3" fontId="35" fillId="0" borderId="74" xfId="78" applyNumberFormat="1" applyFont="1" applyBorder="1" applyAlignment="1">
      <alignment vertical="center"/>
    </xf>
    <xf numFmtId="0" fontId="37" fillId="0" borderId="56" xfId="78" applyFont="1" applyBorder="1"/>
    <xf numFmtId="3" fontId="35" fillId="0" borderId="66" xfId="78" applyNumberFormat="1" applyFont="1" applyBorder="1"/>
    <xf numFmtId="3" fontId="35" fillId="0" borderId="69" xfId="78" applyNumberFormat="1" applyFont="1" applyBorder="1"/>
    <xf numFmtId="3" fontId="35" fillId="0" borderId="75" xfId="78" applyNumberFormat="1" applyFont="1" applyBorder="1"/>
    <xf numFmtId="3" fontId="30" fillId="0" borderId="75" xfId="78" applyNumberFormat="1" applyFont="1" applyBorder="1"/>
    <xf numFmtId="3" fontId="30" fillId="0" borderId="72" xfId="78" applyNumberFormat="1" applyFont="1" applyBorder="1" applyAlignment="1">
      <alignment vertical="center"/>
    </xf>
    <xf numFmtId="3" fontId="35" fillId="0" borderId="72" xfId="78" applyNumberFormat="1" applyFont="1" applyBorder="1"/>
    <xf numFmtId="3" fontId="25" fillId="0" borderId="72" xfId="78" applyNumberFormat="1" applyFont="1" applyBorder="1" applyAlignment="1">
      <alignment vertical="center"/>
    </xf>
    <xf numFmtId="3" fontId="25" fillId="0" borderId="70" xfId="78" applyNumberFormat="1" applyFont="1" applyBorder="1" applyAlignment="1">
      <alignment vertical="center"/>
    </xf>
    <xf numFmtId="3" fontId="35" fillId="0" borderId="67" xfId="78" applyNumberFormat="1" applyFont="1" applyBorder="1"/>
    <xf numFmtId="3" fontId="30" fillId="0" borderId="66" xfId="78" applyNumberFormat="1" applyFont="1" applyBorder="1" applyAlignment="1">
      <alignment vertical="center"/>
    </xf>
    <xf numFmtId="3" fontId="30" fillId="0" borderId="69" xfId="78" applyNumberFormat="1" applyFont="1" applyBorder="1" applyAlignment="1">
      <alignment vertical="center"/>
    </xf>
    <xf numFmtId="3" fontId="30" fillId="0" borderId="70" xfId="78" applyNumberFormat="1" applyFont="1" applyBorder="1" applyAlignment="1">
      <alignment vertical="center"/>
    </xf>
    <xf numFmtId="3" fontId="30" fillId="0" borderId="65" xfId="78" applyNumberFormat="1" applyFont="1" applyBorder="1" applyAlignment="1">
      <alignment vertical="center"/>
    </xf>
    <xf numFmtId="3" fontId="35" fillId="0" borderId="34" xfId="78" applyNumberFormat="1" applyFont="1" applyBorder="1" applyAlignment="1">
      <alignment vertical="center"/>
    </xf>
    <xf numFmtId="3" fontId="35" fillId="0" borderId="26" xfId="78" applyNumberFormat="1" applyFont="1" applyBorder="1"/>
    <xf numFmtId="3" fontId="30" fillId="0" borderId="130" xfId="78" applyNumberFormat="1" applyFont="1" applyBorder="1"/>
    <xf numFmtId="3" fontId="25" fillId="0" borderId="70" xfId="78" applyNumberFormat="1" applyFont="1" applyBorder="1"/>
    <xf numFmtId="3" fontId="30" fillId="0" borderId="77" xfId="78" applyNumberFormat="1" applyFont="1" applyBorder="1"/>
    <xf numFmtId="3" fontId="25" fillId="0" borderId="66" xfId="78" applyNumberFormat="1" applyFont="1" applyBorder="1"/>
    <xf numFmtId="0" fontId="37" fillId="0" borderId="77" xfId="78" applyFont="1" applyBorder="1"/>
    <xf numFmtId="3" fontId="37" fillId="0" borderId="0" xfId="78" applyNumberFormat="1" applyFont="1" applyBorder="1" applyAlignment="1">
      <alignment vertical="center"/>
    </xf>
    <xf numFmtId="3" fontId="35" fillId="0" borderId="66" xfId="78" applyNumberFormat="1" applyFont="1" applyBorder="1" applyAlignment="1">
      <alignment horizontal="center" vertical="center"/>
    </xf>
    <xf numFmtId="3" fontId="35" fillId="25" borderId="0" xfId="78" applyNumberFormat="1" applyFont="1" applyFill="1" applyAlignment="1">
      <alignment vertical="center"/>
    </xf>
    <xf numFmtId="3" fontId="35" fillId="25" borderId="0" xfId="78" applyNumberFormat="1" applyFont="1" applyFill="1" applyBorder="1" applyAlignment="1">
      <alignment vertical="center"/>
    </xf>
    <xf numFmtId="3" fontId="25" fillId="0" borderId="39" xfId="78" applyNumberFormat="1" applyFont="1" applyBorder="1" applyAlignment="1">
      <alignment horizontal="center" vertical="center" wrapText="1"/>
    </xf>
    <xf numFmtId="3" fontId="25" fillId="0" borderId="39" xfId="78" applyNumberFormat="1" applyFont="1" applyBorder="1" applyAlignment="1">
      <alignment horizontal="center" vertical="center"/>
    </xf>
    <xf numFmtId="0" fontId="30" fillId="0" borderId="48" xfId="78" applyFont="1" applyBorder="1" applyAlignment="1">
      <alignment horizontal="center" vertical="center"/>
    </xf>
    <xf numFmtId="3" fontId="69" fillId="0" borderId="136" xfId="0" applyNumberFormat="1" applyFont="1" applyBorder="1" applyAlignment="1">
      <alignment horizontal="center" vertical="center" wrapText="1"/>
    </xf>
    <xf numFmtId="3" fontId="35" fillId="0" borderId="34" xfId="0" applyNumberFormat="1" applyFont="1" applyBorder="1"/>
    <xf numFmtId="0" fontId="35" fillId="0" borderId="68" xfId="0" applyFont="1" applyBorder="1"/>
    <xf numFmtId="3" fontId="58" fillId="0" borderId="66" xfId="0" applyNumberFormat="1" applyFont="1" applyBorder="1" applyAlignment="1">
      <alignment vertical="center" wrapText="1"/>
    </xf>
    <xf numFmtId="3" fontId="69" fillId="0" borderId="82" xfId="0" applyNumberFormat="1" applyFont="1" applyBorder="1" applyAlignment="1">
      <alignment horizontal="center" vertical="center" wrapText="1"/>
    </xf>
    <xf numFmtId="3" fontId="64" fillId="0" borderId="66" xfId="0" applyNumberFormat="1" applyFont="1" applyBorder="1" applyAlignment="1">
      <alignment wrapText="1"/>
    </xf>
    <xf numFmtId="0" fontId="35" fillId="0" borderId="25" xfId="0" applyFont="1" applyBorder="1"/>
    <xf numFmtId="3" fontId="39" fillId="0" borderId="26" xfId="0" applyNumberFormat="1" applyFont="1" applyBorder="1"/>
    <xf numFmtId="3" fontId="66" fillId="0" borderId="26" xfId="0" applyNumberFormat="1" applyFont="1" applyBorder="1"/>
    <xf numFmtId="3" fontId="57" fillId="0" borderId="42" xfId="0" applyNumberFormat="1" applyFont="1" applyBorder="1"/>
    <xf numFmtId="3" fontId="91" fillId="0" borderId="105" xfId="0" applyNumberFormat="1" applyFont="1" applyBorder="1" applyAlignment="1">
      <alignment horizontal="center" vertical="center" wrapText="1"/>
    </xf>
    <xf numFmtId="3" fontId="91" fillId="0" borderId="103" xfId="0" applyNumberFormat="1" applyFont="1" applyBorder="1" applyAlignment="1">
      <alignment horizontal="center" vertical="center" wrapText="1"/>
    </xf>
    <xf numFmtId="0" fontId="90" fillId="0" borderId="137" xfId="0" applyFont="1" applyBorder="1" applyAlignment="1">
      <alignment horizontal="center"/>
    </xf>
    <xf numFmtId="0" fontId="90" fillId="0" borderId="15" xfId="0" applyFont="1" applyBorder="1" applyAlignment="1">
      <alignment horizontal="center"/>
    </xf>
    <xf numFmtId="3" fontId="91" fillId="0" borderId="39" xfId="0" applyNumberFormat="1" applyFont="1" applyBorder="1" applyAlignment="1">
      <alignment horizontal="center" vertical="center" wrapText="1"/>
    </xf>
    <xf numFmtId="0" fontId="89" fillId="0" borderId="24" xfId="0" applyFont="1" applyBorder="1"/>
    <xf numFmtId="3" fontId="59" fillId="0" borderId="15" xfId="0" applyNumberFormat="1" applyFont="1" applyBorder="1" applyAlignment="1">
      <alignment horizontal="center" vertical="center" wrapText="1"/>
    </xf>
    <xf numFmtId="3" fontId="58" fillId="0" borderId="41" xfId="0" applyNumberFormat="1" applyFont="1" applyBorder="1" applyAlignment="1">
      <alignment vertical="center"/>
    </xf>
    <xf numFmtId="3" fontId="58" fillId="0" borderId="69" xfId="0" applyNumberFormat="1" applyFont="1" applyBorder="1" applyAlignment="1">
      <alignment vertical="center"/>
    </xf>
    <xf numFmtId="3" fontId="57" fillId="0" borderId="26" xfId="0" applyNumberFormat="1" applyFont="1" applyBorder="1"/>
    <xf numFmtId="0" fontId="92" fillId="0" borderId="22" xfId="0" applyFont="1" applyBorder="1"/>
    <xf numFmtId="0" fontId="89" fillId="0" borderId="22" xfId="0" applyFont="1" applyFill="1" applyBorder="1"/>
    <xf numFmtId="3" fontId="91" fillId="0" borderId="136" xfId="0" applyNumberFormat="1" applyFont="1" applyBorder="1" applyAlignment="1">
      <alignment horizontal="center" vertical="center" wrapText="1"/>
    </xf>
    <xf numFmtId="3" fontId="59" fillId="0" borderId="25" xfId="0" applyNumberFormat="1" applyFont="1" applyBorder="1"/>
    <xf numFmtId="3" fontId="59" fillId="0" borderId="26" xfId="0" applyNumberFormat="1" applyFont="1" applyBorder="1"/>
    <xf numFmtId="3" fontId="59" fillId="0" borderId="42" xfId="0" applyNumberFormat="1" applyFont="1" applyBorder="1" applyAlignment="1">
      <alignment vertical="center"/>
    </xf>
    <xf numFmtId="3" fontId="59" fillId="0" borderId="34" xfId="0" applyNumberFormat="1" applyFont="1" applyBorder="1" applyAlignment="1">
      <alignment vertical="center"/>
    </xf>
    <xf numFmtId="3" fontId="64" fillId="0" borderId="34" xfId="0" applyNumberFormat="1" applyFont="1" applyBorder="1"/>
    <xf numFmtId="0" fontId="64" fillId="0" borderId="0" xfId="0" applyFont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53" fillId="0" borderId="98" xfId="0" applyFont="1" applyBorder="1" applyAlignment="1">
      <alignment horizontal="center" vertical="center"/>
    </xf>
    <xf numFmtId="3" fontId="44" fillId="0" borderId="42" xfId="0" applyNumberFormat="1" applyFont="1" applyBorder="1"/>
    <xf numFmtId="0" fontId="20" fillId="0" borderId="25" xfId="0" applyFont="1" applyBorder="1"/>
    <xf numFmtId="0" fontId="20" fillId="0" borderId="26" xfId="0" applyFont="1" applyBorder="1"/>
    <xf numFmtId="3" fontId="20" fillId="0" borderId="26" xfId="0" applyNumberFormat="1" applyFont="1" applyBorder="1"/>
    <xf numFmtId="0" fontId="43" fillId="0" borderId="42" xfId="0" applyFont="1" applyBorder="1" applyAlignment="1">
      <alignment horizontal="center" vertical="center"/>
    </xf>
    <xf numFmtId="3" fontId="53" fillId="0" borderId="34" xfId="0" applyNumberFormat="1" applyFont="1" applyBorder="1"/>
    <xf numFmtId="0" fontId="43" fillId="0" borderId="34" xfId="0" applyFont="1" applyBorder="1" applyAlignment="1">
      <alignment horizontal="center" vertical="center"/>
    </xf>
    <xf numFmtId="0" fontId="23" fillId="0" borderId="26" xfId="0" applyFont="1" applyBorder="1"/>
    <xf numFmtId="0" fontId="23" fillId="0" borderId="88" xfId="0" applyFont="1" applyBorder="1"/>
    <xf numFmtId="0" fontId="22" fillId="0" borderId="42" xfId="0" applyFont="1" applyBorder="1"/>
    <xf numFmtId="3" fontId="22" fillId="0" borderId="42" xfId="0" applyNumberFormat="1" applyFont="1" applyFill="1" applyBorder="1"/>
    <xf numFmtId="0" fontId="23" fillId="0" borderId="42" xfId="0" applyFont="1" applyBorder="1"/>
    <xf numFmtId="0" fontId="22" fillId="0" borderId="42" xfId="0" applyFont="1" applyBorder="1" applyAlignment="1">
      <alignment horizontal="center"/>
    </xf>
    <xf numFmtId="0" fontId="22" fillId="0" borderId="66" xfId="0" applyFont="1" applyBorder="1" applyAlignment="1">
      <alignment wrapText="1"/>
    </xf>
    <xf numFmtId="3" fontId="24" fillId="0" borderId="128" xfId="0" applyNumberFormat="1" applyFont="1" applyBorder="1"/>
    <xf numFmtId="3" fontId="23" fillId="0" borderId="41" xfId="0" applyNumberFormat="1" applyFont="1" applyBorder="1"/>
    <xf numFmtId="0" fontId="23" fillId="0" borderId="41" xfId="0" applyFont="1" applyBorder="1"/>
    <xf numFmtId="3" fontId="24" fillId="0" borderId="34" xfId="0" applyNumberFormat="1" applyFont="1" applyBorder="1"/>
    <xf numFmtId="3" fontId="34" fillId="0" borderId="0" xfId="74" applyNumberFormat="1" applyFont="1" applyBorder="1"/>
    <xf numFmtId="3" fontId="34" fillId="0" borderId="66" xfId="74" applyNumberFormat="1" applyFont="1" applyBorder="1"/>
    <xf numFmtId="3" fontId="64" fillId="0" borderId="42" xfId="0" applyNumberFormat="1" applyFont="1" applyBorder="1"/>
    <xf numFmtId="3" fontId="25" fillId="0" borderId="133" xfId="0" applyNumberFormat="1" applyFont="1" applyBorder="1"/>
    <xf numFmtId="0" fontId="64" fillId="0" borderId="0" xfId="0" applyFont="1" applyBorder="1" applyAlignment="1">
      <alignment horizontal="center"/>
    </xf>
    <xf numFmtId="0" fontId="26" fillId="0" borderId="24" xfId="0" applyFont="1" applyBorder="1" applyAlignment="1">
      <alignment horizontal="center" vertical="center" wrapText="1"/>
    </xf>
    <xf numFmtId="0" fontId="64" fillId="0" borderId="0" xfId="74" applyFont="1" applyBorder="1" applyAlignment="1">
      <alignment horizontal="center"/>
    </xf>
    <xf numFmtId="0" fontId="53" fillId="0" borderId="0" xfId="73" applyFont="1" applyAlignment="1">
      <alignment horizontal="center"/>
    </xf>
    <xf numFmtId="3" fontId="35" fillId="0" borderId="22" xfId="0" applyNumberFormat="1" applyFont="1" applyBorder="1" applyAlignment="1"/>
    <xf numFmtId="3" fontId="35" fillId="0" borderId="0" xfId="0" applyNumberFormat="1" applyFont="1" applyAlignment="1"/>
    <xf numFmtId="3" fontId="66" fillId="0" borderId="22" xfId="0" applyNumberFormat="1" applyFont="1" applyBorder="1" applyAlignment="1"/>
    <xf numFmtId="3" fontId="66" fillId="0" borderId="0" xfId="0" applyNumberFormat="1" applyFont="1" applyAlignment="1"/>
    <xf numFmtId="3" fontId="30" fillId="0" borderId="22" xfId="0" applyNumberFormat="1" applyFont="1" applyBorder="1" applyAlignment="1"/>
    <xf numFmtId="3" fontId="30" fillId="0" borderId="0" xfId="0" applyNumberFormat="1" applyFont="1" applyAlignment="1"/>
    <xf numFmtId="3" fontId="68" fillId="0" borderId="66" xfId="0" applyNumberFormat="1" applyFont="1" applyBorder="1"/>
    <xf numFmtId="3" fontId="35" fillId="0" borderId="66" xfId="0" applyNumberFormat="1" applyFont="1" applyBorder="1" applyAlignment="1"/>
    <xf numFmtId="3" fontId="66" fillId="0" borderId="66" xfId="0" applyNumberFormat="1" applyFont="1" applyBorder="1" applyAlignment="1"/>
    <xf numFmtId="3" fontId="30" fillId="0" borderId="66" xfId="0" applyNumberFormat="1" applyFont="1" applyBorder="1" applyAlignment="1"/>
    <xf numFmtId="3" fontId="35" fillId="0" borderId="113" xfId="0" applyNumberFormat="1" applyFont="1" applyBorder="1" applyAlignment="1"/>
    <xf numFmtId="3" fontId="63" fillId="0" borderId="0" xfId="0" applyNumberFormat="1" applyFont="1" applyBorder="1"/>
    <xf numFmtId="3" fontId="69" fillId="0" borderId="28" xfId="0" applyNumberFormat="1" applyFont="1" applyBorder="1" applyAlignment="1">
      <alignment horizontal="center" vertical="center" wrapText="1"/>
    </xf>
    <xf numFmtId="3" fontId="69" fillId="0" borderId="138" xfId="0" applyNumberFormat="1" applyFont="1" applyBorder="1" applyAlignment="1">
      <alignment horizontal="center" vertical="center" wrapText="1"/>
    </xf>
    <xf numFmtId="3" fontId="63" fillId="0" borderId="66" xfId="74" applyNumberFormat="1" applyFont="1" applyBorder="1"/>
    <xf numFmtId="3" fontId="64" fillId="0" borderId="128" xfId="0" applyNumberFormat="1" applyFont="1" applyBorder="1"/>
    <xf numFmtId="3" fontId="59" fillId="0" borderId="42" xfId="0" applyNumberFormat="1" applyFont="1" applyBorder="1"/>
    <xf numFmtId="0" fontId="53" fillId="0" borderId="45" xfId="73" applyFont="1" applyBorder="1" applyAlignment="1">
      <alignment horizontal="center"/>
    </xf>
    <xf numFmtId="0" fontId="53" fillId="0" borderId="45" xfId="73" applyFont="1" applyBorder="1" applyAlignment="1">
      <alignment horizontal="center" vertical="center" wrapText="1"/>
    </xf>
    <xf numFmtId="0" fontId="53" fillId="0" borderId="79" xfId="73" applyFont="1" applyBorder="1" applyAlignment="1">
      <alignment horizontal="center" vertical="center" wrapText="1"/>
    </xf>
    <xf numFmtId="0" fontId="44" fillId="0" borderId="79" xfId="73" applyFont="1" applyBorder="1" applyAlignment="1">
      <alignment horizontal="center" wrapText="1"/>
    </xf>
    <xf numFmtId="0" fontId="150" fillId="0" borderId="0" xfId="0" applyFont="1" applyFill="1" applyAlignment="1"/>
    <xf numFmtId="0" fontId="16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159" fillId="0" borderId="0" xfId="0" applyFont="1"/>
    <xf numFmtId="0" fontId="118" fillId="0" borderId="0" xfId="0" applyFont="1" applyAlignment="1">
      <alignment horizontal="left"/>
    </xf>
    <xf numFmtId="3" fontId="118" fillId="0" borderId="0" xfId="0" applyNumberFormat="1" applyFont="1" applyAlignment="1">
      <alignment horizontal="right"/>
    </xf>
    <xf numFmtId="0" fontId="26" fillId="0" borderId="24" xfId="0" applyFont="1" applyBorder="1" applyAlignment="1">
      <alignment horizontal="center"/>
    </xf>
    <xf numFmtId="0" fontId="83" fillId="0" borderId="66" xfId="0" applyFont="1" applyBorder="1"/>
    <xf numFmtId="0" fontId="26" fillId="0" borderId="45" xfId="0" applyFont="1" applyBorder="1" applyAlignment="1">
      <alignment horizontal="center" vertical="center" wrapText="1"/>
    </xf>
    <xf numFmtId="0" fontId="23" fillId="0" borderId="25" xfId="0" applyFont="1" applyBorder="1" applyAlignment="1">
      <alignment vertical="center"/>
    </xf>
    <xf numFmtId="0" fontId="23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right" vertical="center"/>
    </xf>
    <xf numFmtId="0" fontId="23" fillId="0" borderId="26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3" fontId="23" fillId="0" borderId="26" xfId="0" applyNumberFormat="1" applyFont="1" applyBorder="1" applyAlignment="1">
      <alignment horizontal="right" vertical="center"/>
    </xf>
    <xf numFmtId="0" fontId="23" fillId="0" borderId="66" xfId="0" applyFont="1" applyBorder="1" applyAlignment="1">
      <alignment vertical="center"/>
    </xf>
    <xf numFmtId="0" fontId="83" fillId="0" borderId="0" xfId="0" applyFont="1" applyBorder="1"/>
    <xf numFmtId="0" fontId="23" fillId="0" borderId="125" xfId="0" applyFont="1" applyBorder="1" applyAlignment="1">
      <alignment vertical="center"/>
    </xf>
    <xf numFmtId="0" fontId="26" fillId="0" borderId="34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3" fontId="26" fillId="0" borderId="59" xfId="0" applyNumberFormat="1" applyFont="1" applyBorder="1"/>
    <xf numFmtId="0" fontId="26" fillId="0" borderId="0" xfId="0" applyFont="1" applyBorder="1"/>
    <xf numFmtId="0" fontId="23" fillId="0" borderId="0" xfId="0" applyFont="1" applyBorder="1" applyAlignment="1">
      <alignment vertical="center"/>
    </xf>
    <xf numFmtId="3" fontId="35" fillId="0" borderId="0" xfId="0" applyNumberFormat="1" applyFont="1" applyBorder="1" applyAlignment="1"/>
    <xf numFmtId="3" fontId="30" fillId="0" borderId="22" xfId="78" applyNumberFormat="1" applyFont="1" applyBorder="1" applyAlignment="1">
      <alignment vertical="center"/>
    </xf>
    <xf numFmtId="3" fontId="31" fillId="0" borderId="66" xfId="0" applyNumberFormat="1" applyFont="1" applyBorder="1"/>
    <xf numFmtId="3" fontId="108" fillId="0" borderId="49" xfId="0" applyNumberFormat="1" applyFont="1" applyBorder="1"/>
    <xf numFmtId="3" fontId="108" fillId="0" borderId="72" xfId="0" applyNumberFormat="1" applyFont="1" applyBorder="1"/>
    <xf numFmtId="0" fontId="37" fillId="0" borderId="22" xfId="0" applyFont="1" applyBorder="1"/>
    <xf numFmtId="0" fontId="37" fillId="0" borderId="0" xfId="0" applyFont="1"/>
    <xf numFmtId="0" fontId="37" fillId="0" borderId="66" xfId="0" applyFont="1" applyBorder="1"/>
    <xf numFmtId="0" fontId="37" fillId="0" borderId="26" xfId="0" applyFont="1" applyBorder="1"/>
    <xf numFmtId="3" fontId="31" fillId="0" borderId="22" xfId="0" applyNumberFormat="1" applyFont="1" applyBorder="1"/>
    <xf numFmtId="3" fontId="31" fillId="0" borderId="41" xfId="0" applyNumberFormat="1" applyFont="1" applyBorder="1"/>
    <xf numFmtId="3" fontId="31" fillId="0" borderId="69" xfId="0" applyNumberFormat="1" applyFont="1" applyBorder="1"/>
    <xf numFmtId="3" fontId="31" fillId="0" borderId="42" xfId="0" applyNumberFormat="1" applyFont="1" applyBorder="1"/>
    <xf numFmtId="3" fontId="31" fillId="0" borderId="22" xfId="0" applyNumberFormat="1" applyFont="1" applyBorder="1" applyAlignment="1">
      <alignment vertical="center"/>
    </xf>
    <xf numFmtId="3" fontId="31" fillId="0" borderId="66" xfId="0" applyNumberFormat="1" applyFont="1" applyBorder="1" applyAlignment="1">
      <alignment vertical="center"/>
    </xf>
    <xf numFmtId="3" fontId="31" fillId="0" borderId="132" xfId="0" applyNumberFormat="1" applyFont="1" applyBorder="1"/>
    <xf numFmtId="3" fontId="31" fillId="0" borderId="72" xfId="0" applyNumberFormat="1" applyFont="1" applyBorder="1"/>
    <xf numFmtId="3" fontId="31" fillId="0" borderId="34" xfId="0" applyNumberFormat="1" applyFont="1" applyBorder="1"/>
    <xf numFmtId="3" fontId="108" fillId="0" borderId="133" xfId="0" applyNumberFormat="1" applyFont="1" applyBorder="1"/>
    <xf numFmtId="3" fontId="31" fillId="0" borderId="56" xfId="0" applyNumberFormat="1" applyFont="1" applyBorder="1"/>
    <xf numFmtId="3" fontId="31" fillId="0" borderId="75" xfId="0" applyNumberFormat="1" applyFont="1" applyBorder="1"/>
    <xf numFmtId="3" fontId="31" fillId="0" borderId="133" xfId="0" applyNumberFormat="1" applyFont="1" applyBorder="1"/>
    <xf numFmtId="3" fontId="108" fillId="0" borderId="26" xfId="0" applyNumberFormat="1" applyFont="1" applyBorder="1" applyAlignment="1">
      <alignment vertical="center"/>
    </xf>
    <xf numFmtId="3" fontId="31" fillId="0" borderId="128" xfId="0" applyNumberFormat="1" applyFont="1" applyBorder="1"/>
    <xf numFmtId="3" fontId="108" fillId="0" borderId="113" xfId="0" applyNumberFormat="1" applyFont="1" applyBorder="1" applyAlignment="1">
      <alignment vertical="center"/>
    </xf>
    <xf numFmtId="3" fontId="163" fillId="0" borderId="0" xfId="0" applyNumberFormat="1" applyFont="1" applyBorder="1"/>
    <xf numFmtId="3" fontId="166" fillId="0" borderId="0" xfId="0" applyNumberFormat="1" applyFont="1" applyAlignment="1">
      <alignment vertical="center"/>
    </xf>
    <xf numFmtId="0" fontId="118" fillId="0" borderId="0" xfId="0" applyFont="1"/>
    <xf numFmtId="3" fontId="164" fillId="0" borderId="22" xfId="0" applyNumberFormat="1" applyFont="1" applyBorder="1"/>
    <xf numFmtId="3" fontId="164" fillId="0" borderId="69" xfId="0" applyNumberFormat="1" applyFont="1" applyBorder="1"/>
    <xf numFmtId="3" fontId="165" fillId="0" borderId="132" xfId="0" applyNumberFormat="1" applyFont="1" applyBorder="1"/>
    <xf numFmtId="3" fontId="35" fillId="0" borderId="66" xfId="78" applyNumberFormat="1" applyFont="1" applyBorder="1" applyAlignment="1">
      <alignment horizontal="center" vertical="center" wrapText="1"/>
    </xf>
    <xf numFmtId="3" fontId="163" fillId="0" borderId="66" xfId="0" applyNumberFormat="1" applyFont="1" applyBorder="1" applyAlignment="1">
      <alignment vertical="center"/>
    </xf>
    <xf numFmtId="3" fontId="162" fillId="0" borderId="0" xfId="0" applyNumberFormat="1" applyFont="1" applyBorder="1"/>
    <xf numFmtId="3" fontId="162" fillId="0" borderId="66" xfId="0" applyNumberFormat="1" applyFont="1" applyBorder="1" applyAlignment="1">
      <alignment vertical="center"/>
    </xf>
    <xf numFmtId="3" fontId="31" fillId="0" borderId="0" xfId="0" applyNumberFormat="1" applyFont="1" applyFill="1" applyBorder="1"/>
    <xf numFmtId="3" fontId="35" fillId="0" borderId="0" xfId="78" applyNumberFormat="1" applyFont="1" applyAlignment="1">
      <alignment horizontal="right" vertical="center"/>
    </xf>
    <xf numFmtId="3" fontId="31" fillId="25" borderId="22" xfId="0" applyNumberFormat="1" applyFont="1" applyFill="1" applyBorder="1"/>
    <xf numFmtId="3" fontId="35" fillId="0" borderId="0" xfId="78" applyNumberFormat="1" applyFont="1" applyAlignment="1">
      <alignment horizontal="center" vertical="center"/>
    </xf>
    <xf numFmtId="0" fontId="125" fillId="0" borderId="0" xfId="78" applyFont="1" applyAlignment="1">
      <alignment horizontal="center" vertical="center"/>
    </xf>
    <xf numFmtId="3" fontId="35" fillId="0" borderId="0" xfId="78" applyNumberFormat="1" applyFont="1" applyBorder="1" applyAlignment="1">
      <alignment horizontal="right" vertical="center" wrapText="1"/>
    </xf>
    <xf numFmtId="3" fontId="30" fillId="0" borderId="22" xfId="78" applyNumberFormat="1" applyFont="1" applyBorder="1" applyAlignment="1">
      <alignment horizontal="center" vertical="center"/>
    </xf>
    <xf numFmtId="0" fontId="125" fillId="0" borderId="0" xfId="78" applyFont="1" applyBorder="1" applyAlignment="1">
      <alignment horizontal="center" vertical="center"/>
    </xf>
    <xf numFmtId="0" fontId="167" fillId="0" borderId="22" xfId="0" applyFont="1" applyBorder="1"/>
    <xf numFmtId="3" fontId="28" fillId="0" borderId="69" xfId="0" applyNumberFormat="1" applyFont="1" applyBorder="1"/>
    <xf numFmtId="3" fontId="167" fillId="0" borderId="0" xfId="0" applyNumberFormat="1" applyFont="1" applyBorder="1"/>
    <xf numFmtId="3" fontId="59" fillId="0" borderId="101" xfId="0" applyNumberFormat="1" applyFont="1" applyBorder="1" applyAlignment="1">
      <alignment vertical="center"/>
    </xf>
    <xf numFmtId="3" fontId="58" fillId="0" borderId="134" xfId="0" applyNumberFormat="1" applyFont="1" applyBorder="1"/>
    <xf numFmtId="3" fontId="58" fillId="0" borderId="87" xfId="0" applyNumberFormat="1" applyFont="1" applyBorder="1"/>
    <xf numFmtId="3" fontId="58" fillId="0" borderId="140" xfId="0" applyNumberFormat="1" applyFont="1" applyBorder="1"/>
    <xf numFmtId="3" fontId="58" fillId="0" borderId="141" xfId="0" applyNumberFormat="1" applyFont="1" applyBorder="1" applyAlignment="1">
      <alignment vertical="center"/>
    </xf>
    <xf numFmtId="3" fontId="58" fillId="0" borderId="90" xfId="0" applyNumberFormat="1" applyFont="1" applyBorder="1" applyAlignment="1">
      <alignment vertical="center"/>
    </xf>
    <xf numFmtId="3" fontId="26" fillId="0" borderId="22" xfId="0" applyNumberFormat="1" applyFont="1" applyBorder="1" applyAlignment="1">
      <alignment vertical="center"/>
    </xf>
    <xf numFmtId="3" fontId="43" fillId="0" borderId="0" xfId="73" applyNumberFormat="1" applyFont="1" applyAlignment="1">
      <alignment vertical="center"/>
    </xf>
    <xf numFmtId="3" fontId="43" fillId="0" borderId="0" xfId="73" applyNumberFormat="1" applyFont="1"/>
    <xf numFmtId="3" fontId="43" fillId="25" borderId="0" xfId="73" applyNumberFormat="1" applyFont="1" applyFill="1" applyAlignment="1">
      <alignment vertical="center"/>
    </xf>
    <xf numFmtId="0" fontId="53" fillId="0" borderId="24" xfId="77" applyFont="1" applyBorder="1" applyAlignment="1">
      <alignment horizont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3" fillId="0" borderId="0" xfId="77" applyFont="1" applyBorder="1" applyAlignment="1">
      <alignment horizontal="center"/>
    </xf>
    <xf numFmtId="0" fontId="26" fillId="0" borderId="0" xfId="77" applyFont="1" applyBorder="1" applyAlignment="1">
      <alignment vertical="center"/>
    </xf>
    <xf numFmtId="0" fontId="26" fillId="0" borderId="0" xfId="77" applyFont="1" applyBorder="1" applyAlignment="1">
      <alignment horizontal="center" vertical="center"/>
    </xf>
    <xf numFmtId="0" fontId="26" fillId="0" borderId="24" xfId="77" applyFont="1" applyBorder="1" applyAlignment="1">
      <alignment horizontal="center"/>
    </xf>
    <xf numFmtId="0" fontId="26" fillId="0" borderId="0" xfId="77" applyFont="1" applyBorder="1" applyAlignment="1">
      <alignment horizontal="center"/>
    </xf>
    <xf numFmtId="0" fontId="102" fillId="0" borderId="0" xfId="77" applyFont="1"/>
    <xf numFmtId="0" fontId="20" fillId="0" borderId="0" xfId="77" applyFont="1" applyBorder="1"/>
    <xf numFmtId="14" fontId="52" fillId="0" borderId="0" xfId="77" applyNumberFormat="1" applyFont="1" applyAlignment="1">
      <alignment horizontal="right"/>
    </xf>
    <xf numFmtId="3" fontId="168" fillId="0" borderId="0" xfId="77" applyNumberFormat="1" applyFont="1" applyBorder="1"/>
    <xf numFmtId="3" fontId="168" fillId="0" borderId="0" xfId="77" applyNumberFormat="1" applyFont="1"/>
    <xf numFmtId="9" fontId="168" fillId="0" borderId="0" xfId="77" applyNumberFormat="1" applyFont="1" applyBorder="1" applyAlignment="1">
      <alignment horizontal="right"/>
    </xf>
    <xf numFmtId="0" fontId="26" fillId="0" borderId="0" xfId="77" applyFont="1"/>
    <xf numFmtId="0" fontId="23" fillId="0" borderId="0" xfId="77" applyFont="1" applyAlignment="1">
      <alignment horizontal="center"/>
    </xf>
    <xf numFmtId="0" fontId="169" fillId="0" borderId="0" xfId="77" applyFont="1"/>
    <xf numFmtId="3" fontId="23" fillId="0" borderId="0" xfId="77" applyNumberFormat="1" applyFont="1"/>
    <xf numFmtId="0" fontId="23" fillId="0" borderId="0" xfId="77" applyFont="1" applyAlignment="1">
      <alignment horizontal="right"/>
    </xf>
    <xf numFmtId="0" fontId="150" fillId="0" borderId="0" xfId="77" applyFont="1"/>
    <xf numFmtId="3" fontId="150" fillId="0" borderId="0" xfId="77" applyNumberFormat="1" applyFont="1"/>
    <xf numFmtId="3" fontId="150" fillId="0" borderId="0" xfId="77" applyNumberFormat="1" applyFont="1" applyAlignment="1">
      <alignment horizontal="right"/>
    </xf>
    <xf numFmtId="0" fontId="150" fillId="0" borderId="0" xfId="77" applyFont="1" applyAlignment="1">
      <alignment horizontal="right"/>
    </xf>
    <xf numFmtId="9" fontId="150" fillId="0" borderId="0" xfId="77" applyNumberFormat="1" applyFont="1" applyAlignment="1">
      <alignment horizontal="right"/>
    </xf>
    <xf numFmtId="3" fontId="26" fillId="0" borderId="0" xfId="77" applyNumberFormat="1" applyFont="1"/>
    <xf numFmtId="0" fontId="26" fillId="0" borderId="0" xfId="77" applyFont="1" applyAlignment="1">
      <alignment horizontal="right"/>
    </xf>
    <xf numFmtId="0" fontId="23" fillId="0" borderId="0" xfId="89" applyFont="1" applyAlignment="1"/>
    <xf numFmtId="0" fontId="23" fillId="0" borderId="0" xfId="68" applyFont="1" applyAlignment="1"/>
    <xf numFmtId="0" fontId="171" fillId="0" borderId="0" xfId="90" applyFont="1" applyAlignment="1" applyProtection="1"/>
    <xf numFmtId="0" fontId="26" fillId="0" borderId="0" xfId="68" applyFont="1" applyAlignment="1"/>
    <xf numFmtId="0" fontId="23" fillId="0" borderId="0" xfId="68" applyFont="1"/>
    <xf numFmtId="0" fontId="26" fillId="0" borderId="90" xfId="68" applyFont="1" applyBorder="1" applyAlignment="1">
      <alignment horizontal="center"/>
    </xf>
    <xf numFmtId="0" fontId="26" fillId="0" borderId="0" xfId="68" applyFont="1" applyAlignment="1">
      <alignment horizontal="center"/>
    </xf>
    <xf numFmtId="0" fontId="26" fillId="0" borderId="0" xfId="68" applyFont="1" applyBorder="1" applyAlignment="1">
      <alignment horizontal="center"/>
    </xf>
    <xf numFmtId="0" fontId="23" fillId="0" borderId="24" xfId="77" applyFont="1" applyBorder="1" applyAlignment="1"/>
    <xf numFmtId="0" fontId="26" fillId="0" borderId="24" xfId="68" applyFont="1" applyBorder="1" applyAlignment="1">
      <alignment horizontal="center" vertical="center"/>
    </xf>
    <xf numFmtId="0" fontId="26" fillId="0" borderId="24" xfId="68" applyFont="1" applyBorder="1" applyAlignment="1">
      <alignment horizontal="center" vertical="center" wrapText="1"/>
    </xf>
    <xf numFmtId="0" fontId="26" fillId="0" borderId="24" xfId="68" applyFont="1" applyBorder="1" applyAlignment="1">
      <alignment horizontal="center"/>
    </xf>
    <xf numFmtId="0" fontId="23" fillId="0" borderId="0" xfId="77" applyFont="1" applyBorder="1" applyAlignment="1">
      <alignment horizontal="center"/>
    </xf>
    <xf numFmtId="0" fontId="23" fillId="0" borderId="22" xfId="68" applyFont="1" applyBorder="1"/>
    <xf numFmtId="3" fontId="23" fillId="0" borderId="22" xfId="68" applyNumberFormat="1" applyFont="1" applyBorder="1"/>
    <xf numFmtId="3" fontId="23" fillId="0" borderId="0" xfId="68" applyNumberFormat="1" applyFont="1" applyBorder="1"/>
    <xf numFmtId="3" fontId="23" fillId="0" borderId="66" xfId="68" applyNumberFormat="1" applyFont="1" applyBorder="1"/>
    <xf numFmtId="3" fontId="23" fillId="0" borderId="26" xfId="68" applyNumberFormat="1" applyFont="1" applyBorder="1"/>
    <xf numFmtId="0" fontId="23" fillId="0" borderId="22" xfId="68" applyFont="1" applyBorder="1" applyAlignment="1">
      <alignment wrapText="1"/>
    </xf>
    <xf numFmtId="3" fontId="23" fillId="0" borderId="22" xfId="68" applyNumberFormat="1" applyFont="1" applyBorder="1" applyAlignment="1">
      <alignment vertical="center"/>
    </xf>
    <xf numFmtId="3" fontId="23" fillId="0" borderId="0" xfId="68" applyNumberFormat="1" applyFont="1" applyBorder="1" applyAlignment="1">
      <alignment vertical="center"/>
    </xf>
    <xf numFmtId="0" fontId="23" fillId="0" borderId="26" xfId="68" applyFont="1" applyBorder="1" applyAlignment="1">
      <alignment wrapText="1"/>
    </xf>
    <xf numFmtId="0" fontId="23" fillId="0" borderId="91" xfId="77" applyFont="1" applyBorder="1" applyAlignment="1">
      <alignment horizontal="center"/>
    </xf>
    <xf numFmtId="0" fontId="23" fillId="0" borderId="48" xfId="68" applyFont="1" applyBorder="1" applyAlignment="1">
      <alignment wrapText="1"/>
    </xf>
    <xf numFmtId="3" fontId="23" fillId="0" borderId="89" xfId="68" applyNumberFormat="1" applyFont="1" applyBorder="1"/>
    <xf numFmtId="3" fontId="23" fillId="0" borderId="90" xfId="68" applyNumberFormat="1" applyFont="1" applyBorder="1"/>
    <xf numFmtId="3" fontId="23" fillId="0" borderId="91" xfId="68" applyNumberFormat="1" applyFont="1" applyBorder="1"/>
    <xf numFmtId="3" fontId="23" fillId="0" borderId="48" xfId="68" applyNumberFormat="1" applyFont="1" applyBorder="1"/>
    <xf numFmtId="0" fontId="26" fillId="0" borderId="25" xfId="68" applyFont="1" applyBorder="1"/>
    <xf numFmtId="3" fontId="26" fillId="0" borderId="22" xfId="68" applyNumberFormat="1" applyFont="1" applyBorder="1"/>
    <xf numFmtId="3" fontId="26" fillId="0" borderId="0" xfId="68" applyNumberFormat="1" applyFont="1" applyBorder="1"/>
    <xf numFmtId="3" fontId="26" fillId="0" borderId="66" xfId="68" applyNumberFormat="1" applyFont="1" applyBorder="1"/>
    <xf numFmtId="3" fontId="26" fillId="0" borderId="25" xfId="68" applyNumberFormat="1" applyFont="1" applyBorder="1"/>
    <xf numFmtId="0" fontId="26" fillId="0" borderId="0" xfId="68" applyFont="1"/>
    <xf numFmtId="3" fontId="26" fillId="0" borderId="0" xfId="68" applyNumberFormat="1" applyFont="1"/>
    <xf numFmtId="3" fontId="23" fillId="0" borderId="0" xfId="68" applyNumberFormat="1" applyFont="1"/>
    <xf numFmtId="3" fontId="118" fillId="0" borderId="0" xfId="68" applyNumberFormat="1" applyFont="1" applyAlignment="1"/>
    <xf numFmtId="3" fontId="118" fillId="0" borderId="0" xfId="68" applyNumberFormat="1" applyFont="1"/>
    <xf numFmtId="0" fontId="118" fillId="0" borderId="0" xfId="68" applyFont="1"/>
    <xf numFmtId="0" fontId="118" fillId="0" borderId="0" xfId="68" applyFont="1" applyAlignment="1"/>
    <xf numFmtId="0" fontId="23" fillId="0" borderId="0" xfId="68" applyFont="1" applyAlignment="1">
      <alignment wrapText="1"/>
    </xf>
    <xf numFmtId="0" fontId="23" fillId="0" borderId="0" xfId="89" applyFont="1"/>
    <xf numFmtId="0" fontId="26" fillId="0" borderId="24" xfId="89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88" xfId="89" applyFont="1" applyBorder="1"/>
    <xf numFmtId="3" fontId="23" fillId="0" borderId="44" xfId="0" applyNumberFormat="1" applyFont="1" applyBorder="1"/>
    <xf numFmtId="3" fontId="23" fillId="0" borderId="87" xfId="0" applyNumberFormat="1" applyFont="1" applyBorder="1"/>
    <xf numFmtId="0" fontId="23" fillId="0" borderId="22" xfId="0" applyFont="1" applyBorder="1" applyAlignment="1">
      <alignment horizontal="center"/>
    </xf>
    <xf numFmtId="0" fontId="23" fillId="0" borderId="66" xfId="89" applyFont="1" applyBorder="1"/>
    <xf numFmtId="3" fontId="23" fillId="0" borderId="22" xfId="0" applyNumberFormat="1" applyFont="1" applyBorder="1"/>
    <xf numFmtId="0" fontId="150" fillId="0" borderId="66" xfId="89" applyFont="1" applyBorder="1"/>
    <xf numFmtId="3" fontId="150" fillId="0" borderId="22" xfId="0" applyNumberFormat="1" applyFont="1" applyBorder="1"/>
    <xf numFmtId="3" fontId="150" fillId="0" borderId="0" xfId="0" applyNumberFormat="1" applyFont="1" applyBorder="1"/>
    <xf numFmtId="3" fontId="150" fillId="0" borderId="66" xfId="0" applyNumberFormat="1" applyFont="1" applyBorder="1"/>
    <xf numFmtId="0" fontId="23" fillId="0" borderId="66" xfId="89" applyFont="1" applyBorder="1" applyAlignment="1">
      <alignment shrinkToFit="1"/>
    </xf>
    <xf numFmtId="3" fontId="23" fillId="0" borderId="22" xfId="0" applyNumberFormat="1" applyFont="1" applyBorder="1" applyAlignment="1"/>
    <xf numFmtId="3" fontId="23" fillId="0" borderId="0" xfId="0" applyNumberFormat="1" applyFont="1" applyBorder="1" applyAlignment="1"/>
    <xf numFmtId="3" fontId="150" fillId="0" borderId="22" xfId="89" applyNumberFormat="1" applyFont="1" applyBorder="1"/>
    <xf numFmtId="3" fontId="150" fillId="0" borderId="0" xfId="89" applyNumberFormat="1" applyFont="1" applyBorder="1"/>
    <xf numFmtId="0" fontId="26" fillId="0" borderId="66" xfId="89" applyFont="1" applyBorder="1"/>
    <xf numFmtId="3" fontId="26" fillId="0" borderId="22" xfId="89" applyNumberFormat="1" applyFont="1" applyBorder="1"/>
    <xf numFmtId="3" fontId="26" fillId="0" borderId="66" xfId="0" applyNumberFormat="1" applyFont="1" applyBorder="1"/>
    <xf numFmtId="3" fontId="23" fillId="0" borderId="22" xfId="89" applyNumberFormat="1" applyFont="1" applyBorder="1"/>
    <xf numFmtId="3" fontId="23" fillId="0" borderId="0" xfId="89" applyNumberFormat="1" applyFont="1" applyBorder="1"/>
    <xf numFmtId="0" fontId="23" fillId="0" borderId="66" xfId="89" applyFont="1" applyBorder="1" applyAlignment="1">
      <alignment wrapText="1"/>
    </xf>
    <xf numFmtId="3" fontId="26" fillId="0" borderId="0" xfId="89" applyNumberFormat="1" applyFont="1" applyBorder="1"/>
    <xf numFmtId="0" fontId="23" fillId="0" borderId="89" xfId="0" applyFont="1" applyBorder="1" applyAlignment="1">
      <alignment horizontal="center"/>
    </xf>
    <xf numFmtId="0" fontId="26" fillId="0" borderId="91" xfId="89" applyFont="1" applyBorder="1"/>
    <xf numFmtId="3" fontId="26" fillId="25" borderId="89" xfId="89" applyNumberFormat="1" applyFont="1" applyFill="1" applyBorder="1"/>
    <xf numFmtId="3" fontId="26" fillId="25" borderId="90" xfId="89" applyNumberFormat="1" applyFont="1" applyFill="1" applyBorder="1"/>
    <xf numFmtId="3" fontId="26" fillId="25" borderId="90" xfId="0" applyNumberFormat="1" applyFont="1" applyFill="1" applyBorder="1"/>
    <xf numFmtId="3" fontId="26" fillId="25" borderId="91" xfId="0" applyNumberFormat="1" applyFont="1" applyFill="1" applyBorder="1"/>
    <xf numFmtId="0" fontId="23" fillId="0" borderId="0" xfId="89" applyFont="1" applyBorder="1"/>
    <xf numFmtId="0" fontId="23" fillId="0" borderId="0" xfId="91" applyFont="1" applyBorder="1"/>
    <xf numFmtId="0" fontId="150" fillId="0" borderId="0" xfId="0" applyFont="1" applyFill="1" applyBorder="1" applyAlignment="1">
      <alignment wrapText="1"/>
    </xf>
    <xf numFmtId="0" fontId="23" fillId="0" borderId="0" xfId="91" applyFont="1" applyBorder="1" applyAlignment="1">
      <alignment wrapText="1"/>
    </xf>
    <xf numFmtId="0" fontId="150" fillId="0" borderId="0" xfId="91" applyFont="1" applyBorder="1" applyAlignment="1">
      <alignment horizontal="right"/>
    </xf>
    <xf numFmtId="0" fontId="26" fillId="0" borderId="0" xfId="91" applyFont="1" applyBorder="1" applyAlignment="1">
      <alignment horizontal="center" wrapText="1"/>
    </xf>
    <xf numFmtId="0" fontId="26" fillId="0" borderId="0" xfId="91" applyFont="1" applyBorder="1" applyAlignment="1">
      <alignment horizontal="center"/>
    </xf>
    <xf numFmtId="0" fontId="23" fillId="0" borderId="0" xfId="91" applyFont="1" applyBorder="1" applyAlignment="1">
      <alignment horizontal="center"/>
    </xf>
    <xf numFmtId="0" fontId="26" fillId="0" borderId="24" xfId="91" applyFont="1" applyBorder="1" applyAlignment="1">
      <alignment horizontal="center" wrapText="1"/>
    </xf>
    <xf numFmtId="0" fontId="26" fillId="0" borderId="24" xfId="91" applyFont="1" applyBorder="1" applyAlignment="1">
      <alignment horizontal="center"/>
    </xf>
    <xf numFmtId="0" fontId="23" fillId="0" borderId="24" xfId="91" applyFont="1" applyBorder="1" applyAlignment="1">
      <alignment horizontal="center"/>
    </xf>
    <xf numFmtId="0" fontId="161" fillId="0" borderId="0" xfId="91" applyFont="1" applyBorder="1"/>
    <xf numFmtId="0" fontId="26" fillId="0" borderId="24" xfId="91" applyFont="1" applyBorder="1" applyAlignment="1">
      <alignment horizontal="center" vertical="center"/>
    </xf>
    <xf numFmtId="0" fontId="150" fillId="0" borderId="0" xfId="91" applyFont="1" applyBorder="1"/>
    <xf numFmtId="0" fontId="107" fillId="0" borderId="0" xfId="91" applyFont="1" applyBorder="1" applyAlignment="1">
      <alignment horizontal="left" wrapText="1"/>
    </xf>
    <xf numFmtId="0" fontId="26" fillId="0" borderId="0" xfId="91" applyFont="1" applyBorder="1" applyAlignment="1"/>
    <xf numFmtId="0" fontId="23" fillId="0" borderId="0" xfId="91" applyFont="1" applyBorder="1" applyAlignment="1"/>
    <xf numFmtId="0" fontId="23" fillId="0" borderId="0" xfId="91" applyFont="1" applyBorder="1" applyAlignment="1">
      <alignment horizontal="left" wrapText="1"/>
    </xf>
    <xf numFmtId="3" fontId="23" fillId="0" borderId="0" xfId="91" applyNumberFormat="1" applyFont="1" applyBorder="1" applyAlignment="1">
      <alignment horizontal="right"/>
    </xf>
    <xf numFmtId="3" fontId="23" fillId="0" borderId="0" xfId="91" applyNumberFormat="1" applyFont="1" applyBorder="1"/>
    <xf numFmtId="3" fontId="23" fillId="0" borderId="0" xfId="91" applyNumberFormat="1" applyFont="1" applyBorder="1" applyAlignment="1"/>
    <xf numFmtId="0" fontId="26" fillId="0" borderId="0" xfId="91" applyFont="1" applyBorder="1" applyAlignment="1">
      <alignment horizontal="left" wrapText="1"/>
    </xf>
    <xf numFmtId="3" fontId="26" fillId="0" borderId="0" xfId="91" applyNumberFormat="1" applyFont="1" applyBorder="1" applyAlignment="1">
      <alignment horizontal="right"/>
    </xf>
    <xf numFmtId="3" fontId="26" fillId="0" borderId="0" xfId="91" applyNumberFormat="1" applyFont="1" applyBorder="1" applyAlignment="1"/>
    <xf numFmtId="3" fontId="150" fillId="0" borderId="0" xfId="91" applyNumberFormat="1" applyFont="1" applyBorder="1" applyAlignment="1">
      <alignment horizontal="right"/>
    </xf>
    <xf numFmtId="49" fontId="23" fillId="0" borderId="0" xfId="91" applyNumberFormat="1" applyFont="1" applyBorder="1" applyAlignment="1">
      <alignment horizontal="left" wrapText="1"/>
    </xf>
    <xf numFmtId="0" fontId="26" fillId="0" borderId="0" xfId="91" applyFont="1" applyBorder="1"/>
    <xf numFmtId="0" fontId="161" fillId="0" borderId="0" xfId="91" applyFont="1" applyBorder="1" applyAlignment="1">
      <alignment horizontal="left" wrapText="1"/>
    </xf>
    <xf numFmtId="3" fontId="161" fillId="0" borderId="0" xfId="91" applyNumberFormat="1" applyFont="1" applyBorder="1" applyAlignment="1">
      <alignment horizontal="right"/>
    </xf>
    <xf numFmtId="3" fontId="161" fillId="0" borderId="0" xfId="91" applyNumberFormat="1" applyFont="1" applyBorder="1" applyAlignment="1"/>
    <xf numFmtId="0" fontId="161" fillId="0" borderId="0" xfId="0" applyFont="1" applyBorder="1" applyAlignment="1">
      <alignment horizontal="left" wrapText="1"/>
    </xf>
    <xf numFmtId="3" fontId="161" fillId="0" borderId="0" xfId="0" applyNumberFormat="1" applyFont="1" applyBorder="1" applyAlignment="1">
      <alignment horizontal="right"/>
    </xf>
    <xf numFmtId="0" fontId="150" fillId="0" borderId="0" xfId="91" applyFont="1" applyBorder="1" applyAlignment="1">
      <alignment horizontal="left"/>
    </xf>
    <xf numFmtId="0" fontId="161" fillId="0" borderId="0" xfId="0" applyFont="1" applyBorder="1"/>
    <xf numFmtId="0" fontId="161" fillId="0" borderId="0" xfId="91" applyFont="1" applyBorder="1" applyAlignment="1">
      <alignment horizontal="left" vertical="center" wrapText="1"/>
    </xf>
    <xf numFmtId="0" fontId="23" fillId="0" borderId="0" xfId="91" applyFont="1" applyBorder="1" applyAlignment="1">
      <alignment horizontal="left" vertical="center" wrapText="1"/>
    </xf>
    <xf numFmtId="3" fontId="150" fillId="0" borderId="0" xfId="91" applyNumberFormat="1" applyFont="1" applyBorder="1" applyAlignment="1"/>
    <xf numFmtId="3" fontId="26" fillId="0" borderId="0" xfId="91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left" wrapText="1"/>
    </xf>
    <xf numFmtId="3" fontId="23" fillId="0" borderId="0" xfId="0" applyNumberFormat="1" applyFont="1" applyBorder="1" applyAlignment="1">
      <alignment horizontal="right"/>
    </xf>
    <xf numFmtId="0" fontId="107" fillId="0" borderId="93" xfId="0" applyFont="1" applyBorder="1" applyAlignment="1">
      <alignment horizontal="left" wrapText="1"/>
    </xf>
    <xf numFmtId="3" fontId="26" fillId="0" borderId="93" xfId="0" applyNumberFormat="1" applyFont="1" applyBorder="1" applyAlignment="1">
      <alignment horizontal="right"/>
    </xf>
    <xf numFmtId="3" fontId="26" fillId="0" borderId="93" xfId="91" applyNumberFormat="1" applyFont="1" applyBorder="1" applyAlignment="1"/>
    <xf numFmtId="3" fontId="26" fillId="0" borderId="93" xfId="91" applyNumberFormat="1" applyFont="1" applyBorder="1" applyAlignment="1">
      <alignment horizontal="right"/>
    </xf>
    <xf numFmtId="0" fontId="107" fillId="0" borderId="0" xfId="0" applyFont="1" applyBorder="1" applyAlignment="1">
      <alignment horizontal="left" wrapText="1"/>
    </xf>
    <xf numFmtId="0" fontId="23" fillId="0" borderId="93" xfId="91" applyFont="1" applyBorder="1" applyAlignment="1">
      <alignment horizontal="center"/>
    </xf>
    <xf numFmtId="0" fontId="107" fillId="0" borderId="93" xfId="91" applyFont="1" applyBorder="1" applyAlignment="1">
      <alignment horizontal="left" wrapText="1"/>
    </xf>
    <xf numFmtId="0" fontId="150" fillId="0" borderId="0" xfId="0" applyFont="1" applyAlignment="1"/>
    <xf numFmtId="0" fontId="107" fillId="0" borderId="0" xfId="90" applyFont="1" applyAlignment="1" applyProtection="1">
      <alignment horizontal="center"/>
    </xf>
    <xf numFmtId="0" fontId="23" fillId="0" borderId="0" xfId="0" applyFont="1" applyAlignment="1"/>
    <xf numFmtId="0" fontId="161" fillId="0" borderId="93" xfId="0" applyFont="1" applyBorder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0" fontId="161" fillId="0" borderId="0" xfId="0" applyFont="1" applyBorder="1" applyAlignment="1">
      <alignment horizontal="center" vertical="center" wrapText="1"/>
    </xf>
    <xf numFmtId="0" fontId="161" fillId="0" borderId="0" xfId="0" applyFont="1" applyBorder="1" applyAlignment="1">
      <alignment horizontal="center" vertical="center"/>
    </xf>
    <xf numFmtId="0" fontId="107" fillId="0" borderId="0" xfId="0" applyFont="1" applyBorder="1" applyAlignment="1">
      <alignment horizontal="left" vertical="center"/>
    </xf>
    <xf numFmtId="0" fontId="150" fillId="0" borderId="0" xfId="0" applyFont="1" applyBorder="1" applyAlignment="1">
      <alignment horizontal="left" vertical="center"/>
    </xf>
    <xf numFmtId="3" fontId="118" fillId="0" borderId="0" xfId="0" applyNumberFormat="1" applyFont="1"/>
    <xf numFmtId="0" fontId="150" fillId="0" borderId="0" xfId="0" applyFont="1" applyBorder="1"/>
    <xf numFmtId="0" fontId="26" fillId="0" borderId="0" xfId="0" applyFont="1" applyBorder="1" applyAlignment="1">
      <alignment horizontal="left" vertical="center"/>
    </xf>
    <xf numFmtId="3" fontId="26" fillId="0" borderId="0" xfId="0" applyNumberFormat="1" applyFont="1" applyBorder="1" applyAlignment="1">
      <alignment horizontal="right" vertical="center"/>
    </xf>
    <xf numFmtId="3" fontId="159" fillId="0" borderId="0" xfId="0" applyNumberFormat="1" applyFont="1" applyBorder="1" applyAlignment="1">
      <alignment horizontal="right" vertical="center"/>
    </xf>
    <xf numFmtId="3" fontId="172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3" fontId="23" fillId="0" borderId="0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150" fillId="0" borderId="0" xfId="0" applyNumberFormat="1" applyFont="1"/>
    <xf numFmtId="0" fontId="150" fillId="0" borderId="0" xfId="0" applyFont="1"/>
    <xf numFmtId="0" fontId="161" fillId="0" borderId="0" xfId="0" applyFont="1"/>
    <xf numFmtId="3" fontId="161" fillId="0" borderId="0" xfId="0" applyNumberFormat="1" applyFont="1"/>
    <xf numFmtId="3" fontId="83" fillId="0" borderId="0" xfId="0" applyNumberFormat="1" applyFont="1" applyBorder="1"/>
    <xf numFmtId="3" fontId="26" fillId="0" borderId="0" xfId="0" applyNumberFormat="1" applyFont="1" applyBorder="1" applyAlignment="1">
      <alignment horizontal="right" vertical="center" wrapText="1"/>
    </xf>
    <xf numFmtId="0" fontId="172" fillId="0" borderId="0" xfId="0" applyFont="1"/>
    <xf numFmtId="0" fontId="23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107" fillId="0" borderId="0" xfId="0" applyFont="1"/>
    <xf numFmtId="0" fontId="173" fillId="0" borderId="0" xfId="0" applyFont="1" applyBorder="1" applyAlignment="1"/>
    <xf numFmtId="0" fontId="161" fillId="0" borderId="0" xfId="0" applyFont="1" applyBorder="1" applyAlignment="1"/>
    <xf numFmtId="0" fontId="83" fillId="0" borderId="0" xfId="0" applyFont="1" applyAlignment="1">
      <alignment horizontal="right"/>
    </xf>
    <xf numFmtId="0" fontId="83" fillId="0" borderId="0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/>
    <xf numFmtId="49" fontId="23" fillId="0" borderId="0" xfId="0" applyNumberFormat="1" applyFont="1" applyAlignment="1">
      <alignment horizontal="right"/>
    </xf>
    <xf numFmtId="0" fontId="118" fillId="0" borderId="0" xfId="0" applyFont="1" applyAlignment="1">
      <alignment horizontal="center"/>
    </xf>
    <xf numFmtId="0" fontId="174" fillId="0" borderId="0" xfId="0" applyFont="1"/>
    <xf numFmtId="49" fontId="118" fillId="0" borderId="0" xfId="0" applyNumberFormat="1" applyFont="1" applyAlignment="1">
      <alignment horizontal="right"/>
    </xf>
    <xf numFmtId="0" fontId="161" fillId="0" borderId="0" xfId="0" applyFont="1" applyAlignment="1"/>
    <xf numFmtId="3" fontId="161" fillId="0" borderId="0" xfId="0" applyNumberFormat="1" applyFont="1" applyAlignment="1">
      <alignment horizontal="right"/>
    </xf>
    <xf numFmtId="0" fontId="118" fillId="0" borderId="0" xfId="0" applyFont="1" applyAlignment="1"/>
    <xf numFmtId="0" fontId="161" fillId="0" borderId="0" xfId="0" applyFont="1" applyAlignment="1">
      <alignment horizontal="left"/>
    </xf>
    <xf numFmtId="49" fontId="83" fillId="0" borderId="0" xfId="0" applyNumberFormat="1" applyFont="1" applyAlignment="1">
      <alignment horizontal="right"/>
    </xf>
    <xf numFmtId="0" fontId="26" fillId="0" borderId="0" xfId="0" applyFont="1" applyAlignment="1"/>
    <xf numFmtId="0" fontId="26" fillId="0" borderId="0" xfId="0" applyFont="1" applyBorder="1" applyAlignment="1">
      <alignment vertical="center"/>
    </xf>
    <xf numFmtId="3" fontId="26" fillId="0" borderId="0" xfId="0" applyNumberFormat="1" applyFont="1" applyAlignment="1">
      <alignment horizontal="left"/>
    </xf>
    <xf numFmtId="0" fontId="107" fillId="0" borderId="0" xfId="0" applyFont="1" applyAlignment="1"/>
    <xf numFmtId="0" fontId="26" fillId="0" borderId="0" xfId="0" applyFont="1" applyAlignment="1">
      <alignment horizontal="left" wrapText="1"/>
    </xf>
    <xf numFmtId="3" fontId="23" fillId="0" borderId="0" xfId="92" applyNumberFormat="1" applyFont="1"/>
    <xf numFmtId="3" fontId="23" fillId="0" borderId="0" xfId="92" applyNumberFormat="1" applyFont="1" applyAlignment="1">
      <alignment horizontal="right"/>
    </xf>
    <xf numFmtId="0" fontId="26" fillId="0" borderId="0" xfId="92" applyFont="1" applyAlignment="1"/>
    <xf numFmtId="3" fontId="26" fillId="0" borderId="0" xfId="92" applyNumberFormat="1" applyFont="1" applyAlignment="1">
      <alignment horizontal="center"/>
    </xf>
    <xf numFmtId="3" fontId="26" fillId="0" borderId="24" xfId="92" applyNumberFormat="1" applyFont="1" applyBorder="1" applyAlignment="1">
      <alignment horizontal="center"/>
    </xf>
    <xf numFmtId="3" fontId="175" fillId="0" borderId="24" xfId="92" applyNumberFormat="1" applyFont="1" applyBorder="1" applyAlignment="1">
      <alignment horizontal="center"/>
    </xf>
    <xf numFmtId="0" fontId="26" fillId="0" borderId="90" xfId="92" applyFont="1" applyBorder="1" applyAlignment="1">
      <alignment horizontal="center"/>
    </xf>
    <xf numFmtId="0" fontId="26" fillId="0" borderId="98" xfId="92" applyFont="1" applyBorder="1" applyAlignment="1">
      <alignment horizontal="center"/>
    </xf>
    <xf numFmtId="3" fontId="26" fillId="0" borderId="0" xfId="92" applyNumberFormat="1" applyFont="1" applyAlignment="1">
      <alignment horizontal="right"/>
    </xf>
    <xf numFmtId="3" fontId="23" fillId="0" borderId="0" xfId="92" applyNumberFormat="1" applyFont="1" applyBorder="1" applyAlignment="1">
      <alignment horizontal="center" textRotation="90"/>
    </xf>
    <xf numFmtId="0" fontId="26" fillId="0" borderId="0" xfId="92" applyFont="1" applyBorder="1" applyAlignment="1">
      <alignment horizontal="center"/>
    </xf>
    <xf numFmtId="3" fontId="23" fillId="0" borderId="0" xfId="92" applyNumberFormat="1" applyFont="1" applyBorder="1" applyAlignment="1">
      <alignment horizontal="center"/>
    </xf>
    <xf numFmtId="0" fontId="176" fillId="0" borderId="0" xfId="92" applyFont="1"/>
    <xf numFmtId="0" fontId="150" fillId="0" borderId="0" xfId="92" applyFont="1" applyAlignment="1">
      <alignment horizontal="right"/>
    </xf>
    <xf numFmtId="0" fontId="169" fillId="0" borderId="0" xfId="92" applyFont="1"/>
    <xf numFmtId="3" fontId="23" fillId="0" borderId="0" xfId="92" applyNumberFormat="1" applyFont="1" applyAlignment="1"/>
    <xf numFmtId="3" fontId="150" fillId="0" borderId="0" xfId="92" applyNumberFormat="1" applyFont="1" applyAlignment="1">
      <alignment horizontal="right"/>
    </xf>
    <xf numFmtId="0" fontId="23" fillId="0" borderId="0" xfId="92" applyFont="1" applyAlignment="1">
      <alignment horizontal="right"/>
    </xf>
    <xf numFmtId="0" fontId="23" fillId="0" borderId="0" xfId="92" applyFont="1"/>
    <xf numFmtId="3" fontId="23" fillId="0" borderId="0" xfId="92" applyNumberFormat="1" applyFont="1" applyBorder="1"/>
    <xf numFmtId="3" fontId="150" fillId="0" borderId="0" xfId="92" applyNumberFormat="1" applyFont="1"/>
    <xf numFmtId="0" fontId="150" fillId="0" borderId="0" xfId="92" applyFont="1" applyAlignment="1">
      <alignment horizontal="left"/>
    </xf>
    <xf numFmtId="0" fontId="161" fillId="0" borderId="0" xfId="92" applyFont="1" applyAlignment="1">
      <alignment horizontal="right"/>
    </xf>
    <xf numFmtId="0" fontId="161" fillId="0" borderId="0" xfId="92" applyFont="1"/>
    <xf numFmtId="3" fontId="161" fillId="0" borderId="0" xfId="92" applyNumberFormat="1" applyFont="1"/>
    <xf numFmtId="0" fontId="23" fillId="0" borderId="0" xfId="92" applyFont="1" applyAlignment="1">
      <alignment horizontal="left"/>
    </xf>
    <xf numFmtId="3" fontId="23" fillId="0" borderId="0" xfId="92" applyNumberFormat="1" applyFont="1" applyAlignment="1">
      <alignment horizontal="center"/>
    </xf>
    <xf numFmtId="0" fontId="26" fillId="0" borderId="0" xfId="92" applyFont="1" applyAlignment="1">
      <alignment horizontal="right"/>
    </xf>
    <xf numFmtId="0" fontId="26" fillId="0" borderId="0" xfId="92" applyFont="1"/>
    <xf numFmtId="3" fontId="26" fillId="0" borderId="0" xfId="92" applyNumberFormat="1" applyFont="1"/>
    <xf numFmtId="3" fontId="118" fillId="0" borderId="0" xfId="92" applyNumberFormat="1" applyFont="1"/>
    <xf numFmtId="3" fontId="166" fillId="0" borderId="0" xfId="92" applyNumberFormat="1" applyFont="1"/>
    <xf numFmtId="3" fontId="177" fillId="0" borderId="0" xfId="92" applyNumberFormat="1" applyFont="1"/>
    <xf numFmtId="3" fontId="83" fillId="0" borderId="0" xfId="92" applyNumberFormat="1" applyFont="1"/>
    <xf numFmtId="0" fontId="150" fillId="0" borderId="0" xfId="0" applyFont="1" applyAlignment="1">
      <alignment horizontal="right"/>
    </xf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horizontal="center"/>
    </xf>
    <xf numFmtId="0" fontId="118" fillId="0" borderId="0" xfId="0" applyFont="1" applyAlignment="1">
      <alignment horizontal="center" vertical="center"/>
    </xf>
    <xf numFmtId="3" fontId="118" fillId="0" borderId="0" xfId="0" applyNumberFormat="1" applyFont="1" applyBorder="1"/>
    <xf numFmtId="0" fontId="83" fillId="0" borderId="0" xfId="89" applyFont="1" applyAlignment="1"/>
    <xf numFmtId="0" fontId="83" fillId="0" borderId="0" xfId="92" applyFont="1"/>
    <xf numFmtId="0" fontId="107" fillId="0" borderId="0" xfId="92" applyFont="1" applyAlignment="1">
      <alignment horizontal="center"/>
    </xf>
    <xf numFmtId="0" fontId="26" fillId="0" borderId="0" xfId="92" applyFont="1" applyAlignment="1">
      <alignment horizontal="center"/>
    </xf>
    <xf numFmtId="0" fontId="161" fillId="0" borderId="0" xfId="92" applyFont="1" applyAlignment="1">
      <alignment horizontal="center"/>
    </xf>
    <xf numFmtId="0" fontId="26" fillId="0" borderId="24" xfId="92" applyFont="1" applyBorder="1" applyAlignment="1">
      <alignment horizontal="center"/>
    </xf>
    <xf numFmtId="0" fontId="23" fillId="0" borderId="0" xfId="92" applyFont="1" applyAlignment="1">
      <alignment horizontal="center"/>
    </xf>
    <xf numFmtId="0" fontId="159" fillId="0" borderId="0" xfId="92" applyFont="1"/>
    <xf numFmtId="0" fontId="118" fillId="0" borderId="0" xfId="92" applyFont="1"/>
    <xf numFmtId="0" fontId="99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7" fillId="0" borderId="0" xfId="72" applyFont="1" applyAlignment="1">
      <alignment horizontal="center"/>
    </xf>
    <xf numFmtId="0" fontId="99" fillId="0" borderId="24" xfId="72" applyFont="1" applyBorder="1" applyAlignment="1">
      <alignment horizontal="center"/>
    </xf>
    <xf numFmtId="3" fontId="23" fillId="0" borderId="88" xfId="0" applyNumberFormat="1" applyFont="1" applyBorder="1"/>
    <xf numFmtId="3" fontId="26" fillId="0" borderId="22" xfId="0" applyNumberFormat="1" applyFont="1" applyBorder="1"/>
    <xf numFmtId="0" fontId="26" fillId="0" borderId="66" xfId="89" applyFont="1" applyBorder="1" applyAlignment="1">
      <alignment shrinkToFit="1"/>
    </xf>
    <xf numFmtId="0" fontId="26" fillId="0" borderId="66" xfId="0" applyFont="1" applyBorder="1"/>
    <xf numFmtId="3" fontId="26" fillId="0" borderId="22" xfId="0" applyNumberFormat="1" applyFont="1" applyBorder="1" applyAlignment="1"/>
    <xf numFmtId="3" fontId="26" fillId="0" borderId="0" xfId="0" applyNumberFormat="1" applyFont="1" applyBorder="1" applyAlignment="1"/>
    <xf numFmtId="3" fontId="26" fillId="0" borderId="66" xfId="0" applyNumberFormat="1" applyFont="1" applyBorder="1" applyAlignment="1"/>
    <xf numFmtId="0" fontId="26" fillId="0" borderId="91" xfId="0" applyFont="1" applyBorder="1"/>
    <xf numFmtId="3" fontId="26" fillId="0" borderId="89" xfId="0" applyNumberFormat="1" applyFont="1" applyBorder="1" applyAlignment="1"/>
    <xf numFmtId="3" fontId="26" fillId="0" borderId="90" xfId="0" applyNumberFormat="1" applyFont="1" applyBorder="1" applyAlignment="1"/>
    <xf numFmtId="3" fontId="26" fillId="0" borderId="91" xfId="0" applyNumberFormat="1" applyFont="1" applyBorder="1" applyAlignment="1"/>
    <xf numFmtId="3" fontId="23" fillId="0" borderId="0" xfId="89" applyNumberFormat="1" applyFont="1"/>
    <xf numFmtId="0" fontId="1" fillId="0" borderId="0" xfId="0" applyFont="1"/>
    <xf numFmtId="0" fontId="121" fillId="0" borderId="0" xfId="72" applyFont="1" applyFill="1" applyAlignment="1">
      <alignment horizontal="left"/>
    </xf>
    <xf numFmtId="0" fontId="121" fillId="0" borderId="0" xfId="72" applyFont="1" applyFill="1" applyAlignment="1"/>
    <xf numFmtId="3" fontId="121" fillId="0" borderId="0" xfId="72" applyNumberFormat="1" applyFont="1" applyFill="1" applyAlignment="1"/>
    <xf numFmtId="14" fontId="121" fillId="0" borderId="0" xfId="72" applyNumberFormat="1" applyFont="1" applyFill="1" applyBorder="1" applyAlignment="1" applyProtection="1">
      <alignment horizontal="center"/>
      <protection locked="0"/>
    </xf>
    <xf numFmtId="3" fontId="121" fillId="0" borderId="0" xfId="0" applyNumberFormat="1" applyFont="1" applyFill="1"/>
    <xf numFmtId="0" fontId="149" fillId="0" borderId="0" xfId="0" applyFont="1"/>
    <xf numFmtId="14" fontId="121" fillId="0" borderId="0" xfId="72" applyNumberFormat="1" applyFont="1" applyFill="1" applyBorder="1" applyAlignment="1" applyProtection="1">
      <alignment horizontal="left"/>
      <protection locked="0"/>
    </xf>
    <xf numFmtId="0" fontId="121" fillId="0" borderId="0" xfId="72" applyFont="1" applyFill="1" applyBorder="1" applyAlignment="1">
      <alignment horizontal="center"/>
    </xf>
    <xf numFmtId="0" fontId="97" fillId="0" borderId="0" xfId="72" applyFont="1" applyFill="1" applyBorder="1" applyAlignment="1">
      <alignment horizontal="center" wrapText="1"/>
    </xf>
    <xf numFmtId="0" fontId="145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3" fontId="97" fillId="0" borderId="0" xfId="0" applyNumberFormat="1" applyFont="1" applyFill="1" applyAlignment="1">
      <alignment wrapText="1"/>
    </xf>
    <xf numFmtId="0" fontId="145" fillId="0" borderId="0" xfId="0" applyFont="1" applyAlignment="1">
      <alignment wrapText="1"/>
    </xf>
    <xf numFmtId="0" fontId="97" fillId="0" borderId="0" xfId="0" applyFont="1" applyFill="1" applyAlignment="1">
      <alignment horizontal="left"/>
    </xf>
    <xf numFmtId="0" fontId="97" fillId="0" borderId="0" xfId="0" applyFont="1" applyFill="1" applyAlignment="1">
      <alignment wrapText="1"/>
    </xf>
    <xf numFmtId="14" fontId="97" fillId="0" borderId="0" xfId="0" applyNumberFormat="1" applyFont="1" applyFill="1" applyAlignment="1">
      <alignment horizontal="center" wrapText="1"/>
    </xf>
    <xf numFmtId="0" fontId="97" fillId="0" borderId="0" xfId="0" applyFont="1" applyFill="1" applyAlignment="1">
      <alignment horizontal="center" wrapText="1"/>
    </xf>
    <xf numFmtId="14" fontId="97" fillId="0" borderId="0" xfId="0" applyNumberFormat="1" applyFont="1" applyFill="1" applyAlignment="1">
      <alignment horizontal="left"/>
    </xf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97" fillId="0" borderId="0" xfId="0" applyFont="1"/>
    <xf numFmtId="0" fontId="179" fillId="0" borderId="0" xfId="0" applyFont="1"/>
    <xf numFmtId="3" fontId="97" fillId="0" borderId="0" xfId="0" applyNumberFormat="1" applyFont="1"/>
    <xf numFmtId="0" fontId="97" fillId="0" borderId="0" xfId="0" applyFont="1" applyAlignment="1">
      <alignment horizontal="center"/>
    </xf>
    <xf numFmtId="0" fontId="9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7" fillId="0" borderId="0" xfId="0" applyNumberFormat="1" applyFont="1" applyAlignment="1">
      <alignment wrapText="1"/>
    </xf>
    <xf numFmtId="0" fontId="97" fillId="0" borderId="0" xfId="0" applyFont="1" applyAlignment="1">
      <alignment horizontal="center" wrapText="1"/>
    </xf>
    <xf numFmtId="14" fontId="97" fillId="0" borderId="0" xfId="0" applyNumberFormat="1" applyFont="1" applyAlignment="1">
      <alignment horizontal="center"/>
    </xf>
    <xf numFmtId="0" fontId="20" fillId="0" borderId="0" xfId="0" applyFont="1" applyFill="1"/>
    <xf numFmtId="0" fontId="180" fillId="0" borderId="0" xfId="0" applyFont="1"/>
    <xf numFmtId="14" fontId="97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wrapText="1"/>
    </xf>
    <xf numFmtId="3" fontId="99" fillId="0" borderId="0" xfId="0" applyNumberFormat="1" applyFont="1"/>
    <xf numFmtId="0" fontId="99" fillId="0" borderId="0" xfId="0" applyFont="1"/>
    <xf numFmtId="0" fontId="99" fillId="0" borderId="0" xfId="0" applyFont="1" applyBorder="1" applyAlignment="1">
      <alignment horizontal="center" wrapText="1"/>
    </xf>
    <xf numFmtId="0" fontId="0" fillId="0" borderId="66" xfId="0" applyFont="1" applyBorder="1" applyAlignment="1">
      <alignment wrapText="1"/>
    </xf>
    <xf numFmtId="3" fontId="25" fillId="0" borderId="125" xfId="0" applyNumberFormat="1" applyFont="1" applyBorder="1"/>
    <xf numFmtId="3" fontId="30" fillId="0" borderId="65" xfId="78" applyNumberFormat="1" applyFont="1" applyBorder="1"/>
    <xf numFmtId="3" fontId="30" fillId="0" borderId="74" xfId="78" applyNumberFormat="1" applyFont="1" applyBorder="1" applyAlignment="1">
      <alignment vertical="center"/>
    </xf>
    <xf numFmtId="3" fontId="30" fillId="0" borderId="27" xfId="78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right"/>
    </xf>
    <xf numFmtId="3" fontId="64" fillId="0" borderId="45" xfId="0" applyNumberFormat="1" applyFont="1" applyBorder="1" applyAlignment="1">
      <alignment horizontal="center" vertical="center"/>
    </xf>
    <xf numFmtId="3" fontId="64" fillId="0" borderId="93" xfId="0" applyNumberFormat="1" applyFont="1" applyBorder="1" applyAlignment="1">
      <alignment horizontal="center" vertical="center"/>
    </xf>
    <xf numFmtId="3" fontId="64" fillId="0" borderId="98" xfId="0" applyNumberFormat="1" applyFont="1" applyBorder="1" applyAlignment="1">
      <alignment horizontal="center" vertical="center"/>
    </xf>
    <xf numFmtId="3" fontId="64" fillId="0" borderId="25" xfId="0" applyNumberFormat="1" applyFont="1" applyBorder="1" applyAlignment="1">
      <alignment horizontal="center" vertical="center" wrapText="1"/>
    </xf>
    <xf numFmtId="3" fontId="64" fillId="0" borderId="48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4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15" xfId="0" applyNumberFormat="1" applyFont="1" applyBorder="1" applyAlignment="1">
      <alignment horizontal="center" vertical="center"/>
    </xf>
    <xf numFmtId="3" fontId="25" fillId="0" borderId="68" xfId="0" applyNumberFormat="1" applyFont="1" applyBorder="1" applyAlignment="1">
      <alignment horizontal="center" vertical="center"/>
    </xf>
    <xf numFmtId="0" fontId="64" fillId="0" borderId="0" xfId="0" applyFont="1" applyFill="1" applyAlignment="1">
      <alignment horizontal="center"/>
    </xf>
    <xf numFmtId="3" fontId="64" fillId="0" borderId="89" xfId="0" applyNumberFormat="1" applyFont="1" applyBorder="1" applyAlignment="1">
      <alignment horizontal="center" vertical="center" wrapText="1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5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3" fontId="64" fillId="0" borderId="0" xfId="0" applyNumberFormat="1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25" fillId="0" borderId="12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8" fillId="0" borderId="34" xfId="71" applyNumberFormat="1" applyFont="1" applyBorder="1" applyAlignment="1">
      <alignment horizontal="right" vertical="center"/>
    </xf>
    <xf numFmtId="3" fontId="108" fillId="0" borderId="59" xfId="71" applyNumberFormat="1" applyFont="1" applyBorder="1" applyAlignment="1">
      <alignment horizontal="right" vertical="center"/>
    </xf>
    <xf numFmtId="0" fontId="150" fillId="0" borderId="0" xfId="75" applyFont="1" applyAlignment="1">
      <alignment horizontal="right"/>
    </xf>
    <xf numFmtId="0" fontId="152" fillId="0" borderId="0" xfId="71" applyFont="1" applyAlignment="1">
      <alignment horizontal="right" vertical="center"/>
    </xf>
    <xf numFmtId="0" fontId="108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53" fillId="0" borderId="96" xfId="71" applyFont="1" applyFill="1" applyBorder="1" applyAlignment="1">
      <alignment horizontal="center" vertical="center"/>
    </xf>
    <xf numFmtId="0" fontId="153" fillId="0" borderId="97" xfId="71" applyFont="1" applyFill="1" applyBorder="1" applyAlignment="1">
      <alignment horizontal="center" vertical="center"/>
    </xf>
    <xf numFmtId="3" fontId="153" fillId="0" borderId="49" xfId="71" applyNumberFormat="1" applyFont="1" applyFill="1" applyBorder="1" applyAlignment="1">
      <alignment horizontal="center" vertical="center"/>
    </xf>
    <xf numFmtId="3" fontId="153" fillId="0" borderId="27" xfId="71" applyNumberFormat="1" applyFont="1" applyFill="1" applyBorder="1" applyAlignment="1">
      <alignment horizontal="center" vertical="center"/>
    </xf>
    <xf numFmtId="3" fontId="153" fillId="0" borderId="49" xfId="71" applyNumberFormat="1" applyFont="1" applyFill="1" applyBorder="1" applyAlignment="1">
      <alignment horizontal="center" vertical="center" wrapText="1"/>
    </xf>
    <xf numFmtId="3" fontId="153" fillId="0" borderId="27" xfId="71" applyNumberFormat="1" applyFont="1" applyFill="1" applyBorder="1" applyAlignment="1">
      <alignment horizontal="center" vertical="center" wrapText="1"/>
    </xf>
    <xf numFmtId="3" fontId="153" fillId="0" borderId="83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6" xfId="71" applyFont="1" applyFill="1" applyBorder="1" applyAlignment="1">
      <alignment horizontal="center" vertical="center"/>
    </xf>
    <xf numFmtId="0" fontId="75" fillId="0" borderId="97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2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3" fontId="27" fillId="0" borderId="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30" fillId="0" borderId="24" xfId="0" applyFont="1" applyBorder="1" applyAlignment="1">
      <alignment horizontal="center" vertical="center"/>
    </xf>
    <xf numFmtId="0" fontId="30" fillId="0" borderId="24" xfId="0" applyNumberFormat="1" applyFont="1" applyBorder="1" applyAlignment="1">
      <alignment horizontal="center" vertical="center" wrapText="1"/>
    </xf>
    <xf numFmtId="0" fontId="30" fillId="0" borderId="45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/>
    </xf>
    <xf numFmtId="0" fontId="25" fillId="0" borderId="122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143" fillId="0" borderId="34" xfId="71" applyNumberFormat="1" applyFont="1" applyBorder="1" applyAlignment="1">
      <alignment horizontal="right" vertical="center"/>
    </xf>
    <xf numFmtId="3" fontId="143" fillId="0" borderId="59" xfId="71" applyNumberFormat="1" applyFont="1" applyBorder="1" applyAlignment="1">
      <alignment horizontal="right" vertical="center"/>
    </xf>
    <xf numFmtId="0" fontId="115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3" xfId="71" applyNumberFormat="1" applyFont="1" applyFill="1" applyBorder="1" applyAlignment="1">
      <alignment horizontal="center" vertical="center" wrapText="1"/>
    </xf>
    <xf numFmtId="0" fontId="30" fillId="0" borderId="126" xfId="0" applyFont="1" applyBorder="1" applyAlignment="1">
      <alignment horizontal="center" vertical="center"/>
    </xf>
    <xf numFmtId="0" fontId="30" fillId="0" borderId="130" xfId="0" applyFont="1" applyBorder="1" applyAlignment="1">
      <alignment horizontal="center" vertical="center"/>
    </xf>
    <xf numFmtId="0" fontId="30" fillId="0" borderId="130" xfId="0" applyNumberFormat="1" applyFont="1" applyBorder="1" applyAlignment="1">
      <alignment horizontal="center" vertical="center" wrapText="1"/>
    </xf>
    <xf numFmtId="0" fontId="30" fillId="0" borderId="13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5" fillId="0" borderId="0" xfId="76" applyFont="1" applyBorder="1" applyAlignment="1">
      <alignment horizontal="center"/>
    </xf>
    <xf numFmtId="0" fontId="34" fillId="0" borderId="126" xfId="0" applyFont="1" applyBorder="1" applyAlignment="1">
      <alignment horizontal="center" vertical="center" wrapText="1"/>
    </xf>
    <xf numFmtId="0" fontId="34" fillId="0" borderId="127" xfId="0" applyFont="1" applyBorder="1" applyAlignment="1">
      <alignment horizontal="center" vertical="center" wrapText="1"/>
    </xf>
    <xf numFmtId="0" fontId="25" fillId="0" borderId="116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114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108" fillId="0" borderId="24" xfId="0" applyFont="1" applyBorder="1" applyAlignment="1">
      <alignment horizontal="center" vertical="center"/>
    </xf>
    <xf numFmtId="0" fontId="108" fillId="0" borderId="24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3" fontId="29" fillId="0" borderId="90" xfId="0" applyNumberFormat="1" applyFont="1" applyBorder="1" applyAlignment="1">
      <alignment horizontal="right"/>
    </xf>
    <xf numFmtId="0" fontId="29" fillId="0" borderId="24" xfId="0" applyFont="1" applyBorder="1" applyAlignment="1">
      <alignment horizontal="center" vertical="center" wrapText="1"/>
    </xf>
    <xf numFmtId="0" fontId="108" fillId="0" borderId="90" xfId="0" applyFont="1" applyBorder="1" applyAlignment="1">
      <alignment horizontal="center" vertical="center" wrapText="1"/>
    </xf>
    <xf numFmtId="0" fontId="108" fillId="0" borderId="93" xfId="0" applyFont="1" applyBorder="1" applyAlignment="1">
      <alignment horizontal="center" vertical="center" wrapText="1"/>
    </xf>
    <xf numFmtId="3" fontId="108" fillId="0" borderId="24" xfId="0" applyNumberFormat="1" applyFont="1" applyBorder="1" applyAlignment="1">
      <alignment horizontal="center" vertical="center" wrapText="1"/>
    </xf>
    <xf numFmtId="3" fontId="25" fillId="0" borderId="103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34" fillId="0" borderId="0" xfId="78" applyNumberFormat="1" applyFont="1" applyBorder="1" applyAlignment="1">
      <alignment horizontal="right"/>
    </xf>
    <xf numFmtId="3" fontId="25" fillId="0" borderId="100" xfId="0" applyNumberFormat="1" applyFont="1" applyBorder="1" applyAlignment="1">
      <alignment horizontal="center" vertical="center" wrapText="1"/>
    </xf>
    <xf numFmtId="3" fontId="25" fillId="0" borderId="134" xfId="0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45" xfId="78" applyNumberFormat="1" applyFont="1" applyBorder="1" applyAlignment="1">
      <alignment horizontal="center" vertical="center"/>
    </xf>
    <xf numFmtId="3" fontId="25" fillId="0" borderId="93" xfId="78" applyNumberFormat="1" applyFont="1" applyBorder="1" applyAlignment="1">
      <alignment horizontal="center" vertical="center"/>
    </xf>
    <xf numFmtId="3" fontId="25" fillId="0" borderId="41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0" fontId="30" fillId="0" borderId="0" xfId="78" applyFont="1" applyAlignment="1">
      <alignment horizontal="center"/>
    </xf>
    <xf numFmtId="0" fontId="30" fillId="0" borderId="45" xfId="78" applyFont="1" applyBorder="1" applyAlignment="1">
      <alignment horizontal="center" vertical="center"/>
    </xf>
    <xf numFmtId="0" fontId="37" fillId="0" borderId="93" xfId="78" applyFont="1" applyBorder="1" applyAlignment="1">
      <alignment horizontal="center" vertical="center"/>
    </xf>
    <xf numFmtId="0" fontId="37" fillId="0" borderId="98" xfId="78" applyFont="1" applyBorder="1" applyAlignment="1">
      <alignment horizontal="center" vertical="center"/>
    </xf>
    <xf numFmtId="49" fontId="25" fillId="0" borderId="135" xfId="78" applyNumberFormat="1" applyFont="1" applyBorder="1" applyAlignment="1">
      <alignment horizontal="center" vertical="center" textRotation="255" wrapText="1"/>
    </xf>
    <xf numFmtId="49" fontId="25" fillId="0" borderId="99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0" xfId="0" applyFont="1" applyBorder="1" applyAlignment="1">
      <alignment horizontal="right"/>
    </xf>
    <xf numFmtId="0" fontId="0" fillId="0" borderId="90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1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104" xfId="0" applyFont="1" applyBorder="1" applyAlignment="1">
      <alignment horizontal="center" vertical="center"/>
    </xf>
    <xf numFmtId="3" fontId="25" fillId="0" borderId="9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0" xfId="74" applyFont="1" applyBorder="1" applyAlignment="1">
      <alignment horizontal="center"/>
    </xf>
    <xf numFmtId="3" fontId="64" fillId="0" borderId="91" xfId="0" applyNumberFormat="1" applyFont="1" applyBorder="1" applyAlignment="1">
      <alignment horizontal="center" vertical="center" wrapText="1"/>
    </xf>
    <xf numFmtId="3" fontId="147" fillId="0" borderId="95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3" xfId="0" applyFont="1" applyBorder="1" applyAlignment="1"/>
    <xf numFmtId="0" fontId="64" fillId="0" borderId="113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0" fontId="0" fillId="0" borderId="0" xfId="0" applyAlignment="1"/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3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57" fillId="0" borderId="106" xfId="0" applyNumberFormat="1" applyFont="1" applyBorder="1" applyAlignment="1">
      <alignment horizontal="center" vertical="center" wrapText="1"/>
    </xf>
    <xf numFmtId="3" fontId="57" fillId="0" borderId="107" xfId="0" applyNumberFormat="1" applyFont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textRotation="255"/>
    </xf>
    <xf numFmtId="0" fontId="57" fillId="0" borderId="109" xfId="0" applyFont="1" applyBorder="1" applyAlignment="1">
      <alignment horizontal="center" vertical="center" textRotation="255"/>
    </xf>
    <xf numFmtId="0" fontId="0" fillId="0" borderId="110" xfId="0" applyBorder="1" applyAlignment="1"/>
    <xf numFmtId="3" fontId="64" fillId="0" borderId="111" xfId="0" applyNumberFormat="1" applyFont="1" applyBorder="1" applyAlignment="1">
      <alignment horizontal="center" vertical="center" wrapText="1"/>
    </xf>
    <xf numFmtId="3" fontId="64" fillId="0" borderId="112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4" xfId="0" applyNumberFormat="1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115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18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19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6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6" xfId="0" applyNumberFormat="1" applyFont="1" applyBorder="1" applyAlignment="1">
      <alignment horizontal="center" vertical="center" wrapText="1"/>
    </xf>
    <xf numFmtId="0" fontId="64" fillId="0" borderId="120" xfId="0" applyFont="1" applyBorder="1" applyAlignment="1">
      <alignment horizontal="center" vertical="center" readingOrder="2"/>
    </xf>
    <xf numFmtId="0" fontId="78" fillId="0" borderId="118" xfId="0" applyFont="1" applyBorder="1" applyAlignment="1">
      <alignment horizontal="center" vertical="center"/>
    </xf>
    <xf numFmtId="0" fontId="57" fillId="0" borderId="99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3" fontId="58" fillId="25" borderId="44" xfId="0" applyNumberFormat="1" applyFont="1" applyFill="1" applyBorder="1" applyAlignment="1">
      <alignment horizontal="center" vertical="center"/>
    </xf>
    <xf numFmtId="3" fontId="58" fillId="25" borderId="22" xfId="0" applyNumberFormat="1" applyFont="1" applyFill="1" applyBorder="1" applyAlignment="1">
      <alignment horizontal="center" vertical="center"/>
    </xf>
    <xf numFmtId="3" fontId="58" fillId="25" borderId="89" xfId="0" applyNumberFormat="1" applyFont="1" applyFill="1" applyBorder="1" applyAlignment="1">
      <alignment horizontal="center" vertical="center"/>
    </xf>
    <xf numFmtId="3" fontId="58" fillId="25" borderId="142" xfId="0" applyNumberFormat="1" applyFont="1" applyFill="1" applyBorder="1" applyAlignment="1">
      <alignment horizontal="center" vertical="center"/>
    </xf>
    <xf numFmtId="3" fontId="58" fillId="25" borderId="139" xfId="0" applyNumberFormat="1" applyFont="1" applyFill="1" applyBorder="1" applyAlignment="1">
      <alignment horizontal="center" vertical="center"/>
    </xf>
    <xf numFmtId="3" fontId="58" fillId="25" borderId="140" xfId="0" applyNumberFormat="1" applyFont="1" applyFill="1" applyBorder="1" applyAlignment="1">
      <alignment horizontal="center" vertical="center"/>
    </xf>
    <xf numFmtId="3" fontId="59" fillId="25" borderId="25" xfId="0" applyNumberFormat="1" applyFont="1" applyFill="1" applyBorder="1" applyAlignment="1">
      <alignment horizontal="center" vertical="center"/>
    </xf>
    <xf numFmtId="3" fontId="59" fillId="25" borderId="26" xfId="0" applyNumberFormat="1" applyFont="1" applyFill="1" applyBorder="1" applyAlignment="1">
      <alignment horizontal="center" vertical="center"/>
    </xf>
    <xf numFmtId="3" fontId="59" fillId="25" borderId="48" xfId="0" applyNumberFormat="1" applyFont="1" applyFill="1" applyBorder="1" applyAlignment="1">
      <alignment horizontal="center" vertical="center"/>
    </xf>
    <xf numFmtId="3" fontId="59" fillId="0" borderId="26" xfId="0" applyNumberFormat="1" applyFont="1" applyBorder="1" applyAlignment="1">
      <alignment horizontal="center" vertical="center"/>
    </xf>
    <xf numFmtId="3" fontId="64" fillId="0" borderId="45" xfId="0" applyNumberFormat="1" applyFont="1" applyBorder="1" applyAlignment="1">
      <alignment horizontal="center"/>
    </xf>
    <xf numFmtId="3" fontId="64" fillId="0" borderId="93" xfId="0" applyNumberFormat="1" applyFont="1" applyBorder="1" applyAlignment="1">
      <alignment horizontal="center"/>
    </xf>
    <xf numFmtId="3" fontId="64" fillId="0" borderId="98" xfId="0" applyNumberFormat="1" applyFont="1" applyBorder="1" applyAlignment="1">
      <alignment horizontal="center"/>
    </xf>
    <xf numFmtId="3" fontId="90" fillId="0" borderId="45" xfId="0" applyNumberFormat="1" applyFont="1" applyBorder="1" applyAlignment="1">
      <alignment horizontal="center"/>
    </xf>
    <xf numFmtId="3" fontId="90" fillId="0" borderId="93" xfId="0" applyNumberFormat="1" applyFont="1" applyBorder="1" applyAlignment="1">
      <alignment horizontal="center"/>
    </xf>
    <xf numFmtId="3" fontId="90" fillId="0" borderId="98" xfId="0" applyNumberFormat="1" applyFont="1" applyBorder="1" applyAlignment="1">
      <alignment horizontal="center"/>
    </xf>
    <xf numFmtId="3" fontId="64" fillId="0" borderId="24" xfId="0" applyNumberFormat="1" applyFont="1" applyBorder="1" applyAlignment="1">
      <alignment horizontal="center" vertical="center" wrapText="1"/>
    </xf>
    <xf numFmtId="3" fontId="90" fillId="0" borderId="24" xfId="0" applyNumberFormat="1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/>
    </xf>
    <xf numFmtId="0" fontId="64" fillId="0" borderId="90" xfId="0" applyFont="1" applyBorder="1" applyAlignment="1">
      <alignment horizontal="right"/>
    </xf>
    <xf numFmtId="0" fontId="90" fillId="0" borderId="90" xfId="0" applyFont="1" applyBorder="1" applyAlignment="1">
      <alignment horizontal="right"/>
    </xf>
    <xf numFmtId="0" fontId="59" fillId="0" borderId="49" xfId="0" applyFont="1" applyBorder="1" applyAlignment="1">
      <alignment horizontal="left"/>
    </xf>
    <xf numFmtId="0" fontId="59" fillId="0" borderId="72" xfId="0" applyFont="1" applyBorder="1" applyAlignment="1">
      <alignment horizontal="left"/>
    </xf>
    <xf numFmtId="3" fontId="90" fillId="0" borderId="45" xfId="0" applyNumberFormat="1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64" fillId="0" borderId="24" xfId="0" applyNumberFormat="1" applyFont="1" applyBorder="1" applyAlignment="1">
      <alignment horizontal="center" vertical="center"/>
    </xf>
    <xf numFmtId="0" fontId="88" fillId="0" borderId="24" xfId="0" applyFont="1" applyBorder="1" applyAlignment="1">
      <alignment horizontal="center" vertical="center"/>
    </xf>
    <xf numFmtId="0" fontId="90" fillId="0" borderId="87" xfId="0" applyFont="1" applyBorder="1" applyAlignment="1">
      <alignment horizontal="center" vertical="center" wrapText="1"/>
    </xf>
    <xf numFmtId="0" fontId="90" fillId="0" borderId="0" xfId="0" applyFont="1" applyBorder="1" applyAlignment="1">
      <alignment horizontal="center" vertical="center" wrapText="1"/>
    </xf>
    <xf numFmtId="0" fontId="88" fillId="0" borderId="91" xfId="0" applyFont="1" applyBorder="1" applyAlignment="1">
      <alignment horizontal="center" vertical="center" wrapText="1"/>
    </xf>
    <xf numFmtId="0" fontId="150" fillId="0" borderId="0" xfId="0" applyFont="1" applyBorder="1" applyAlignment="1">
      <alignment horizontal="right"/>
    </xf>
    <xf numFmtId="0" fontId="44" fillId="0" borderId="15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29" fillId="0" borderId="51" xfId="0" applyNumberFormat="1" applyFont="1" applyBorder="1" applyAlignment="1">
      <alignment horizontal="center" vertical="center"/>
    </xf>
    <xf numFmtId="0" fontId="108" fillId="0" borderId="45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27" fillId="0" borderId="0" xfId="0" applyFont="1" applyBorder="1" applyAlignment="1">
      <alignment horizontal="right"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3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5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3" fontId="64" fillId="0" borderId="138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3" fillId="0" borderId="24" xfId="89" applyFont="1" applyBorder="1" applyAlignment="1">
      <alignment horizontal="center" textRotation="90"/>
    </xf>
    <xf numFmtId="0" fontId="26" fillId="0" borderId="24" xfId="89" applyFont="1" applyBorder="1" applyAlignment="1">
      <alignment horizontal="center" vertical="center"/>
    </xf>
    <xf numFmtId="0" fontId="26" fillId="0" borderId="24" xfId="89" applyFont="1" applyBorder="1" applyAlignment="1">
      <alignment horizontal="center" vertical="center" wrapText="1"/>
    </xf>
    <xf numFmtId="0" fontId="26" fillId="0" borderId="0" xfId="89" applyFont="1" applyAlignment="1">
      <alignment horizontal="center"/>
    </xf>
    <xf numFmtId="0" fontId="150" fillId="0" borderId="0" xfId="89" applyFont="1" applyBorder="1" applyAlignment="1">
      <alignment horizontal="right"/>
    </xf>
    <xf numFmtId="0" fontId="178" fillId="0" borderId="0" xfId="0" applyFont="1" applyBorder="1" applyAlignment="1"/>
    <xf numFmtId="0" fontId="23" fillId="0" borderId="25" xfId="89" applyFont="1" applyBorder="1" applyAlignment="1">
      <alignment horizontal="center" textRotation="90"/>
    </xf>
    <xf numFmtId="0" fontId="23" fillId="0" borderId="26" xfId="89" applyFont="1" applyBorder="1" applyAlignment="1">
      <alignment horizontal="center" textRotation="90"/>
    </xf>
    <xf numFmtId="0" fontId="23" fillId="0" borderId="48" xfId="89" applyFont="1" applyBorder="1" applyAlignment="1">
      <alignment horizontal="center" textRotation="90"/>
    </xf>
    <xf numFmtId="0" fontId="26" fillId="0" borderId="25" xfId="89" applyFont="1" applyBorder="1" applyAlignment="1">
      <alignment horizontal="center" vertical="center"/>
    </xf>
    <xf numFmtId="0" fontId="26" fillId="0" borderId="26" xfId="89" applyFont="1" applyBorder="1" applyAlignment="1">
      <alignment horizontal="center" vertical="center"/>
    </xf>
    <xf numFmtId="0" fontId="26" fillId="0" borderId="48" xfId="89" applyFont="1" applyBorder="1" applyAlignment="1">
      <alignment horizontal="center" vertical="center"/>
    </xf>
    <xf numFmtId="0" fontId="26" fillId="0" borderId="25" xfId="89" applyFont="1" applyBorder="1" applyAlignment="1">
      <alignment horizontal="center" vertical="center" wrapText="1"/>
    </xf>
    <xf numFmtId="0" fontId="26" fillId="0" borderId="26" xfId="89" applyFont="1" applyBorder="1" applyAlignment="1">
      <alignment horizontal="center" vertical="center" wrapText="1"/>
    </xf>
    <xf numFmtId="0" fontId="26" fillId="0" borderId="48" xfId="89" applyFont="1" applyBorder="1" applyAlignment="1">
      <alignment horizontal="center" vertical="center" wrapText="1"/>
    </xf>
    <xf numFmtId="0" fontId="150" fillId="0" borderId="0" xfId="89" applyFont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43" fillId="0" borderId="0" xfId="0" applyFont="1" applyAlignment="1">
      <alignment horizontal="left" wrapText="1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99" fillId="0" borderId="0" xfId="72" applyFont="1" applyAlignment="1">
      <alignment horizontal="center"/>
    </xf>
    <xf numFmtId="0" fontId="99" fillId="0" borderId="0" xfId="72" applyFont="1" applyAlignment="1">
      <alignment horizontal="right"/>
    </xf>
    <xf numFmtId="0" fontId="111" fillId="0" borderId="24" xfId="72" applyFont="1" applyBorder="1" applyAlignment="1">
      <alignment horizontal="center"/>
    </xf>
    <xf numFmtId="0" fontId="48" fillId="0" borderId="98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0" xfId="72" applyFont="1" applyBorder="1" applyAlignment="1">
      <alignment horizontal="center"/>
    </xf>
    <xf numFmtId="0" fontId="48" fillId="0" borderId="91" xfId="72" applyFont="1" applyBorder="1" applyAlignment="1">
      <alignment horizontal="center"/>
    </xf>
    <xf numFmtId="0" fontId="97" fillId="0" borderId="24" xfId="72" applyFont="1" applyBorder="1" applyAlignment="1">
      <alignment horizontal="center"/>
    </xf>
    <xf numFmtId="0" fontId="99" fillId="0" borderId="98" xfId="72" applyFont="1" applyBorder="1" applyAlignment="1">
      <alignment horizontal="center" wrapText="1"/>
    </xf>
    <xf numFmtId="0" fontId="99" fillId="0" borderId="24" xfId="72" applyFont="1" applyBorder="1" applyAlignment="1">
      <alignment horizontal="center" wrapText="1"/>
    </xf>
    <xf numFmtId="0" fontId="98" fillId="0" borderId="0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99" fillId="0" borderId="0" xfId="72" applyFont="1" applyAlignment="1"/>
    <xf numFmtId="0" fontId="99" fillId="0" borderId="45" xfId="72" applyFont="1" applyBorder="1" applyAlignment="1">
      <alignment horizontal="center"/>
    </xf>
    <xf numFmtId="0" fontId="99" fillId="0" borderId="93" xfId="72" applyFont="1" applyBorder="1" applyAlignment="1">
      <alignment horizontal="center"/>
    </xf>
    <xf numFmtId="0" fontId="99" fillId="0" borderId="98" xfId="72" applyFont="1" applyBorder="1" applyAlignment="1">
      <alignment horizontal="center"/>
    </xf>
    <xf numFmtId="0" fontId="98" fillId="0" borderId="0" xfId="72" applyFont="1" applyAlignment="1">
      <alignment horizontal="right"/>
    </xf>
    <xf numFmtId="0" fontId="97" fillId="0" borderId="0" xfId="72" applyFont="1" applyAlignment="1">
      <alignment horizontal="center"/>
    </xf>
    <xf numFmtId="0" fontId="97" fillId="0" borderId="0" xfId="72" applyFont="1" applyAlignment="1">
      <alignment horizontal="right"/>
    </xf>
    <xf numFmtId="0" fontId="99" fillId="0" borderId="24" xfId="72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52" fillId="0" borderId="0" xfId="73" applyFont="1" applyAlignment="1">
      <alignment horizontal="right" wrapText="1"/>
    </xf>
    <xf numFmtId="0" fontId="20" fillId="0" borderId="24" xfId="73" applyFont="1" applyBorder="1" applyAlignment="1">
      <alignment horizontal="center"/>
    </xf>
    <xf numFmtId="0" fontId="53" fillId="0" borderId="79" xfId="73" applyFont="1" applyBorder="1" applyAlignment="1">
      <alignment horizontal="center"/>
    </xf>
    <xf numFmtId="0" fontId="51" fillId="0" borderId="0" xfId="73" applyFont="1" applyAlignment="1">
      <alignment horizontal="right"/>
    </xf>
    <xf numFmtId="0" fontId="23" fillId="0" borderId="24" xfId="0" applyFont="1" applyBorder="1" applyAlignment="1">
      <alignment horizontal="center" textRotation="90"/>
    </xf>
    <xf numFmtId="0" fontId="23" fillId="0" borderId="88" xfId="0" applyFont="1" applyBorder="1" applyAlignment="1">
      <alignment horizontal="center" textRotation="90"/>
    </xf>
    <xf numFmtId="0" fontId="150" fillId="0" borderId="0" xfId="0" applyFont="1" applyFill="1" applyAlignment="1">
      <alignment horizontal="right"/>
    </xf>
    <xf numFmtId="0" fontId="150" fillId="0" borderId="0" xfId="77" applyFont="1" applyAlignment="1">
      <alignment horizontal="center"/>
    </xf>
    <xf numFmtId="0" fontId="20" fillId="0" borderId="24" xfId="77" applyFont="1" applyBorder="1" applyAlignment="1">
      <alignment horizontal="center"/>
    </xf>
    <xf numFmtId="0" fontId="26" fillId="0" borderId="24" xfId="77" applyFont="1" applyBorder="1" applyAlignment="1">
      <alignment horizontal="center" vertical="center"/>
    </xf>
    <xf numFmtId="0" fontId="26" fillId="0" borderId="24" xfId="77" applyFont="1" applyBorder="1" applyAlignment="1">
      <alignment horizontal="center" vertical="center" wrapText="1"/>
    </xf>
    <xf numFmtId="0" fontId="26" fillId="0" borderId="25" xfId="77" applyFont="1" applyBorder="1" applyAlignment="1">
      <alignment horizontal="center" vertical="center" wrapText="1"/>
    </xf>
    <xf numFmtId="0" fontId="26" fillId="0" borderId="48" xfId="77" applyFont="1" applyBorder="1" applyAlignment="1">
      <alignment horizontal="center" vertical="center" wrapText="1"/>
    </xf>
    <xf numFmtId="0" fontId="26" fillId="0" borderId="0" xfId="77" applyFont="1" applyAlignment="1">
      <alignment horizontal="center"/>
    </xf>
    <xf numFmtId="0" fontId="23" fillId="0" borderId="24" xfId="77" applyFont="1" applyBorder="1" applyAlignment="1">
      <alignment horizontal="center"/>
    </xf>
    <xf numFmtId="0" fontId="26" fillId="0" borderId="25" xfId="77" applyFont="1" applyBorder="1" applyAlignment="1">
      <alignment horizontal="center" vertical="center"/>
    </xf>
    <xf numFmtId="0" fontId="26" fillId="0" borderId="48" xfId="77" applyFont="1" applyBorder="1" applyAlignment="1">
      <alignment horizontal="center" vertical="center"/>
    </xf>
    <xf numFmtId="0" fontId="26" fillId="0" borderId="24" xfId="77" applyFont="1" applyBorder="1" applyAlignment="1">
      <alignment horizontal="center"/>
    </xf>
    <xf numFmtId="0" fontId="26" fillId="0" borderId="24" xfId="91" applyFont="1" applyBorder="1" applyAlignment="1">
      <alignment horizontal="center" vertical="center" wrapText="1"/>
    </xf>
    <xf numFmtId="0" fontId="23" fillId="0" borderId="24" xfId="91" applyFont="1" applyBorder="1" applyAlignment="1">
      <alignment horizontal="center" vertical="top" textRotation="90"/>
    </xf>
    <xf numFmtId="0" fontId="26" fillId="0" borderId="24" xfId="91" applyFont="1" applyBorder="1" applyAlignment="1">
      <alignment horizontal="center" vertical="center"/>
    </xf>
    <xf numFmtId="0" fontId="26" fillId="0" borderId="0" xfId="91" applyFont="1" applyBorder="1" applyAlignment="1">
      <alignment horizontal="center"/>
    </xf>
    <xf numFmtId="0" fontId="150" fillId="0" borderId="0" xfId="0" applyFont="1" applyFill="1" applyBorder="1" applyAlignment="1">
      <alignment horizontal="right"/>
    </xf>
    <xf numFmtId="0" fontId="161" fillId="0" borderId="24" xfId="0" applyFont="1" applyBorder="1" applyAlignment="1">
      <alignment horizontal="center"/>
    </xf>
    <xf numFmtId="0" fontId="150" fillId="0" borderId="0" xfId="0" applyFont="1" applyAlignment="1">
      <alignment horizontal="right"/>
    </xf>
    <xf numFmtId="0" fontId="161" fillId="0" borderId="0" xfId="0" applyFont="1" applyAlignment="1">
      <alignment horizontal="center"/>
    </xf>
    <xf numFmtId="0" fontId="23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161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3" fillId="0" borderId="25" xfId="0" applyFont="1" applyBorder="1" applyAlignment="1">
      <alignment horizontal="center" textRotation="90"/>
    </xf>
    <xf numFmtId="0" fontId="23" fillId="0" borderId="48" xfId="0" applyFont="1" applyBorder="1" applyAlignment="1">
      <alignment horizontal="center" textRotation="90"/>
    </xf>
    <xf numFmtId="0" fontId="10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3" fontId="23" fillId="0" borderId="25" xfId="92" applyNumberFormat="1" applyFont="1" applyBorder="1" applyAlignment="1">
      <alignment horizontal="center" textRotation="90"/>
    </xf>
    <xf numFmtId="3" fontId="23" fillId="0" borderId="48" xfId="92" applyNumberFormat="1" applyFont="1" applyBorder="1" applyAlignment="1">
      <alignment horizontal="center" textRotation="90"/>
    </xf>
    <xf numFmtId="0" fontId="150" fillId="0" borderId="0" xfId="92" applyFont="1" applyAlignment="1">
      <alignment horizontal="left"/>
    </xf>
    <xf numFmtId="3" fontId="26" fillId="0" borderId="0" xfId="92" applyNumberFormat="1" applyFont="1" applyAlignment="1">
      <alignment horizontal="center"/>
    </xf>
    <xf numFmtId="3" fontId="150" fillId="0" borderId="0" xfId="92" applyNumberFormat="1" applyFont="1" applyAlignment="1">
      <alignment horizontal="right"/>
    </xf>
    <xf numFmtId="3" fontId="23" fillId="0" borderId="0" xfId="92" applyNumberFormat="1" applyFont="1" applyAlignment="1">
      <alignment horizontal="right"/>
    </xf>
    <xf numFmtId="0" fontId="23" fillId="0" borderId="25" xfId="76" applyFont="1" applyBorder="1" applyAlignment="1">
      <alignment horizontal="center" textRotation="90"/>
    </xf>
    <xf numFmtId="0" fontId="23" fillId="0" borderId="26" xfId="76" applyFont="1" applyBorder="1" applyAlignment="1">
      <alignment horizontal="center" textRotation="90"/>
    </xf>
    <xf numFmtId="0" fontId="23" fillId="0" borderId="48" xfId="76" applyFont="1" applyBorder="1" applyAlignment="1">
      <alignment horizontal="center" textRotation="90"/>
    </xf>
    <xf numFmtId="0" fontId="23" fillId="0" borderId="0" xfId="89" applyFont="1" applyAlignment="1">
      <alignment horizontal="right"/>
    </xf>
    <xf numFmtId="0" fontId="26" fillId="0" borderId="24" xfId="92" applyFont="1" applyBorder="1" applyAlignment="1">
      <alignment horizontal="center" vertical="center" wrapText="1"/>
    </xf>
    <xf numFmtId="0" fontId="26" fillId="0" borderId="24" xfId="92" applyFont="1" applyBorder="1" applyAlignment="1">
      <alignment horizontal="center"/>
    </xf>
    <xf numFmtId="0" fontId="23" fillId="0" borderId="24" xfId="92" applyFont="1" applyBorder="1" applyAlignment="1">
      <alignment horizontal="center"/>
    </xf>
    <xf numFmtId="0" fontId="26" fillId="0" borderId="24" xfId="92" applyFont="1" applyBorder="1" applyAlignment="1">
      <alignment horizontal="center" vertical="center"/>
    </xf>
    <xf numFmtId="0" fontId="26" fillId="0" borderId="0" xfId="92" applyFont="1" applyAlignment="1">
      <alignment horizontal="center"/>
    </xf>
    <xf numFmtId="0" fontId="26" fillId="0" borderId="0" xfId="68" applyFont="1" applyAlignment="1">
      <alignment horizontal="center"/>
    </xf>
  </cellXfs>
  <cellStyles count="9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ás 2" xfId="90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2 2" xfId="92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beszám. 99. év" xfId="89"/>
    <cellStyle name="Normál_Kiss Anita" xfId="76"/>
    <cellStyle name="Normál_Kiss Anita_Hitelállomány 2014 01 01" xfId="77"/>
    <cellStyle name="Normál_konc. 2005. év tábl." xfId="78"/>
    <cellStyle name="Normal_tanusitv" xfId="79"/>
    <cellStyle name="Normál_vagyonmérleg" xfId="91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mailto:heviz_ph@t-online.h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59"/>
  <sheetViews>
    <sheetView tabSelected="1" zoomScale="120" workbookViewId="0">
      <selection activeCell="S59" sqref="S59"/>
    </sheetView>
  </sheetViews>
  <sheetFormatPr defaultColWidth="9.140625" defaultRowHeight="11.25" x14ac:dyDescent="0.2"/>
  <cols>
    <col min="1" max="1" width="3.85546875" style="152" customWidth="1"/>
    <col min="2" max="2" width="36.28515625" style="152" customWidth="1"/>
    <col min="3" max="3" width="13.28515625" style="153" customWidth="1"/>
    <col min="4" max="4" width="11.140625" style="153" customWidth="1"/>
    <col min="5" max="5" width="13.42578125" style="153" customWidth="1"/>
    <col min="6" max="7" width="11" style="153" customWidth="1"/>
    <col min="8" max="8" width="13.42578125" style="153" customWidth="1"/>
    <col min="9" max="9" width="7.42578125" style="153" customWidth="1"/>
    <col min="10" max="10" width="36.85546875" style="153" customWidth="1"/>
    <col min="11" max="12" width="12" style="153" customWidth="1"/>
    <col min="13" max="13" width="14" style="153" customWidth="1"/>
    <col min="14" max="16" width="0" style="152" hidden="1" customWidth="1"/>
    <col min="17" max="18" width="11" style="152" customWidth="1"/>
    <col min="19" max="19" width="13.42578125" style="152" customWidth="1"/>
    <col min="20" max="20" width="7.28515625" style="152" customWidth="1"/>
    <col min="21" max="26" width="9.140625" style="152"/>
    <col min="27" max="16384" width="9.140625" style="10"/>
  </cols>
  <sheetData>
    <row r="1" spans="1:26" ht="12.75" customHeight="1" x14ac:dyDescent="0.2">
      <c r="A1" s="1816" t="s">
        <v>2061</v>
      </c>
      <c r="B1" s="1816"/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  <c r="R1" s="1816"/>
      <c r="S1" s="1816"/>
      <c r="T1" s="1816"/>
    </row>
    <row r="2" spans="1:26" ht="12.75" customHeight="1" x14ac:dyDescent="0.2">
      <c r="A2" s="1181"/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</row>
    <row r="3" spans="1:26" ht="12" customHeight="1" x14ac:dyDescent="0.2">
      <c r="B3" s="1836" t="s">
        <v>86</v>
      </c>
      <c r="C3" s="1836"/>
      <c r="D3" s="1836"/>
      <c r="E3" s="1836"/>
      <c r="F3" s="1836"/>
      <c r="G3" s="1836"/>
      <c r="H3" s="1836"/>
      <c r="I3" s="1836"/>
      <c r="J3" s="1836"/>
      <c r="K3" s="1836"/>
      <c r="L3" s="1836"/>
      <c r="M3" s="1836"/>
      <c r="N3" s="1836"/>
      <c r="O3" s="1836"/>
      <c r="P3" s="1836"/>
      <c r="Q3" s="1836"/>
      <c r="R3" s="1836"/>
      <c r="S3" s="1836"/>
      <c r="T3" s="1836"/>
    </row>
    <row r="4" spans="1:26" ht="10.5" customHeight="1" x14ac:dyDescent="0.2">
      <c r="B4" s="1836" t="s">
        <v>1359</v>
      </c>
      <c r="C4" s="1836"/>
      <c r="D4" s="1836"/>
      <c r="E4" s="1836"/>
      <c r="F4" s="1836"/>
      <c r="G4" s="1836"/>
      <c r="H4" s="1836"/>
      <c r="I4" s="1836"/>
      <c r="J4" s="1836"/>
      <c r="K4" s="1836"/>
      <c r="L4" s="1836"/>
      <c r="M4" s="1836"/>
      <c r="N4" s="1836"/>
      <c r="O4" s="1836"/>
      <c r="P4" s="1836"/>
      <c r="Q4" s="1836"/>
      <c r="R4" s="1836"/>
      <c r="S4" s="1836"/>
      <c r="T4" s="1836"/>
    </row>
    <row r="5" spans="1:26" s="120" customFormat="1" x14ac:dyDescent="0.2">
      <c r="A5" s="155"/>
      <c r="B5" s="1823" t="s">
        <v>54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  <c r="R5" s="1823"/>
      <c r="S5" s="1823"/>
      <c r="T5" s="1823"/>
      <c r="U5" s="155"/>
      <c r="V5" s="155"/>
      <c r="W5" s="155"/>
      <c r="X5" s="155"/>
      <c r="Y5" s="155"/>
      <c r="Z5" s="155"/>
    </row>
    <row r="6" spans="1:26" s="120" customFormat="1" x14ac:dyDescent="0.2">
      <c r="A6" s="155"/>
      <c r="B6" s="1823" t="s">
        <v>1107</v>
      </c>
      <c r="C6" s="1823"/>
      <c r="D6" s="1823"/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3"/>
      <c r="P6" s="1823"/>
      <c r="Q6" s="1823"/>
      <c r="R6" s="1823"/>
      <c r="S6" s="1823"/>
      <c r="T6" s="1823"/>
      <c r="U6" s="155"/>
      <c r="V6" s="155"/>
      <c r="W6" s="155"/>
      <c r="X6" s="155"/>
      <c r="Y6" s="155"/>
      <c r="Z6" s="155"/>
    </row>
    <row r="7" spans="1:26" s="120" customFormat="1" x14ac:dyDescent="0.2">
      <c r="A7" s="155"/>
      <c r="B7" s="1824" t="s">
        <v>305</v>
      </c>
      <c r="C7" s="1824"/>
      <c r="D7" s="1824"/>
      <c r="E7" s="1824"/>
      <c r="F7" s="1824"/>
      <c r="G7" s="1824"/>
      <c r="H7" s="1824"/>
      <c r="I7" s="1824"/>
      <c r="J7" s="1824"/>
      <c r="K7" s="1824"/>
      <c r="L7" s="1824"/>
      <c r="M7" s="1824"/>
      <c r="N7" s="1824"/>
      <c r="O7" s="1824"/>
      <c r="P7" s="1824"/>
      <c r="Q7" s="1824"/>
      <c r="R7" s="1824"/>
      <c r="S7" s="1824"/>
      <c r="T7" s="1824"/>
      <c r="U7" s="155"/>
      <c r="V7" s="155"/>
      <c r="W7" s="155"/>
      <c r="X7" s="155"/>
      <c r="Y7" s="155"/>
      <c r="Z7" s="155"/>
    </row>
    <row r="8" spans="1:26" s="120" customFormat="1" ht="12.75" customHeight="1" x14ac:dyDescent="0.2">
      <c r="A8" s="1829" t="s">
        <v>56</v>
      </c>
      <c r="B8" s="1828" t="s">
        <v>57</v>
      </c>
      <c r="C8" s="1830" t="s">
        <v>58</v>
      </c>
      <c r="D8" s="1830"/>
      <c r="E8" s="1831"/>
      <c r="F8" s="1834" t="s">
        <v>59</v>
      </c>
      <c r="G8" s="1834"/>
      <c r="H8" s="1834"/>
      <c r="I8" s="1835"/>
      <c r="J8" s="1832" t="s">
        <v>60</v>
      </c>
      <c r="K8" s="1827" t="s">
        <v>469</v>
      </c>
      <c r="L8" s="1828"/>
      <c r="M8" s="1828"/>
      <c r="N8" s="155"/>
      <c r="O8" s="155"/>
      <c r="P8" s="155"/>
      <c r="Q8" s="1822" t="s">
        <v>470</v>
      </c>
      <c r="R8" s="1822"/>
      <c r="S8" s="1822"/>
      <c r="T8" s="1822"/>
    </row>
    <row r="9" spans="1:26" s="120" customFormat="1" ht="12.75" customHeight="1" x14ac:dyDescent="0.2">
      <c r="A9" s="1829"/>
      <c r="B9" s="1828"/>
      <c r="C9" s="1825" t="s">
        <v>1103</v>
      </c>
      <c r="D9" s="1825"/>
      <c r="E9" s="1826"/>
      <c r="F9" s="1817" t="s">
        <v>1355</v>
      </c>
      <c r="G9" s="1818"/>
      <c r="H9" s="1819"/>
      <c r="I9" s="1820" t="s">
        <v>1357</v>
      </c>
      <c r="J9" s="1833"/>
      <c r="K9" s="1825" t="s">
        <v>1103</v>
      </c>
      <c r="L9" s="1825"/>
      <c r="M9" s="1825"/>
      <c r="N9" s="155"/>
      <c r="O9" s="155"/>
      <c r="P9" s="155"/>
      <c r="Q9" s="1817" t="s">
        <v>1355</v>
      </c>
      <c r="R9" s="1818"/>
      <c r="S9" s="1819"/>
      <c r="T9" s="1820" t="s">
        <v>1357</v>
      </c>
    </row>
    <row r="10" spans="1:26" s="121" customFormat="1" ht="36.6" customHeight="1" x14ac:dyDescent="0.2">
      <c r="A10" s="1829"/>
      <c r="B10" s="156" t="s">
        <v>61</v>
      </c>
      <c r="C10" s="132" t="s">
        <v>62</v>
      </c>
      <c r="D10" s="132" t="s">
        <v>63</v>
      </c>
      <c r="E10" s="157" t="s">
        <v>64</v>
      </c>
      <c r="F10" s="132" t="s">
        <v>62</v>
      </c>
      <c r="G10" s="132" t="s">
        <v>63</v>
      </c>
      <c r="H10" s="157" t="s">
        <v>1356</v>
      </c>
      <c r="I10" s="1821"/>
      <c r="J10" s="158" t="s">
        <v>65</v>
      </c>
      <c r="K10" s="132" t="s">
        <v>62</v>
      </c>
      <c r="L10" s="132" t="s">
        <v>63</v>
      </c>
      <c r="M10" s="132" t="s">
        <v>64</v>
      </c>
      <c r="N10" s="182"/>
      <c r="O10" s="182"/>
      <c r="P10" s="182"/>
      <c r="Q10" s="132" t="s">
        <v>62</v>
      </c>
      <c r="R10" s="132" t="s">
        <v>63</v>
      </c>
      <c r="S10" s="157" t="s">
        <v>1356</v>
      </c>
      <c r="T10" s="1821"/>
    </row>
    <row r="11" spans="1:26" ht="11.45" customHeight="1" x14ac:dyDescent="0.2">
      <c r="A11" s="159">
        <v>1</v>
      </c>
      <c r="B11" s="160" t="s">
        <v>24</v>
      </c>
      <c r="C11" s="161"/>
      <c r="D11" s="161"/>
      <c r="E11" s="1190"/>
      <c r="F11" s="168"/>
      <c r="G11" s="168"/>
      <c r="H11" s="1190"/>
      <c r="I11" s="168"/>
      <c r="J11" s="135" t="s">
        <v>25</v>
      </c>
      <c r="K11" s="161"/>
      <c r="L11" s="161"/>
      <c r="M11" s="424"/>
      <c r="N11" s="175"/>
      <c r="S11" s="1186"/>
      <c r="T11" s="1187"/>
      <c r="U11" s="10"/>
      <c r="V11" s="10"/>
      <c r="W11" s="10"/>
      <c r="X11" s="10"/>
      <c r="Y11" s="10"/>
      <c r="Z11" s="10"/>
    </row>
    <row r="12" spans="1:26" x14ac:dyDescent="0.2">
      <c r="A12" s="159">
        <f t="shared" ref="A12:A57" si="0">A11+1</f>
        <v>2</v>
      </c>
      <c r="B12" s="162" t="s">
        <v>197</v>
      </c>
      <c r="C12" s="287"/>
      <c r="D12" s="287"/>
      <c r="E12" s="436"/>
      <c r="F12" s="275"/>
      <c r="G12" s="275"/>
      <c r="H12" s="436"/>
      <c r="I12" s="275"/>
      <c r="J12" s="461" t="s">
        <v>215</v>
      </c>
      <c r="K12" s="282">
        <f>'pü.mérleg Önkorm.'!K11+'pü.mérleg Hivatal'!L14+'püm. GAMESZ. '!K13+'püm-TASZII.'!K13+püm.Brunszvik!K13+'püm Festetics'!K13</f>
        <v>602487</v>
      </c>
      <c r="L12" s="282">
        <f>'pü.mérleg Önkorm.'!L11+'pü.mérleg Hivatal'!M14+'püm. GAMESZ. '!L13+'püm-TASZII.'!L13+püm.Brunszvik!L13+'püm Festetics'!L13</f>
        <v>405477</v>
      </c>
      <c r="M12" s="824">
        <f>SUM(K12:L12)</f>
        <v>1007964</v>
      </c>
      <c r="N12" s="164" t="e">
        <f>'pü.mérleg Önkorm.'!#REF!+'pü.mérleg Hivatal'!#REF!+'püm. GAMESZ. '!#REF!+püm.Brunszvik!#REF!+'püm-TASZII.'!#REF!</f>
        <v>#REF!</v>
      </c>
      <c r="O12" s="153" t="e">
        <f>'pü.mérleg Önkorm.'!#REF!+'pü.mérleg Hivatal'!#REF!+'püm. GAMESZ. '!#REF!++'püm-TASZII.'!#REF!+püm.Brunszvik!#REF!</f>
        <v>#REF!</v>
      </c>
      <c r="P12" s="153" t="e">
        <f>'pü.mérleg Önkorm.'!#REF!+'pü.mérleg Hivatal'!#REF!+'püm. GAMESZ. '!#REF!+püm.Brunszvik!#REF!+'püm-TASZII.'!#REF!</f>
        <v>#REF!</v>
      </c>
      <c r="Q12" s="153">
        <f>'pü.mérleg Önkorm.'!N11+'pü.mérleg Hivatal'!O14+'püm. GAMESZ. '!N13+püm.Brunszvik!N13+'püm Festetics'!N13+'püm-TASZII.'!N13</f>
        <v>590595</v>
      </c>
      <c r="R12" s="153">
        <f>'pü.mérleg Önkorm.'!O11+'pü.mérleg Hivatal'!P14+'püm. GAMESZ. '!O13+püm.Brunszvik!O13+'püm Festetics'!O13+'püm-TASZII.'!O13</f>
        <v>394349</v>
      </c>
      <c r="S12" s="437">
        <f>Q12+R12</f>
        <v>984944</v>
      </c>
      <c r="T12" s="419">
        <f>S12/M12*100</f>
        <v>97.716188276565433</v>
      </c>
      <c r="U12" s="10"/>
      <c r="V12" s="10"/>
      <c r="W12" s="10"/>
      <c r="X12" s="10"/>
      <c r="Y12" s="10"/>
      <c r="Z12" s="10"/>
    </row>
    <row r="13" spans="1:26" x14ac:dyDescent="0.2">
      <c r="A13" s="159">
        <f t="shared" si="0"/>
        <v>3</v>
      </c>
      <c r="B13" s="162" t="s">
        <v>191</v>
      </c>
      <c r="C13" s="280">
        <f>'tám, végl. pe.átv  '!C11+'tám, végl. pe.átv  '!C17+'tám, végl. pe.átv  '!C18</f>
        <v>812195</v>
      </c>
      <c r="D13" s="280">
        <f>'tám, végl. pe.átv  '!D11+'tám, végl. pe.átv  '!D17+'tám, végl. pe.átv  '!D18</f>
        <v>129474</v>
      </c>
      <c r="E13" s="437">
        <f>'tám, végl. pe.átv  '!E11+'tám, végl. pe.átv  '!E17+'tám, végl. pe.átv  '!E18</f>
        <v>941669</v>
      </c>
      <c r="F13" s="280">
        <f>'pü.mérleg Önkorm.'!F12</f>
        <v>812194</v>
      </c>
      <c r="G13" s="280">
        <f>'pü.mérleg Önkorm.'!G12</f>
        <v>129474</v>
      </c>
      <c r="H13" s="437">
        <f>F13+G13</f>
        <v>941668</v>
      </c>
      <c r="I13" s="280">
        <f>H13/E13*100</f>
        <v>99.999893805572867</v>
      </c>
      <c r="J13" s="792" t="s">
        <v>216</v>
      </c>
      <c r="K13" s="282">
        <f>'pü.mérleg Önkorm.'!K12+'pü.mérleg Hivatal'!L15+'püm. GAMESZ. '!K14+püm.Brunszvik!K14+'püm-TASZII.'!K14+'püm Festetics'!K14</f>
        <v>121531</v>
      </c>
      <c r="L13" s="282">
        <f>'pü.mérleg Önkorm.'!L12+'pü.mérleg Hivatal'!M15+'püm. GAMESZ. '!L14+püm.Brunszvik!L14+'püm-TASZII.'!L14+'püm Festetics'!L14</f>
        <v>86230</v>
      </c>
      <c r="M13" s="437">
        <f>SUM(K13:L13)</f>
        <v>207761</v>
      </c>
      <c r="N13" s="153" t="e">
        <f>'pü.mérleg Önkorm.'!#REF!+'pü.mérleg Hivatal'!#REF!+'püm. GAMESZ. '!#REF!+püm.Brunszvik!#REF!+'püm-TASZII.'!#REF!</f>
        <v>#REF!</v>
      </c>
      <c r="O13" s="153" t="e">
        <f>'pü.mérleg Önkorm.'!#REF!+'pü.mérleg Hivatal'!#REF!+'püm. GAMESZ. '!#REF!+püm.Brunszvik!#REF!+'püm-TASZII.'!#REF!</f>
        <v>#REF!</v>
      </c>
      <c r="P13" s="153" t="e">
        <f>'pü.mérleg Önkorm.'!#REF!+'pü.mérleg Hivatal'!#REF!+'püm. GAMESZ. '!#REF!+püm.Brunszvik!#REF!+'püm-TASZII.'!#REF!</f>
        <v>#REF!</v>
      </c>
      <c r="Q13" s="153">
        <f>'pü.mérleg Önkorm.'!N12+'pü.mérleg Hivatal'!O15+'püm. GAMESZ. '!N14+püm.Brunszvik!N14+'püm Festetics'!N14+'püm-TASZII.'!N14</f>
        <v>118821</v>
      </c>
      <c r="R13" s="153">
        <f>'pü.mérleg Önkorm.'!O12+'pü.mérleg Hivatal'!P15+'püm. GAMESZ. '!O14+püm.Brunszvik!O14+'püm Festetics'!O14+'püm-TASZII.'!O14</f>
        <v>82273</v>
      </c>
      <c r="S13" s="437">
        <f t="shared" ref="S13:S23" si="1">Q13+R13</f>
        <v>201094</v>
      </c>
      <c r="T13" s="419">
        <f t="shared" ref="T13:T26" si="2">S13/M13*100</f>
        <v>96.791024301962352</v>
      </c>
      <c r="U13" s="10"/>
      <c r="V13" s="10"/>
      <c r="W13" s="10"/>
      <c r="X13" s="10"/>
      <c r="Y13" s="10"/>
      <c r="Z13" s="10"/>
    </row>
    <row r="14" spans="1:26" x14ac:dyDescent="0.2">
      <c r="A14" s="159">
        <f t="shared" si="0"/>
        <v>4</v>
      </c>
      <c r="B14" s="162" t="s">
        <v>189</v>
      </c>
      <c r="C14" s="280">
        <f>'pü.mérleg Önkorm.'!C13</f>
        <v>0</v>
      </c>
      <c r="D14" s="280">
        <f>'pü.mérleg Önkorm.'!D13</f>
        <v>0</v>
      </c>
      <c r="E14" s="437">
        <f>'pü.mérleg Önkorm.'!E13</f>
        <v>0</v>
      </c>
      <c r="F14" s="280"/>
      <c r="G14" s="280"/>
      <c r="H14" s="437">
        <f t="shared" ref="H14:H32" si="3">F14+G14</f>
        <v>0</v>
      </c>
      <c r="I14" s="280"/>
      <c r="J14" s="461" t="s">
        <v>217</v>
      </c>
      <c r="K14" s="282">
        <f>'pü.mérleg Önkorm.'!K13+'pü.mérleg Hivatal'!L16+'püm. GAMESZ. '!K15+püm.Brunszvik!K15+'püm-TASZII.'!K15+'püm Festetics'!K15</f>
        <v>713876</v>
      </c>
      <c r="L14" s="282">
        <f>'pü.mérleg Önkorm.'!L13+'pü.mérleg Hivatal'!M16+'püm. GAMESZ. '!L15+püm.Brunszvik!L15+'püm-TASZII.'!L15+'püm Festetics'!L15</f>
        <v>584018</v>
      </c>
      <c r="M14" s="437">
        <f>SUM(K14:L14)</f>
        <v>1297894</v>
      </c>
      <c r="N14" s="153" t="e">
        <f>'pü.mérleg Önkorm.'!#REF!+'pü.mérleg Hivatal'!#REF!+'püm. GAMESZ. '!#REF!+püm.Brunszvik!#REF!+'püm-TASZII.'!#REF!</f>
        <v>#REF!</v>
      </c>
      <c r="O14" s="153" t="e">
        <f>'pü.mérleg Önkorm.'!#REF!+'pü.mérleg Hivatal'!#REF!+'püm. GAMESZ. '!#REF!+püm.Brunszvik!#REF!+'püm-TASZII.'!#REF!</f>
        <v>#REF!</v>
      </c>
      <c r="P14" s="153" t="e">
        <f>'pü.mérleg Önkorm.'!#REF!+'pü.mérleg Hivatal'!#REF!+'püm. GAMESZ. '!#REF!+püm.Brunszvik!#REF!+'püm-TASZII.'!#REF!</f>
        <v>#REF!</v>
      </c>
      <c r="Q14" s="153">
        <f>'pü.mérleg Önkorm.'!N13+'pü.mérleg Hivatal'!O16+'püm. GAMESZ. '!N15+püm.Brunszvik!N15+'püm Festetics'!N15+'püm-TASZII.'!N15</f>
        <v>634663</v>
      </c>
      <c r="R14" s="153">
        <f>'pü.mérleg Önkorm.'!O13+'pü.mérleg Hivatal'!P16+'püm. GAMESZ. '!O15+püm.Brunszvik!O15+'püm Festetics'!O15+'püm-TASZII.'!O15</f>
        <v>509493</v>
      </c>
      <c r="S14" s="437">
        <f t="shared" si="1"/>
        <v>1144156</v>
      </c>
      <c r="T14" s="419">
        <f t="shared" si="2"/>
        <v>88.154810793485453</v>
      </c>
      <c r="U14" s="10"/>
      <c r="V14" s="10"/>
      <c r="W14" s="10"/>
      <c r="X14" s="10"/>
      <c r="Y14" s="10"/>
      <c r="Z14" s="10"/>
    </row>
    <row r="15" spans="1:26" ht="12" customHeight="1" x14ac:dyDescent="0.2">
      <c r="A15" s="159">
        <f t="shared" si="0"/>
        <v>5</v>
      </c>
      <c r="B15" s="497" t="s">
        <v>192</v>
      </c>
      <c r="C15" s="280">
        <f>'tám, végl. pe.átv  '!C39+'tám, végl. pe.átv  '!C49+'tám, végl. pe.átv  '!C55+'tám, végl. pe.átv  '!C72</f>
        <v>80341</v>
      </c>
      <c r="D15" s="280">
        <f>'tám, végl. pe.átv  '!D39+'tám, végl. pe.átv  '!D49+'tám, végl. pe.átv  '!D55+'tám, végl. pe.átv  '!D72+'tám, végl. pe.átv  '!D60</f>
        <v>6342</v>
      </c>
      <c r="E15" s="437">
        <f>'tám, végl. pe.átv  '!E39+'tám, végl. pe.átv  '!E49+'tám, végl. pe.átv  '!E55+'tám, végl. pe.átv  '!E72+'tám, végl. pe.átv  '!E60</f>
        <v>86683</v>
      </c>
      <c r="F15" s="280">
        <f>'pü.mérleg Önkorm.'!F14+'pü.mérleg Hivatal'!G16+'püm. GAMESZ. '!F15+püm.Brunszvik!F15+'püm Festetics'!F15+'püm-TASZII.'!F15</f>
        <v>79782</v>
      </c>
      <c r="G15" s="280">
        <f>'pü.mérleg Önkorm.'!G14+'pü.mérleg Hivatal'!H16+'püm. GAMESZ. '!G15+püm.Brunszvik!G15+'püm Festetics'!G15+'püm-TASZII.'!G15</f>
        <v>7009</v>
      </c>
      <c r="H15" s="437">
        <f t="shared" si="3"/>
        <v>86791</v>
      </c>
      <c r="I15" s="280">
        <f t="shared" ref="I15:I37" si="4">H15/E15*100</f>
        <v>100.12459190383352</v>
      </c>
      <c r="J15" s="461"/>
      <c r="K15" s="280"/>
      <c r="L15" s="280"/>
      <c r="M15" s="824"/>
      <c r="N15" s="175"/>
      <c r="Q15" s="153">
        <f>'pü.mérleg Önkorm.'!N14+'pü.mérleg Hivatal'!O17+'püm. GAMESZ. '!N16+püm.Brunszvik!N16+'püm Festetics'!N16+'püm-TASZII.'!N16</f>
        <v>0</v>
      </c>
      <c r="R15" s="153"/>
      <c r="S15" s="437">
        <f t="shared" si="1"/>
        <v>0</v>
      </c>
      <c r="T15" s="419"/>
      <c r="U15" s="10"/>
      <c r="V15" s="10"/>
      <c r="W15" s="10"/>
      <c r="X15" s="10"/>
      <c r="Y15" s="10"/>
      <c r="Z15" s="10"/>
    </row>
    <row r="16" spans="1:26" x14ac:dyDescent="0.2">
      <c r="A16" s="159">
        <f t="shared" si="0"/>
        <v>6</v>
      </c>
      <c r="B16" s="162" t="s">
        <v>1083</v>
      </c>
      <c r="C16" s="280"/>
      <c r="D16" s="280"/>
      <c r="E16" s="437"/>
      <c r="F16" s="280">
        <f>'pü.mérleg Önkorm.'!F15</f>
        <v>0</v>
      </c>
      <c r="G16" s="282"/>
      <c r="H16" s="437">
        <f t="shared" si="3"/>
        <v>0</v>
      </c>
      <c r="I16" s="280"/>
      <c r="J16" s="461" t="s">
        <v>218</v>
      </c>
      <c r="K16" s="282">
        <f>'pü.mérleg Önkorm.'!K15+'pü.mérleg Hivatal'!L18</f>
        <v>2526</v>
      </c>
      <c r="L16" s="282">
        <f>'pü.mérleg Önkorm.'!L15+'pü.mérleg Hivatal'!M18</f>
        <v>11113</v>
      </c>
      <c r="M16" s="437">
        <f>'pü.mérleg Önkorm.'!M15+'pü.mérleg Hivatal'!N18</f>
        <v>13639</v>
      </c>
      <c r="N16" s="153" t="e">
        <f>'pü.mérleg Önkorm.'!#REF!+'pü.mérleg Hivatal'!#REF!</f>
        <v>#REF!</v>
      </c>
      <c r="O16" s="153" t="e">
        <f>'pü.mérleg Önkorm.'!#REF!+'pü.mérleg Hivatal'!#REF!</f>
        <v>#REF!</v>
      </c>
      <c r="P16" s="153" t="e">
        <f>'pü.mérleg Önkorm.'!#REF!+'pü.mérleg Hivatal'!#REF!</f>
        <v>#REF!</v>
      </c>
      <c r="Q16" s="153">
        <f>'pü.mérleg Önkorm.'!N15+'pü.mérleg Hivatal'!O18</f>
        <v>1546</v>
      </c>
      <c r="R16" s="153">
        <f>'pü.mérleg Önkorm.'!O15+'pü.mérleg Hivatal'!P18</f>
        <v>8755</v>
      </c>
      <c r="S16" s="437">
        <f t="shared" si="1"/>
        <v>10301</v>
      </c>
      <c r="T16" s="419">
        <f t="shared" si="2"/>
        <v>75.526064960774249</v>
      </c>
      <c r="U16" s="10"/>
      <c r="V16" s="10"/>
      <c r="W16" s="10"/>
      <c r="X16" s="10"/>
      <c r="Y16" s="10"/>
      <c r="Z16" s="10"/>
    </row>
    <row r="17" spans="1:26" x14ac:dyDescent="0.2">
      <c r="A17" s="159">
        <f t="shared" si="0"/>
        <v>7</v>
      </c>
      <c r="B17" s="162" t="s">
        <v>1081</v>
      </c>
      <c r="C17" s="280">
        <f>'pü.mérleg Önkorm.'!C16</f>
        <v>0</v>
      </c>
      <c r="D17" s="280">
        <f>'pü.mérleg Önkorm.'!D16</f>
        <v>0</v>
      </c>
      <c r="E17" s="437">
        <f>'pü.mérleg Önkorm.'!E16</f>
        <v>0</v>
      </c>
      <c r="F17" s="280"/>
      <c r="G17" s="280"/>
      <c r="H17" s="437">
        <f t="shared" si="3"/>
        <v>0</v>
      </c>
      <c r="I17" s="280"/>
      <c r="J17" s="461"/>
      <c r="K17" s="282"/>
      <c r="L17" s="282"/>
      <c r="M17" s="437"/>
      <c r="N17" s="153"/>
      <c r="O17" s="153"/>
      <c r="P17" s="153"/>
      <c r="Q17" s="153"/>
      <c r="R17" s="153"/>
      <c r="S17" s="437">
        <f t="shared" si="1"/>
        <v>0</v>
      </c>
      <c r="T17" s="419"/>
      <c r="U17" s="10"/>
      <c r="V17" s="10"/>
      <c r="W17" s="10"/>
      <c r="X17" s="10"/>
      <c r="Y17" s="10"/>
      <c r="Z17" s="10"/>
    </row>
    <row r="18" spans="1:26" x14ac:dyDescent="0.2">
      <c r="A18" s="159">
        <f t="shared" si="0"/>
        <v>8</v>
      </c>
      <c r="B18" s="1005" t="s">
        <v>1082</v>
      </c>
      <c r="C18" s="280">
        <f>'pü.mérleg Önkorm.'!C17+'pü.mérleg Hivatal'!D18+'püm. GAMESZ. '!C17+püm.Brunszvik!C17+'püm Festetics'!C17+'püm-TASZII.'!C17</f>
        <v>621278</v>
      </c>
      <c r="D18" s="280">
        <f>'pü.mérleg Önkorm.'!D17+'pü.mérleg Hivatal'!E18+'püm. GAMESZ. '!D17+püm.Brunszvik!D17+'püm Festetics'!D17+'püm-TASZII.'!D17</f>
        <v>14540</v>
      </c>
      <c r="E18" s="437">
        <f>'pü.mérleg Önkorm.'!E17+'pü.mérleg Hivatal'!F18+'püm. GAMESZ. '!E17+püm.Brunszvik!E17+'püm Festetics'!E17+'püm-TASZII.'!E17</f>
        <v>635818</v>
      </c>
      <c r="F18" s="280">
        <f>'pü.mérleg Önkorm.'!F17+'pü.mérleg Hivatal'!G18+'püm. GAMESZ. '!F17+püm.Brunszvik!F17+'püm Festetics'!F17+'püm-TASZII.'!F17</f>
        <v>621277</v>
      </c>
      <c r="G18" s="280">
        <f>'pü.mérleg Önkorm.'!G17+'pü.mérleg Hivatal'!H18+'püm. GAMESZ. '!G17+püm.Brunszvik!G17+'püm Festetics'!G17+'püm-TASZII.'!G17</f>
        <v>14540</v>
      </c>
      <c r="H18" s="437">
        <f t="shared" si="3"/>
        <v>635817</v>
      </c>
      <c r="I18" s="280">
        <f t="shared" si="4"/>
        <v>99.999842722288463</v>
      </c>
      <c r="J18" s="461" t="s">
        <v>219</v>
      </c>
      <c r="K18" s="282"/>
      <c r="L18" s="282"/>
      <c r="M18" s="824"/>
      <c r="N18" s="175"/>
      <c r="Q18" s="153"/>
      <c r="R18" s="153"/>
      <c r="S18" s="437">
        <f t="shared" si="1"/>
        <v>0</v>
      </c>
      <c r="T18" s="419"/>
      <c r="U18" s="10"/>
      <c r="V18" s="10"/>
      <c r="W18" s="10"/>
      <c r="X18" s="10"/>
      <c r="Y18" s="10"/>
      <c r="Z18" s="10"/>
    </row>
    <row r="19" spans="1:26" x14ac:dyDescent="0.2">
      <c r="A19" s="159">
        <f t="shared" si="0"/>
        <v>9</v>
      </c>
      <c r="B19" s="162" t="s">
        <v>193</v>
      </c>
      <c r="C19" s="280">
        <f>'pü.mérleg Önkorm.'!C18+'püm. GAMESZ. '!C19+püm.Brunszvik!C19+'püm-TASZII.'!C19+'pü.mérleg Hivatal'!D19+püm.Brunszvik!C19</f>
        <v>527224</v>
      </c>
      <c r="D19" s="280">
        <f>'mük. bev.Önkor és Hivatal '!F40</f>
        <v>876260</v>
      </c>
      <c r="E19" s="437">
        <f>SUM(C19:D19)</f>
        <v>1403484</v>
      </c>
      <c r="F19" s="282">
        <f>'pü.mérleg Önkorm.'!F18</f>
        <v>527303</v>
      </c>
      <c r="G19" s="282">
        <f>'pü.mérleg Önkorm.'!G18</f>
        <v>876370</v>
      </c>
      <c r="H19" s="437">
        <f t="shared" si="3"/>
        <v>1403673</v>
      </c>
      <c r="I19" s="280">
        <f t="shared" si="4"/>
        <v>100.0134664876835</v>
      </c>
      <c r="J19" s="461" t="s">
        <v>220</v>
      </c>
      <c r="K19" s="282">
        <f>'pü.mérleg Önkorm.'!K18+'pü.mérleg Hivatal'!L20</f>
        <v>9789</v>
      </c>
      <c r="L19" s="282">
        <f>'pü.mérleg Önkorm.'!L18+'pü.mérleg Hivatal'!M20</f>
        <v>58149</v>
      </c>
      <c r="M19" s="437">
        <f>'pü.mérleg Önkorm.'!M18+'pü.mérleg Hivatal'!N20</f>
        <v>67938</v>
      </c>
      <c r="N19" s="275" t="e">
        <f>'pü.mérleg Önkorm.'!#REF!+'pü.mérleg Hivatal'!O20</f>
        <v>#REF!</v>
      </c>
      <c r="O19" s="275" t="e">
        <f>'pü.mérleg Önkorm.'!#REF!+'pü.mérleg Hivatal'!P20</f>
        <v>#REF!</v>
      </c>
      <c r="P19" s="275" t="e">
        <f>'pü.mérleg Önkorm.'!#REF!+'pü.mérleg Hivatal'!Q20</f>
        <v>#REF!</v>
      </c>
      <c r="Q19" s="153">
        <f>'pü.mérleg Önkorm.'!N18+'pü.mérleg Hivatal'!O20+'püm. GAMESZ. '!N19+püm.Brunszvik!N19+'püm Festetics'!N19+'püm-TASZII.'!N19</f>
        <v>9787</v>
      </c>
      <c r="R19" s="153">
        <f>'pü.mérleg Önkorm.'!O18+'pü.mérleg Hivatal'!P20+'püm. GAMESZ. '!O19+püm.Brunszvik!O19+'püm Festetics'!O19+'püm-TASZII.'!O19</f>
        <v>47305</v>
      </c>
      <c r="S19" s="437">
        <f t="shared" si="1"/>
        <v>57092</v>
      </c>
      <c r="T19" s="419">
        <f t="shared" si="2"/>
        <v>84.035444081368311</v>
      </c>
      <c r="U19" s="10"/>
      <c r="V19" s="10"/>
      <c r="W19" s="10"/>
      <c r="X19" s="10"/>
      <c r="Y19" s="10"/>
      <c r="Z19" s="10"/>
    </row>
    <row r="20" spans="1:26" x14ac:dyDescent="0.2">
      <c r="A20" s="159">
        <f t="shared" si="0"/>
        <v>10</v>
      </c>
      <c r="B20" s="165" t="s">
        <v>40</v>
      </c>
      <c r="C20" s="280">
        <f>'pü.mérleg Önkorm.'!C19+'püm. GAMESZ. '!C20+püm.Brunszvik!C20+'püm-TASZII.'!C20+'pü.mérleg Hivatal'!D20+püm.Brunszvik!C20</f>
        <v>0</v>
      </c>
      <c r="D20" s="1176"/>
      <c r="E20" s="824"/>
      <c r="F20" s="1176"/>
      <c r="G20" s="1176"/>
      <c r="H20" s="437">
        <f t="shared" si="3"/>
        <v>0</v>
      </c>
      <c r="I20" s="280"/>
      <c r="J20" s="461" t="s">
        <v>221</v>
      </c>
      <c r="K20" s="282">
        <f>'pü.mérleg Önkorm.'!K19+'pü.mérleg Hivatal'!L21</f>
        <v>159098</v>
      </c>
      <c r="L20" s="282">
        <f>'pü.mérleg Önkorm.'!L19+'pü.mérleg Hivatal'!M21</f>
        <v>175035</v>
      </c>
      <c r="M20" s="437">
        <f>'pü.mérleg Önkorm.'!M19+'pü.mérleg Hivatal'!N21</f>
        <v>334133</v>
      </c>
      <c r="N20" s="153" t="e">
        <f>'pü.mérleg Önkorm.'!#REF!</f>
        <v>#REF!</v>
      </c>
      <c r="O20" s="153" t="e">
        <f>'pü.mérleg Önkorm.'!#REF!</f>
        <v>#REF!</v>
      </c>
      <c r="P20" s="153" t="e">
        <f>'pü.mérleg Önkorm.'!#REF!</f>
        <v>#REF!</v>
      </c>
      <c r="Q20" s="153">
        <f>'pü.mérleg Önkorm.'!N19+'pü.mérleg Hivatal'!O21+'püm. GAMESZ. '!N20+püm.Brunszvik!N20+'püm Festetics'!N20+'püm-TASZII.'!N20</f>
        <v>159088</v>
      </c>
      <c r="R20" s="153">
        <f>'pü.mérleg Önkorm.'!O19+'pü.mérleg Hivatal'!P21+'püm. GAMESZ. '!O20+püm.Brunszvik!O20+'püm Festetics'!O20+'püm-TASZII.'!O20</f>
        <v>172124</v>
      </c>
      <c r="S20" s="437">
        <f t="shared" si="1"/>
        <v>331212</v>
      </c>
      <c r="T20" s="419">
        <f t="shared" si="2"/>
        <v>99.125797212487242</v>
      </c>
      <c r="U20" s="10"/>
      <c r="V20" s="10"/>
      <c r="W20" s="10"/>
      <c r="X20" s="10"/>
      <c r="Y20" s="10"/>
      <c r="Z20" s="10"/>
    </row>
    <row r="21" spans="1:26" x14ac:dyDescent="0.2">
      <c r="A21" s="159">
        <f t="shared" si="0"/>
        <v>11</v>
      </c>
      <c r="B21" s="165"/>
      <c r="C21" s="280"/>
      <c r="D21" s="1176"/>
      <c r="E21" s="824"/>
      <c r="F21" s="1176"/>
      <c r="G21" s="1176"/>
      <c r="H21" s="437">
        <f t="shared" si="3"/>
        <v>0</v>
      </c>
      <c r="I21" s="280"/>
      <c r="J21" s="461" t="s">
        <v>222</v>
      </c>
      <c r="K21" s="282">
        <f>'pü.mérleg Önkorm.'!K20+'pü.mérleg Hivatal'!L22+'püm. GAMESZ. '!K21+püm.Brunszvik!K21+'püm Festetics'!K21+'püm-TASZII.'!K21</f>
        <v>0</v>
      </c>
      <c r="L21" s="282">
        <f>'pü.mérleg Önkorm.'!L20+'pü.mérleg Hivatal'!M22+'püm. GAMESZ. '!L21+püm.Brunszvik!L21+'püm Festetics'!L21+'püm-TASZII.'!L21</f>
        <v>0</v>
      </c>
      <c r="M21" s="437">
        <f>'pü.mérleg Önkorm.'!M20+'pü.mérleg Hivatal'!N22+'püm. GAMESZ. '!M21+püm.Brunszvik!M21+'püm Festetics'!M21+'püm-TASZII.'!M21</f>
        <v>0</v>
      </c>
      <c r="N21" s="117" t="e">
        <f>'pü.mérleg Önkorm.'!#REF!+'pü.mérleg Hivatal'!O22+'püm. GAMESZ. '!N21+püm.Brunszvik!N21+'püm Festetics'!N21+'püm-TASZII.'!N21</f>
        <v>#REF!</v>
      </c>
      <c r="O21" s="117" t="e">
        <f>'pü.mérleg Önkorm.'!#REF!+'pü.mérleg Hivatal'!P22+'püm. GAMESZ. '!O21+püm.Brunszvik!O21+'püm Festetics'!O21+'püm-TASZII.'!O21</f>
        <v>#REF!</v>
      </c>
      <c r="P21" s="117" t="e">
        <f>'pü.mérleg Önkorm.'!#REF!+'pü.mérleg Hivatal'!Q22+'püm. GAMESZ. '!P21+püm.Brunszvik!P21+'püm Festetics'!P21+'püm-TASZII.'!P21</f>
        <v>#REF!</v>
      </c>
      <c r="Q21" s="153"/>
      <c r="R21" s="153"/>
      <c r="S21" s="419">
        <f t="shared" si="1"/>
        <v>0</v>
      </c>
      <c r="T21" s="419"/>
      <c r="U21" s="10"/>
      <c r="V21" s="10"/>
      <c r="W21" s="10"/>
      <c r="X21" s="10"/>
      <c r="Y21" s="10"/>
      <c r="Z21" s="10"/>
    </row>
    <row r="22" spans="1:26" x14ac:dyDescent="0.2">
      <c r="A22" s="159">
        <f t="shared" si="0"/>
        <v>12</v>
      </c>
      <c r="B22" s="114" t="s">
        <v>194</v>
      </c>
      <c r="C22" s="280">
        <f>'pü.mérleg Önkorm.'!C21+'pü.mérleg Hivatal'!D22+'püm. GAMESZ. '!C21+püm.Brunszvik!C21+'püm-TASZII.'!C21+'püm Festetics'!C21</f>
        <v>317530</v>
      </c>
      <c r="D22" s="280">
        <f>'pü.mérleg Önkorm.'!D21+'pü.mérleg Hivatal'!E22+'püm. GAMESZ. '!D21+püm.Brunszvik!D21+'püm-TASZII.'!D21+'püm Festetics'!D21</f>
        <v>237221</v>
      </c>
      <c r="E22" s="437">
        <f>SUM(C22:D22)</f>
        <v>554751</v>
      </c>
      <c r="F22" s="280">
        <f>'pü.mérleg Önkorm.'!F21+'pü.mérleg Hivatal'!G22+'püm. GAMESZ. '!F21+püm.Brunszvik!F21+'püm Festetics'!F21+'püm-TASZII.'!F21</f>
        <v>320729</v>
      </c>
      <c r="G22" s="280">
        <f>'pü.mérleg Önkorm.'!G21+'pü.mérleg Hivatal'!H22+'püm. GAMESZ. '!G21+püm.Brunszvik!G21+'püm Festetics'!G21+'püm-TASZII.'!G21</f>
        <v>235958</v>
      </c>
      <c r="H22" s="437">
        <f t="shared" si="3"/>
        <v>556687</v>
      </c>
      <c r="I22" s="280">
        <f t="shared" si="4"/>
        <v>100.34898540065724</v>
      </c>
      <c r="J22" s="461" t="s">
        <v>223</v>
      </c>
      <c r="K22" s="282"/>
      <c r="L22" s="282">
        <f>'pü.mérleg Önkorm.'!L21</f>
        <v>2469</v>
      </c>
      <c r="M22" s="824">
        <f>SUM(K22:L22)</f>
        <v>2469</v>
      </c>
      <c r="N22" s="175"/>
      <c r="Q22" s="153"/>
      <c r="R22" s="153"/>
      <c r="S22" s="419">
        <f t="shared" si="1"/>
        <v>0</v>
      </c>
      <c r="T22" s="419">
        <f t="shared" si="2"/>
        <v>0</v>
      </c>
      <c r="U22" s="10"/>
      <c r="V22" s="10"/>
      <c r="W22" s="10"/>
      <c r="X22" s="10"/>
      <c r="Y22" s="10"/>
      <c r="Z22" s="10"/>
    </row>
    <row r="23" spans="1:26" x14ac:dyDescent="0.2">
      <c r="A23" s="159">
        <f t="shared" si="0"/>
        <v>13</v>
      </c>
      <c r="C23" s="1176"/>
      <c r="D23" s="1176"/>
      <c r="E23" s="824"/>
      <c r="F23" s="1176"/>
      <c r="G23" s="1176"/>
      <c r="H23" s="437">
        <f t="shared" si="3"/>
        <v>0</v>
      </c>
      <c r="I23" s="280"/>
      <c r="J23" s="461" t="s">
        <v>224</v>
      </c>
      <c r="K23" s="282">
        <f>'pü.mérleg Önkorm.'!K22</f>
        <v>130068</v>
      </c>
      <c r="L23" s="282">
        <f>'pü.mérleg Önkorm.'!L22</f>
        <v>1789</v>
      </c>
      <c r="M23" s="824">
        <f>SUM(K23:L23)</f>
        <v>131857</v>
      </c>
      <c r="N23" s="175"/>
      <c r="Q23" s="153"/>
      <c r="R23" s="153"/>
      <c r="S23" s="419">
        <f t="shared" si="1"/>
        <v>0</v>
      </c>
      <c r="T23" s="419">
        <f t="shared" si="2"/>
        <v>0</v>
      </c>
      <c r="U23" s="10"/>
      <c r="V23" s="10"/>
      <c r="W23" s="10"/>
      <c r="X23" s="10"/>
      <c r="Y23" s="10"/>
      <c r="Z23" s="10"/>
    </row>
    <row r="24" spans="1:26" s="122" customFormat="1" x14ac:dyDescent="0.2">
      <c r="A24" s="159">
        <f t="shared" si="0"/>
        <v>14</v>
      </c>
      <c r="B24" s="114" t="s">
        <v>196</v>
      </c>
      <c r="C24" s="1176"/>
      <c r="D24" s="1176"/>
      <c r="E24" s="824"/>
      <c r="F24" s="1176"/>
      <c r="G24" s="1176"/>
      <c r="H24" s="437">
        <f t="shared" si="3"/>
        <v>0</v>
      </c>
      <c r="I24" s="280"/>
      <c r="J24" s="553"/>
      <c r="K24" s="282"/>
      <c r="L24" s="282"/>
      <c r="M24" s="437"/>
      <c r="N24" s="574"/>
      <c r="O24" s="183"/>
      <c r="P24" s="183"/>
      <c r="Q24" s="1184"/>
      <c r="R24" s="1184"/>
      <c r="S24" s="421"/>
      <c r="T24" s="419"/>
    </row>
    <row r="25" spans="1:26" s="122" customFormat="1" x14ac:dyDescent="0.2">
      <c r="A25" s="159">
        <f t="shared" si="0"/>
        <v>15</v>
      </c>
      <c r="B25" s="114" t="s">
        <v>195</v>
      </c>
      <c r="C25" s="1176"/>
      <c r="D25" s="1176"/>
      <c r="E25" s="824"/>
      <c r="F25" s="1176">
        <f>'pü.mérleg Önkorm.'!F24+'pü.mérleg Hivatal'!G25+'püm. GAMESZ. '!F24+püm.Brunszvik!F24+'püm Festetics'!F24+'püm-TASZII.'!F24</f>
        <v>0</v>
      </c>
      <c r="G25" s="1176">
        <f>'pü.mérleg Önkorm.'!G24+'pü.mérleg Hivatal'!H25+'püm. GAMESZ. '!G24+püm.Brunszvik!G24+'püm Festetics'!G24+'püm-TASZII.'!G24</f>
        <v>0</v>
      </c>
      <c r="H25" s="437">
        <f t="shared" si="3"/>
        <v>0</v>
      </c>
      <c r="I25" s="280"/>
      <c r="J25" s="553"/>
      <c r="K25" s="282"/>
      <c r="L25" s="282"/>
      <c r="M25" s="437"/>
      <c r="N25" s="574"/>
      <c r="O25" s="183"/>
      <c r="P25" s="183"/>
      <c r="Q25" s="1184"/>
      <c r="R25" s="172"/>
      <c r="S25" s="421"/>
      <c r="T25" s="419"/>
    </row>
    <row r="26" spans="1:26" x14ac:dyDescent="0.2">
      <c r="A26" s="159">
        <f t="shared" si="0"/>
        <v>16</v>
      </c>
      <c r="B26" s="162" t="s">
        <v>198</v>
      </c>
      <c r="C26" s="282">
        <f>'felh. bev.  '!D13</f>
        <v>19447</v>
      </c>
      <c r="D26" s="282">
        <f>'pü.mérleg Önkorm.'!D25+'pü.mérleg Hivatal'!E26+'püm. GAMESZ. '!D25+püm.Brunszvik!D25+'püm-TASZII.'!D25</f>
        <v>40800</v>
      </c>
      <c r="E26" s="824">
        <f>SUM(C26:D26)</f>
        <v>60247</v>
      </c>
      <c r="F26" s="1176">
        <f>'pü.mérleg Önkorm.'!F25+'pü.mérleg Hivatal'!G26+'püm. GAMESZ. '!F25+püm.Brunszvik!F25+'püm Festetics'!F25+'püm-TASZII.'!F25</f>
        <v>19447</v>
      </c>
      <c r="G26" s="1176">
        <f>'pü.mérleg Önkorm.'!G25+'pü.mérleg Hivatal'!H26+'püm. GAMESZ. '!G25+püm.Brunszvik!G25+'püm Festetics'!G25+'püm-TASZII.'!G25</f>
        <v>40800</v>
      </c>
      <c r="H26" s="437">
        <f t="shared" si="3"/>
        <v>60247</v>
      </c>
      <c r="I26" s="280">
        <f t="shared" si="4"/>
        <v>100</v>
      </c>
      <c r="J26" s="794" t="s">
        <v>66</v>
      </c>
      <c r="K26" s="337">
        <f>SUM(K12:K24)</f>
        <v>1739375</v>
      </c>
      <c r="L26" s="337">
        <f>SUM(L12:L24)</f>
        <v>1324280</v>
      </c>
      <c r="M26" s="438">
        <f>SUM(M12:M24)</f>
        <v>3063655</v>
      </c>
      <c r="N26" s="438" t="e">
        <f t="shared" ref="N26:S26" si="5">SUM(N12:N24)</f>
        <v>#REF!</v>
      </c>
      <c r="O26" s="438" t="e">
        <f t="shared" si="5"/>
        <v>#REF!</v>
      </c>
      <c r="P26" s="438" t="e">
        <f t="shared" si="5"/>
        <v>#REF!</v>
      </c>
      <c r="Q26" s="337">
        <f t="shared" si="5"/>
        <v>1514500</v>
      </c>
      <c r="R26" s="337">
        <f t="shared" si="5"/>
        <v>1214299</v>
      </c>
      <c r="S26" s="438">
        <f t="shared" si="5"/>
        <v>2728799</v>
      </c>
      <c r="T26" s="419">
        <f t="shared" si="2"/>
        <v>89.070048683680113</v>
      </c>
      <c r="U26" s="10"/>
      <c r="V26" s="10"/>
      <c r="W26" s="10"/>
      <c r="X26" s="10"/>
      <c r="Y26" s="10"/>
      <c r="Z26" s="10"/>
    </row>
    <row r="27" spans="1:26" x14ac:dyDescent="0.2">
      <c r="A27" s="159">
        <f t="shared" si="0"/>
        <v>17</v>
      </c>
      <c r="B27" s="162" t="s">
        <v>199</v>
      </c>
      <c r="C27" s="1176">
        <f>'felh. bev.  '!D14+'felh. bev.  '!D45+'felh. bev.  '!D51</f>
        <v>1285</v>
      </c>
      <c r="D27" s="1176">
        <f>'felh. bev.  '!E14+'felh. bev.  '!E15+'felh. bev.  '!E51+'felh. bev.  '!E46</f>
        <v>77</v>
      </c>
      <c r="E27" s="824">
        <f>'felh. bev.  '!F14+'felh. bev.  '!F15+'felh. bev.  '!F51+'felh. bev.  '!F46</f>
        <v>1362</v>
      </c>
      <c r="F27" s="1176">
        <f>'pü.mérleg Önkorm.'!F26+'pü.mérleg Hivatal'!G27+'püm. GAMESZ. '!F26+püm.Brunszvik!F26+'püm Festetics'!F26+'püm-TASZII.'!F26</f>
        <v>1285</v>
      </c>
      <c r="G27" s="1176">
        <f>'pü.mérleg Önkorm.'!G26+'pü.mérleg Hivatal'!H27+'püm. GAMESZ. '!G26+püm.Brunszvik!G26+'püm Festetics'!G26+'püm-TASZII.'!G26</f>
        <v>76</v>
      </c>
      <c r="H27" s="437">
        <f t="shared" si="3"/>
        <v>1361</v>
      </c>
      <c r="I27" s="280">
        <f t="shared" si="4"/>
        <v>99.926578560939788</v>
      </c>
      <c r="J27" s="553"/>
      <c r="K27" s="282"/>
      <c r="L27" s="282"/>
      <c r="M27" s="437"/>
      <c r="N27" s="175"/>
      <c r="Q27" s="153"/>
      <c r="R27" s="153"/>
      <c r="S27" s="419"/>
      <c r="T27" s="419"/>
      <c r="U27" s="10"/>
      <c r="V27" s="10"/>
      <c r="W27" s="10"/>
      <c r="X27" s="10"/>
      <c r="Y27" s="10"/>
      <c r="Z27" s="10"/>
    </row>
    <row r="28" spans="1:26" x14ac:dyDescent="0.2">
      <c r="A28" s="159">
        <f t="shared" si="0"/>
        <v>18</v>
      </c>
      <c r="B28" s="114" t="s">
        <v>200</v>
      </c>
      <c r="C28" s="339"/>
      <c r="D28" s="282">
        <f>'pü.mérleg Önkorm.'!D27</f>
        <v>180</v>
      </c>
      <c r="E28" s="824">
        <f>SUM(C28:D28)</f>
        <v>180</v>
      </c>
      <c r="F28" s="1176">
        <f>'pü.mérleg Önkorm.'!F27+'pü.mérleg Hivatal'!G28+'püm. GAMESZ. '!F27+püm.Brunszvik!F27+'püm Festetics'!F27+'püm-TASZII.'!F27</f>
        <v>0</v>
      </c>
      <c r="G28" s="1176">
        <f>'pü.mérleg Önkorm.'!G27+'pü.mérleg Hivatal'!H28+'püm. GAMESZ. '!G27+püm.Brunszvik!G27+'püm Festetics'!G27+'püm-TASZII.'!G27</f>
        <v>180</v>
      </c>
      <c r="H28" s="437">
        <f t="shared" si="3"/>
        <v>180</v>
      </c>
      <c r="I28" s="280">
        <f t="shared" si="4"/>
        <v>100</v>
      </c>
      <c r="J28" s="795" t="s">
        <v>225</v>
      </c>
      <c r="K28" s="339"/>
      <c r="L28" s="339"/>
      <c r="M28" s="437"/>
      <c r="N28" s="175"/>
      <c r="Q28" s="153"/>
      <c r="R28" s="153"/>
      <c r="S28" s="419"/>
      <c r="T28" s="419"/>
      <c r="U28" s="10"/>
      <c r="V28" s="10"/>
      <c r="W28" s="10"/>
      <c r="X28" s="10"/>
      <c r="Y28" s="10"/>
      <c r="Z28" s="10"/>
    </row>
    <row r="29" spans="1:26" x14ac:dyDescent="0.2">
      <c r="A29" s="159">
        <f t="shared" si="0"/>
        <v>19</v>
      </c>
      <c r="B29" s="162" t="s">
        <v>201</v>
      </c>
      <c r="C29" s="282"/>
      <c r="D29" s="282"/>
      <c r="E29" s="437"/>
      <c r="F29" s="282"/>
      <c r="G29" s="282"/>
      <c r="H29" s="437">
        <f t="shared" si="3"/>
        <v>0</v>
      </c>
      <c r="I29" s="280"/>
      <c r="J29" s="461" t="s">
        <v>226</v>
      </c>
      <c r="K29" s="282">
        <f>'pü.mérleg Önkorm.'!K28+'pü.mérleg Hivatal'!L29+'püm. GAMESZ. '!K28+'püm-TASZII.'!K28+püm.Brunszvik!K28+'püm Festetics'!K28</f>
        <v>1732254</v>
      </c>
      <c r="L29" s="282">
        <f>'pü.mérleg Önkorm.'!L28+'pü.mérleg Hivatal'!M29+'püm. GAMESZ. '!L28+'püm-TASZII.'!L28+'püm Festetics'!L28</f>
        <v>169988</v>
      </c>
      <c r="M29" s="437">
        <f>SUM(K29:L29)</f>
        <v>1902242</v>
      </c>
      <c r="N29" s="153" t="e">
        <f>'pü.mérleg Önkorm.'!#REF!+'pü.mérleg Hivatal'!#REF!+'püm. GAMESZ. '!#REF!+püm.Brunszvik!#REF!+'püm-TASZII.'!#REF!</f>
        <v>#REF!</v>
      </c>
      <c r="O29" s="153" t="e">
        <f>'pü.mérleg Önkorm.'!#REF!+'pü.mérleg Hivatal'!#REF!+'püm. GAMESZ. '!#REF!+püm.Brunszvik!#REF!+'püm-TASZII.'!#REF!</f>
        <v>#REF!</v>
      </c>
      <c r="P29" s="153" t="e">
        <f>'pü.mérleg Önkorm.'!#REF!+'pü.mérleg Hivatal'!#REF!+'püm. GAMESZ. '!#REF!+püm.Brunszvik!#REF!+'püm-TASZII.'!#REF!</f>
        <v>#REF!</v>
      </c>
      <c r="Q29" s="153">
        <f>'pü.mérleg Önkorm.'!N28+'pü.mérleg Hivatal'!O29+'püm. GAMESZ. '!N28+püm.Brunszvik!N28+'püm Festetics'!N28+'püm-TASZII.'!N28</f>
        <v>837391</v>
      </c>
      <c r="R29" s="153">
        <f>'pü.mérleg Önkorm.'!O28+'pü.mérleg Hivatal'!P29+'püm. GAMESZ. '!O28+püm.Brunszvik!O28+'püm Festetics'!O28+'püm-TASZII.'!O28</f>
        <v>91565</v>
      </c>
      <c r="S29" s="437">
        <f>Q29+R29</f>
        <v>928956</v>
      </c>
      <c r="T29" s="419">
        <f>S29/M29*100</f>
        <v>48.834795993359414</v>
      </c>
      <c r="U29" s="10"/>
      <c r="V29" s="10"/>
      <c r="W29" s="10"/>
      <c r="X29" s="10"/>
      <c r="Y29" s="10"/>
      <c r="Z29" s="10"/>
    </row>
    <row r="30" spans="1:26" x14ac:dyDescent="0.2">
      <c r="A30" s="159">
        <f t="shared" si="0"/>
        <v>20</v>
      </c>
      <c r="B30" s="162"/>
      <c r="C30" s="282"/>
      <c r="D30" s="282"/>
      <c r="E30" s="437"/>
      <c r="F30" s="282"/>
      <c r="G30" s="282"/>
      <c r="H30" s="437">
        <f t="shared" si="3"/>
        <v>0</v>
      </c>
      <c r="I30" s="280"/>
      <c r="J30" s="461" t="s">
        <v>227</v>
      </c>
      <c r="K30" s="282">
        <f>'felhalm. kiad.  '!H27</f>
        <v>49715</v>
      </c>
      <c r="L30" s="282">
        <f>'felhalm. kiad.  '!I27</f>
        <v>0</v>
      </c>
      <c r="M30" s="437">
        <f>SUM(K30:L30)</f>
        <v>49715</v>
      </c>
      <c r="N30" s="175"/>
      <c r="Q30" s="153">
        <f>'pü.mérleg Önkorm.'!N29+'pü.mérleg Hivatal'!O30+'püm. GAMESZ. '!N29+püm.Brunszvik!N29+'püm Festetics'!N29+'püm-TASZII.'!N29</f>
        <v>36705</v>
      </c>
      <c r="R30" s="153">
        <f>'pü.mérleg Önkorm.'!O29+'pü.mérleg Hivatal'!P30+'püm. GAMESZ. '!O29+püm.Brunszvik!O29+'püm Festetics'!O29+'püm-TASZII.'!O29</f>
        <v>0</v>
      </c>
      <c r="S30" s="437">
        <f t="shared" ref="S30:S35" si="6">Q30+R30</f>
        <v>36705</v>
      </c>
      <c r="T30" s="419">
        <f t="shared" ref="T30:T37" si="7">S30/M30*100</f>
        <v>73.830835763853969</v>
      </c>
      <c r="U30" s="10"/>
      <c r="V30" s="10"/>
      <c r="W30" s="10"/>
      <c r="X30" s="10"/>
      <c r="Y30" s="10"/>
      <c r="Z30" s="10"/>
    </row>
    <row r="31" spans="1:26" x14ac:dyDescent="0.2">
      <c r="A31" s="159">
        <f t="shared" si="0"/>
        <v>21</v>
      </c>
      <c r="B31" s="114" t="s">
        <v>202</v>
      </c>
      <c r="C31" s="282">
        <f>'tám, végl. pe.átv  '!C43+'tám, végl. pe.átv  '!C62</f>
        <v>0</v>
      </c>
      <c r="D31" s="282">
        <f>'tám, végl. pe.átv  '!D43+'tám, végl. pe.átv  '!D62</f>
        <v>20198</v>
      </c>
      <c r="E31" s="437">
        <f>'tám, végl. pe.átv  '!E43+'tám, végl. pe.átv  '!E62</f>
        <v>20198</v>
      </c>
      <c r="F31" s="282">
        <f>'pü.mérleg Önkorm.'!F30++'pü.mérleg Hivatal'!G31+'püm. GAMESZ. '!F30+püm.Brunszvik!F30+'püm Festetics'!F30+'püm-TASZII.'!F30</f>
        <v>0</v>
      </c>
      <c r="G31" s="282">
        <f>'pü.mérleg Önkorm.'!G30++'pü.mérleg Hivatal'!H31+'püm. GAMESZ. '!G30+püm.Brunszvik!G30+'püm Festetics'!G30+'püm-TASZII.'!G30</f>
        <v>20216</v>
      </c>
      <c r="H31" s="437">
        <f t="shared" si="3"/>
        <v>20216</v>
      </c>
      <c r="I31" s="280">
        <f t="shared" si="4"/>
        <v>100.08911773442915</v>
      </c>
      <c r="J31" s="461" t="s">
        <v>228</v>
      </c>
      <c r="K31" s="282"/>
      <c r="L31" s="282"/>
      <c r="M31" s="437"/>
      <c r="N31" s="175"/>
      <c r="Q31" s="153"/>
      <c r="R31" s="153"/>
      <c r="S31" s="437">
        <f t="shared" si="6"/>
        <v>0</v>
      </c>
      <c r="T31" s="419"/>
      <c r="U31" s="10"/>
      <c r="V31" s="10"/>
      <c r="W31" s="10"/>
      <c r="X31" s="10"/>
      <c r="Y31" s="10"/>
      <c r="Z31" s="10"/>
    </row>
    <row r="32" spans="1:26" s="122" customFormat="1" x14ac:dyDescent="0.2">
      <c r="A32" s="159">
        <f t="shared" si="0"/>
        <v>22</v>
      </c>
      <c r="B32" s="114" t="s">
        <v>203</v>
      </c>
      <c r="C32" s="282">
        <f>'felh. bev.  '!D35+'felh. bev.  '!D39</f>
        <v>9900</v>
      </c>
      <c r="D32" s="282">
        <f>'felh. bev.  '!E35+'felh. bev.  '!E39</f>
        <v>4232</v>
      </c>
      <c r="E32" s="437">
        <f>'felh. bev.  '!F35+'felh. bev.  '!F39</f>
        <v>14132</v>
      </c>
      <c r="F32" s="282">
        <f>'pü.mérleg Önkorm.'!F31++'pü.mérleg Hivatal'!G32+'püm. GAMESZ. '!F31+püm.Brunszvik!F31+'püm Festetics'!F31+'püm-TASZII.'!F31</f>
        <v>9900</v>
      </c>
      <c r="G32" s="282">
        <f>'pü.mérleg Önkorm.'!G31++'pü.mérleg Hivatal'!H32+'püm. GAMESZ. '!G31+püm.Brunszvik!G31+'püm Festetics'!G31+'püm-TASZII.'!G31</f>
        <v>4232</v>
      </c>
      <c r="H32" s="437">
        <f t="shared" si="3"/>
        <v>14132</v>
      </c>
      <c r="I32" s="280">
        <f t="shared" si="4"/>
        <v>100</v>
      </c>
      <c r="J32" s="792" t="s">
        <v>229</v>
      </c>
      <c r="K32" s="282">
        <f>'felhalm. kiad.  '!H86</f>
        <v>12004</v>
      </c>
      <c r="L32" s="282">
        <f>'felhalm. kiad.  '!I86</f>
        <v>78232</v>
      </c>
      <c r="M32" s="437">
        <f>SUM(K32:L32)</f>
        <v>90236</v>
      </c>
      <c r="N32" s="574"/>
      <c r="O32" s="183"/>
      <c r="P32" s="183"/>
      <c r="Q32" s="153">
        <f>'pü.mérleg Önkorm.'!N31+'pü.mérleg Hivatal'!O32+'püm. GAMESZ. '!N31+püm.Brunszvik!N31+'püm Festetics'!N31+'püm-TASZII.'!N31</f>
        <v>0</v>
      </c>
      <c r="R32" s="153">
        <f>'pü.mérleg Önkorm.'!O31+'pü.mérleg Hivatal'!P32+'püm. GAMESZ. '!O31+püm.Brunszvik!O31+'püm Festetics'!O31+'püm-TASZII.'!O31</f>
        <v>78232</v>
      </c>
      <c r="S32" s="437">
        <f t="shared" si="6"/>
        <v>78232</v>
      </c>
      <c r="T32" s="1188">
        <f t="shared" si="7"/>
        <v>86.697105368145756</v>
      </c>
    </row>
    <row r="33" spans="1:26" s="122" customFormat="1" x14ac:dyDescent="0.2">
      <c r="A33" s="159">
        <f t="shared" si="0"/>
        <v>23</v>
      </c>
      <c r="B33" s="114"/>
      <c r="C33" s="275"/>
      <c r="D33" s="275"/>
      <c r="E33" s="436"/>
      <c r="F33" s="275"/>
      <c r="G33" s="275"/>
      <c r="H33" s="436"/>
      <c r="I33" s="280"/>
      <c r="J33" s="792" t="s">
        <v>1097</v>
      </c>
      <c r="K33" s="282">
        <f>'pü.mérleg Önkorm.'!K32</f>
        <v>0</v>
      </c>
      <c r="L33" s="282">
        <f>'pü.mérleg Önkorm.'!L32</f>
        <v>5000</v>
      </c>
      <c r="M33" s="282">
        <f>'pü.mérleg Önkorm.'!M32</f>
        <v>5000</v>
      </c>
      <c r="N33" s="282" t="e">
        <f>'pü.mérleg Önkorm.'!#REF!</f>
        <v>#REF!</v>
      </c>
      <c r="O33" s="282" t="e">
        <f>'pü.mérleg Önkorm.'!#REF!</f>
        <v>#REF!</v>
      </c>
      <c r="P33" s="282" t="e">
        <f>'pü.mérleg Önkorm.'!#REF!</f>
        <v>#REF!</v>
      </c>
      <c r="Q33" s="166">
        <f>'pü.mérleg Önkorm.'!N32</f>
        <v>0</v>
      </c>
      <c r="R33" s="164">
        <f>'pü.mérleg Önkorm.'!O32</f>
        <v>4600</v>
      </c>
      <c r="S33" s="437">
        <f t="shared" si="6"/>
        <v>4600</v>
      </c>
      <c r="T33" s="1188">
        <f t="shared" si="7"/>
        <v>92</v>
      </c>
    </row>
    <row r="34" spans="1:26" x14ac:dyDescent="0.2">
      <c r="A34" s="159">
        <f t="shared" si="0"/>
        <v>24</v>
      </c>
      <c r="C34" s="275"/>
      <c r="D34" s="275"/>
      <c r="E34" s="436"/>
      <c r="F34" s="275"/>
      <c r="G34" s="275"/>
      <c r="H34" s="436"/>
      <c r="I34" s="280"/>
      <c r="J34" s="792" t="s">
        <v>279</v>
      </c>
      <c r="K34" s="282">
        <f>'pü.mérleg Önkorm.'!K33+'pü.mérleg Hivatal'!L33+'püm. GAMESZ. '!K32+'püm-TASZII.'!K32</f>
        <v>53844</v>
      </c>
      <c r="L34" s="282">
        <f>'pü.mérleg Önkorm.'!L33+'pü.mérleg Hivatal'!M33+'püm. GAMESZ. '!L32+'püm-TASZII.'!L32</f>
        <v>13880</v>
      </c>
      <c r="M34" s="437">
        <f>SUM(K34:L34)</f>
        <v>67724</v>
      </c>
      <c r="N34" s="153" t="e">
        <f>'pü.mérleg Önkorm.'!#REF!+'pü.mérleg Hivatal'!#REF!+'püm. GAMESZ. '!#REF!</f>
        <v>#REF!</v>
      </c>
      <c r="O34" s="153" t="e">
        <f>'pü.mérleg Önkorm.'!#REF!+'pü.mérleg Hivatal'!#REF!+'püm. GAMESZ. '!#REF!</f>
        <v>#REF!</v>
      </c>
      <c r="P34" s="153" t="e">
        <f>'pü.mérleg Önkorm.'!#REF!+'pü.mérleg Hivatal'!#REF!+'püm. GAMESZ. '!#REF!</f>
        <v>#REF!</v>
      </c>
      <c r="Q34" s="164">
        <f>'pü.mérleg Önkorm.'!N33+'pü.mérleg Hivatal'!O33+'püm. GAMESZ. '!N32+püm.Brunszvik!N32+'püm Festetics'!N32+'püm-TASZII.'!N32</f>
        <v>53843</v>
      </c>
      <c r="R34" s="164">
        <f>'pü.mérleg Önkorm.'!O33+'pü.mérleg Hivatal'!P33+'püm. GAMESZ. '!O32+püm.Brunszvik!O32+'püm Festetics'!O32+'püm-TASZII.'!O32</f>
        <v>13880</v>
      </c>
      <c r="S34" s="437">
        <f t="shared" si="6"/>
        <v>67723</v>
      </c>
      <c r="T34" s="1188">
        <f t="shared" si="7"/>
        <v>99.9985234185813</v>
      </c>
      <c r="U34" s="10"/>
      <c r="V34" s="10"/>
      <c r="W34" s="10"/>
      <c r="X34" s="10"/>
      <c r="Y34" s="10"/>
      <c r="Z34" s="10"/>
    </row>
    <row r="35" spans="1:26" s="11" customFormat="1" x14ac:dyDescent="0.2">
      <c r="A35" s="159">
        <f t="shared" si="0"/>
        <v>25</v>
      </c>
      <c r="B35" s="169" t="s">
        <v>52</v>
      </c>
      <c r="C35" s="825">
        <f>C14+C22+C13+C19+C15+C31</f>
        <v>1737290</v>
      </c>
      <c r="D35" s="825">
        <f>D14+D22+D13+D19+D15+D31</f>
        <v>1269495</v>
      </c>
      <c r="E35" s="1191">
        <f>E14+E22+E13+E19+E15+E31</f>
        <v>3006785</v>
      </c>
      <c r="F35" s="825">
        <f>F13+F14+F15+F19+F22+F31</f>
        <v>1740008</v>
      </c>
      <c r="G35" s="825">
        <f>G13+G14+G15+G19+G22+G31</f>
        <v>1269027</v>
      </c>
      <c r="H35" s="1191">
        <f>H13+H14+H15+H19+H22+H31</f>
        <v>3009035</v>
      </c>
      <c r="I35" s="280">
        <f t="shared" si="4"/>
        <v>100.0748307577695</v>
      </c>
      <c r="J35" s="461" t="s">
        <v>280</v>
      </c>
      <c r="K35" s="280">
        <f>tartalék!C18</f>
        <v>22391</v>
      </c>
      <c r="L35" s="280">
        <f>tartalék!D18</f>
        <v>733</v>
      </c>
      <c r="M35" s="437">
        <f>tartalék!E18</f>
        <v>23124</v>
      </c>
      <c r="N35" s="173"/>
      <c r="O35" s="178"/>
      <c r="P35" s="178"/>
      <c r="Q35" s="177"/>
      <c r="R35" s="177"/>
      <c r="S35" s="437">
        <f t="shared" si="6"/>
        <v>0</v>
      </c>
      <c r="T35" s="1188">
        <f t="shared" si="7"/>
        <v>0</v>
      </c>
    </row>
    <row r="36" spans="1:26" x14ac:dyDescent="0.2">
      <c r="A36" s="159">
        <f t="shared" si="0"/>
        <v>26</v>
      </c>
      <c r="B36" s="165" t="s">
        <v>67</v>
      </c>
      <c r="C36" s="337">
        <f>C17+C18+C25+C26+C27+C28+C29+C32</f>
        <v>651910</v>
      </c>
      <c r="D36" s="337">
        <f t="shared" ref="D36" si="8">D17+D18+D25+D26+D27+D28+D29+D32</f>
        <v>59829</v>
      </c>
      <c r="E36" s="438">
        <f>E17+E18+E25+E26+E27+E28+E29+E32</f>
        <v>711739</v>
      </c>
      <c r="F36" s="337">
        <f>F17+F18+F25+F26+F27+F28+F29+F32</f>
        <v>651909</v>
      </c>
      <c r="G36" s="337">
        <f t="shared" ref="G36:H36" si="9">G17+G18+G25+G26+G27+G28+G29+G32</f>
        <v>59828</v>
      </c>
      <c r="H36" s="438">
        <f t="shared" si="9"/>
        <v>711737</v>
      </c>
      <c r="I36" s="280">
        <f t="shared" si="4"/>
        <v>99.999718998115881</v>
      </c>
      <c r="J36" s="771" t="s">
        <v>68</v>
      </c>
      <c r="K36" s="337">
        <f>SUM(K29:K35)</f>
        <v>1870208</v>
      </c>
      <c r="L36" s="337">
        <f>SUM(L29:L35)</f>
        <v>267833</v>
      </c>
      <c r="M36" s="438">
        <f>SUM(M29:M35)</f>
        <v>2138041</v>
      </c>
      <c r="N36" s="438" t="e">
        <f t="shared" ref="N36:S36" si="10">SUM(N29:N35)</f>
        <v>#REF!</v>
      </c>
      <c r="O36" s="438" t="e">
        <f t="shared" si="10"/>
        <v>#REF!</v>
      </c>
      <c r="P36" s="438" t="e">
        <f t="shared" si="10"/>
        <v>#REF!</v>
      </c>
      <c r="Q36" s="337">
        <f t="shared" si="10"/>
        <v>927939</v>
      </c>
      <c r="R36" s="337">
        <f t="shared" si="10"/>
        <v>188277</v>
      </c>
      <c r="S36" s="438">
        <f t="shared" si="10"/>
        <v>1116216</v>
      </c>
      <c r="T36" s="1188">
        <f t="shared" si="7"/>
        <v>52.207417912004495</v>
      </c>
      <c r="U36" s="10"/>
      <c r="V36" s="10"/>
      <c r="W36" s="10"/>
      <c r="X36" s="10"/>
      <c r="Y36" s="10"/>
      <c r="Z36" s="10"/>
    </row>
    <row r="37" spans="1:26" x14ac:dyDescent="0.2">
      <c r="A37" s="159">
        <f t="shared" si="0"/>
        <v>27</v>
      </c>
      <c r="B37" s="173" t="s">
        <v>51</v>
      </c>
      <c r="C37" s="339">
        <f>SUM(C35:C36)</f>
        <v>2389200</v>
      </c>
      <c r="D37" s="339">
        <f>SUM(D35:D36)</f>
        <v>1329324</v>
      </c>
      <c r="E37" s="420">
        <f>SUM(C37:D37)</f>
        <v>3718524</v>
      </c>
      <c r="F37" s="339">
        <f>F35+F36</f>
        <v>2391917</v>
      </c>
      <c r="G37" s="339">
        <f t="shared" ref="G37:H37" si="11">G35+G36</f>
        <v>1328855</v>
      </c>
      <c r="H37" s="420">
        <f t="shared" si="11"/>
        <v>3720772</v>
      </c>
      <c r="I37" s="280">
        <f t="shared" si="4"/>
        <v>100.06045409415134</v>
      </c>
      <c r="J37" s="796" t="s">
        <v>69</v>
      </c>
      <c r="K37" s="339">
        <f>K26+K36</f>
        <v>3609583</v>
      </c>
      <c r="L37" s="339">
        <f>L26+L36</f>
        <v>1592113</v>
      </c>
      <c r="M37" s="420">
        <f>M26+M36</f>
        <v>5201696</v>
      </c>
      <c r="N37" s="175"/>
      <c r="Q37" s="177">
        <f>Q26+Q36</f>
        <v>2442439</v>
      </c>
      <c r="R37" s="177">
        <f t="shared" ref="R37:S37" si="12">R26+R36</f>
        <v>1402576</v>
      </c>
      <c r="S37" s="422">
        <f t="shared" si="12"/>
        <v>3845015</v>
      </c>
      <c r="T37" s="1189">
        <f t="shared" si="7"/>
        <v>73.918487354893486</v>
      </c>
      <c r="U37" s="10"/>
      <c r="V37" s="10"/>
      <c r="W37" s="10"/>
      <c r="X37" s="10"/>
      <c r="Y37" s="10"/>
      <c r="Z37" s="10"/>
    </row>
    <row r="38" spans="1:26" ht="12" thickBot="1" x14ac:dyDescent="0.25">
      <c r="A38" s="159">
        <f t="shared" si="0"/>
        <v>28</v>
      </c>
      <c r="B38" s="175"/>
      <c r="C38" s="275"/>
      <c r="D38" s="275"/>
      <c r="E38" s="1192"/>
      <c r="F38" s="275"/>
      <c r="G38" s="275"/>
      <c r="H38" s="436"/>
      <c r="I38" s="1200"/>
      <c r="J38" s="282"/>
      <c r="K38" s="282"/>
      <c r="L38" s="282"/>
      <c r="M38" s="437"/>
      <c r="N38" s="175"/>
      <c r="Q38" s="164"/>
      <c r="R38" s="153"/>
      <c r="S38" s="419"/>
      <c r="T38" s="1188"/>
      <c r="U38" s="10"/>
      <c r="V38" s="10"/>
      <c r="W38" s="10"/>
      <c r="X38" s="10"/>
      <c r="Y38" s="10"/>
      <c r="Z38" s="10"/>
    </row>
    <row r="39" spans="1:26" ht="12" thickBot="1" x14ac:dyDescent="0.25">
      <c r="A39" s="159">
        <f t="shared" si="0"/>
        <v>29</v>
      </c>
      <c r="B39" s="1060" t="s">
        <v>23</v>
      </c>
      <c r="C39" s="849">
        <f>C37-K37</f>
        <v>-1220383</v>
      </c>
      <c r="D39" s="849">
        <f>D37-L37</f>
        <v>-262789</v>
      </c>
      <c r="E39" s="1197">
        <f>E37-M37</f>
        <v>-1483172</v>
      </c>
      <c r="F39" s="849">
        <f t="shared" ref="F39:H39" si="13">F37-N37</f>
        <v>2391917</v>
      </c>
      <c r="G39" s="744">
        <f t="shared" si="13"/>
        <v>1328855</v>
      </c>
      <c r="H39" s="1007">
        <f t="shared" si="13"/>
        <v>3720772</v>
      </c>
      <c r="I39" s="1208"/>
      <c r="J39" s="337"/>
      <c r="K39" s="337"/>
      <c r="L39" s="337"/>
      <c r="M39" s="438"/>
      <c r="N39" s="175"/>
      <c r="Q39" s="153"/>
      <c r="R39" s="153"/>
      <c r="S39" s="419"/>
      <c r="T39" s="1188"/>
      <c r="U39" s="10"/>
      <c r="V39" s="10"/>
      <c r="W39" s="10"/>
      <c r="X39" s="10"/>
      <c r="Y39" s="10"/>
      <c r="Z39" s="10"/>
    </row>
    <row r="40" spans="1:26" s="11" customFormat="1" x14ac:dyDescent="0.2">
      <c r="A40" s="159">
        <f t="shared" si="0"/>
        <v>30</v>
      </c>
      <c r="B40" s="175"/>
      <c r="C40" s="275"/>
      <c r="D40" s="275"/>
      <c r="E40" s="436"/>
      <c r="F40" s="275"/>
      <c r="G40" s="275"/>
      <c r="H40" s="436"/>
      <c r="I40" s="1209"/>
      <c r="J40" s="282"/>
      <c r="K40" s="282"/>
      <c r="L40" s="282"/>
      <c r="M40" s="437"/>
      <c r="N40" s="173"/>
      <c r="O40" s="178"/>
      <c r="P40" s="178"/>
      <c r="Q40" s="177"/>
      <c r="R40" s="177"/>
      <c r="S40" s="422"/>
      <c r="T40" s="1189"/>
    </row>
    <row r="41" spans="1:26" s="11" customFormat="1" x14ac:dyDescent="0.2">
      <c r="A41" s="159">
        <f t="shared" si="0"/>
        <v>31</v>
      </c>
      <c r="B41" s="124" t="s">
        <v>204</v>
      </c>
      <c r="C41" s="577"/>
      <c r="D41" s="577"/>
      <c r="E41" s="483"/>
      <c r="F41" s="577"/>
      <c r="G41" s="577"/>
      <c r="H41" s="483"/>
      <c r="I41" s="577"/>
      <c r="J41" s="795" t="s">
        <v>230</v>
      </c>
      <c r="K41" s="339"/>
      <c r="L41" s="339"/>
      <c r="M41" s="420"/>
      <c r="N41" s="173"/>
      <c r="O41" s="178"/>
      <c r="P41" s="178"/>
      <c r="Q41" s="177"/>
      <c r="R41" s="177"/>
      <c r="S41" s="422"/>
      <c r="T41" s="1189"/>
    </row>
    <row r="42" spans="1:26" s="11" customFormat="1" x14ac:dyDescent="0.2">
      <c r="A42" s="159">
        <f t="shared" si="0"/>
        <v>32</v>
      </c>
      <c r="B42" s="133" t="s">
        <v>205</v>
      </c>
      <c r="C42" s="577"/>
      <c r="D42" s="577"/>
      <c r="E42" s="483"/>
      <c r="F42" s="577"/>
      <c r="G42" s="577"/>
      <c r="H42" s="483"/>
      <c r="I42" s="577"/>
      <c r="J42" s="797" t="s">
        <v>231</v>
      </c>
      <c r="K42" s="184"/>
      <c r="M42" s="440"/>
      <c r="N42" s="173"/>
      <c r="O42" s="178"/>
      <c r="P42" s="178"/>
      <c r="Q42" s="177"/>
      <c r="R42" s="177"/>
      <c r="S42" s="422"/>
      <c r="T42" s="1189"/>
    </row>
    <row r="43" spans="1:26" s="11" customFormat="1" ht="21.75" x14ac:dyDescent="0.2">
      <c r="A43" s="315">
        <f t="shared" si="0"/>
        <v>33</v>
      </c>
      <c r="B43" s="1019" t="s">
        <v>1163</v>
      </c>
      <c r="C43" s="1177">
        <f>'pü.mérleg Önkorm.'!C42</f>
        <v>588859</v>
      </c>
      <c r="D43" s="1177">
        <f>'pü.mérleg Önkorm.'!D42</f>
        <v>0</v>
      </c>
      <c r="E43" s="1193">
        <f>'pü.mérleg Önkorm.'!E42</f>
        <v>588859</v>
      </c>
      <c r="F43" s="1177">
        <f>'pü.mérleg Önkorm.'!F42</f>
        <v>588859</v>
      </c>
      <c r="G43" s="1177"/>
      <c r="H43" s="1193">
        <f t="shared" ref="H43:H53" si="14">F43+G43</f>
        <v>588859</v>
      </c>
      <c r="I43" s="1177">
        <f>H43/E43*100</f>
        <v>100</v>
      </c>
      <c r="J43" s="185" t="s">
        <v>933</v>
      </c>
      <c r="K43" s="339"/>
      <c r="L43" s="339"/>
      <c r="M43" s="420"/>
      <c r="N43" s="173"/>
      <c r="O43" s="178"/>
      <c r="P43" s="178"/>
      <c r="Q43" s="177"/>
      <c r="R43" s="177"/>
      <c r="S43" s="422"/>
      <c r="T43" s="1189"/>
    </row>
    <row r="44" spans="1:26" x14ac:dyDescent="0.2">
      <c r="A44" s="159">
        <f t="shared" si="0"/>
        <v>34</v>
      </c>
      <c r="B44" s="116" t="s">
        <v>206</v>
      </c>
      <c r="C44" s="798"/>
      <c r="D44" s="799">
        <f>'pü.mérleg Önkorm.'!D43</f>
        <v>0</v>
      </c>
      <c r="E44" s="1198">
        <f>SUM(C44:D44)</f>
        <v>0</v>
      </c>
      <c r="F44" s="799"/>
      <c r="G44" s="799"/>
      <c r="H44" s="1193">
        <f t="shared" si="14"/>
        <v>0</v>
      </c>
      <c r="I44" s="1177"/>
      <c r="J44" s="461" t="s">
        <v>232</v>
      </c>
      <c r="K44" s="339"/>
      <c r="L44" s="339"/>
      <c r="M44" s="420"/>
      <c r="N44" s="175"/>
      <c r="Q44" s="153"/>
      <c r="R44" s="153"/>
      <c r="S44" s="419"/>
      <c r="T44" s="1188"/>
      <c r="U44" s="10"/>
      <c r="V44" s="10"/>
      <c r="W44" s="10"/>
      <c r="X44" s="10"/>
      <c r="Y44" s="10"/>
      <c r="Z44" s="10"/>
    </row>
    <row r="45" spans="1:26" x14ac:dyDescent="0.2">
      <c r="A45" s="159">
        <f t="shared" si="0"/>
        <v>35</v>
      </c>
      <c r="B45" s="116" t="s">
        <v>207</v>
      </c>
      <c r="C45" s="275"/>
      <c r="D45" s="275"/>
      <c r="E45" s="436"/>
      <c r="F45" s="275"/>
      <c r="G45" s="275"/>
      <c r="H45" s="1193">
        <f t="shared" si="14"/>
        <v>0</v>
      </c>
      <c r="I45" s="1177"/>
      <c r="J45" s="461" t="s">
        <v>233</v>
      </c>
      <c r="K45" s="184"/>
      <c r="L45" s="184"/>
      <c r="M45" s="420"/>
      <c r="N45" s="175"/>
      <c r="Q45" s="153"/>
      <c r="R45" s="153"/>
      <c r="S45" s="419"/>
      <c r="T45" s="1188"/>
      <c r="U45" s="10"/>
      <c r="V45" s="10"/>
      <c r="W45" s="10"/>
      <c r="X45" s="10"/>
      <c r="Y45" s="10"/>
      <c r="Z45" s="10"/>
    </row>
    <row r="46" spans="1:26" ht="21.75" x14ac:dyDescent="0.2">
      <c r="A46" s="159">
        <f t="shared" si="0"/>
        <v>36</v>
      </c>
      <c r="B46" s="1067" t="s">
        <v>910</v>
      </c>
      <c r="C46" s="339">
        <f>'pü.mérleg Önkorm.'!C45+'pü.mérleg Hivatal'!D45+'püm. GAMESZ. '!C44+püm.Brunszvik!C44+'püm-TASZII.'!C44+'püm Festetics'!C44</f>
        <v>630751</v>
      </c>
      <c r="D46" s="339">
        <f>'pü.mérleg Önkorm.'!D45+'pü.mérleg Hivatal'!E45+'püm. GAMESZ. '!D44+püm.Brunszvik!D44+'püm-TASZII.'!D44+'püm Festetics'!D44</f>
        <v>262319</v>
      </c>
      <c r="E46" s="420">
        <f>'pü.mérleg Önkorm.'!E45+'pü.mérleg Hivatal'!F45+'püm. GAMESZ. '!E44+püm.Brunszvik!E44+'püm-TASZII.'!E44+'püm Festetics'!E44</f>
        <v>893070</v>
      </c>
      <c r="F46" s="339">
        <f>'pü.mérleg Önkorm.'!F45+'pü.mérleg Hivatal'!G45+'püm. GAMESZ. '!F44+püm.Brunszvik!F44+'püm Festetics'!F44+'püm-TASZII.'!F44</f>
        <v>630751</v>
      </c>
      <c r="G46" s="339">
        <f>'pü.mérleg Önkorm.'!G45+'pü.mérleg Hivatal'!H45+'püm. GAMESZ. '!G44+püm.Brunszvik!G44+'püm Festetics'!G44+'püm-TASZII.'!G44</f>
        <v>262319</v>
      </c>
      <c r="H46" s="1415">
        <f t="shared" si="14"/>
        <v>893070</v>
      </c>
      <c r="I46" s="1199">
        <f t="shared" ref="I46:I56" si="15">H46/E46*100</f>
        <v>100</v>
      </c>
      <c r="J46" s="275" t="s">
        <v>234</v>
      </c>
      <c r="K46" s="184"/>
      <c r="L46" s="184"/>
      <c r="M46" s="420"/>
      <c r="N46" s="175"/>
      <c r="Q46" s="153"/>
      <c r="R46" s="153"/>
      <c r="S46" s="419"/>
      <c r="T46" s="1188"/>
      <c r="U46" s="10"/>
      <c r="V46" s="10"/>
      <c r="W46" s="10"/>
      <c r="X46" s="10"/>
      <c r="Y46" s="10"/>
      <c r="Z46" s="10"/>
    </row>
    <row r="47" spans="1:26" x14ac:dyDescent="0.2">
      <c r="A47" s="159">
        <f t="shared" si="0"/>
        <v>37</v>
      </c>
      <c r="B47" s="529" t="s">
        <v>935</v>
      </c>
      <c r="C47" s="275">
        <f>'püm Festetics'!C45</f>
        <v>0</v>
      </c>
      <c r="D47" s="275">
        <f>'püm Festetics'!D45</f>
        <v>0</v>
      </c>
      <c r="E47" s="436">
        <f>'püm Festetics'!E45</f>
        <v>0</v>
      </c>
      <c r="F47" s="275"/>
      <c r="G47" s="275"/>
      <c r="H47" s="1193">
        <f t="shared" si="14"/>
        <v>0</v>
      </c>
      <c r="I47" s="1177"/>
      <c r="J47" s="461"/>
      <c r="K47" s="184"/>
      <c r="L47" s="184"/>
      <c r="M47" s="420"/>
      <c r="N47" s="175"/>
      <c r="Q47" s="153"/>
      <c r="R47" s="153"/>
      <c r="S47" s="419"/>
      <c r="T47" s="1188"/>
      <c r="U47" s="10"/>
      <c r="V47" s="10"/>
      <c r="W47" s="10"/>
      <c r="X47" s="10"/>
      <c r="Y47" s="10"/>
      <c r="Z47" s="10"/>
    </row>
    <row r="48" spans="1:26" x14ac:dyDescent="0.2">
      <c r="A48" s="159">
        <f t="shared" si="0"/>
        <v>38</v>
      </c>
      <c r="B48" s="117" t="s">
        <v>209</v>
      </c>
      <c r="C48" s="275">
        <f>'pü.mérleg Önkorm.'!C47</f>
        <v>33212</v>
      </c>
      <c r="D48" s="275">
        <f>'pü.mérleg Önkorm.'!D47</f>
        <v>4730</v>
      </c>
      <c r="E48" s="436">
        <f>'pü.mérleg Önkorm.'!E47</f>
        <v>37942</v>
      </c>
      <c r="F48" s="275">
        <f>'pü.mérleg Önkorm.'!F47</f>
        <v>33212</v>
      </c>
      <c r="G48" s="275">
        <f>'pü.mérleg Önkorm.'!G47</f>
        <v>4730</v>
      </c>
      <c r="H48" s="1193">
        <f t="shared" si="14"/>
        <v>37942</v>
      </c>
      <c r="I48" s="1177">
        <f t="shared" si="15"/>
        <v>100</v>
      </c>
      <c r="J48" s="461" t="s">
        <v>235</v>
      </c>
      <c r="K48" s="339"/>
      <c r="L48" s="339"/>
      <c r="M48" s="437"/>
      <c r="N48" s="175"/>
      <c r="Q48" s="153"/>
      <c r="R48" s="153"/>
      <c r="S48" s="419"/>
      <c r="T48" s="1188"/>
      <c r="U48" s="10"/>
      <c r="V48" s="10"/>
      <c r="W48" s="10"/>
      <c r="X48" s="10"/>
      <c r="Y48" s="10"/>
      <c r="Z48" s="10"/>
    </row>
    <row r="49" spans="1:26" x14ac:dyDescent="0.2">
      <c r="A49" s="159">
        <f t="shared" si="0"/>
        <v>39</v>
      </c>
      <c r="B49" s="117" t="s">
        <v>210</v>
      </c>
      <c r="C49" s="577"/>
      <c r="D49" s="577"/>
      <c r="E49" s="483"/>
      <c r="F49" s="577"/>
      <c r="G49" s="577"/>
      <c r="H49" s="1193">
        <f t="shared" si="14"/>
        <v>0</v>
      </c>
      <c r="I49" s="1177"/>
      <c r="J49" s="792" t="s">
        <v>236</v>
      </c>
      <c r="K49" s="282">
        <f>'pü.mérleg Önkorm.'!K48</f>
        <v>32439</v>
      </c>
      <c r="L49" s="282">
        <f>'pü.mérleg Önkorm.'!L48</f>
        <v>4260</v>
      </c>
      <c r="M49" s="437">
        <f>'pü.mérleg Önkorm.'!M48</f>
        <v>36699</v>
      </c>
      <c r="N49" s="175"/>
      <c r="Q49" s="153">
        <f>'pü.mérleg Önkorm.'!N48</f>
        <v>32439</v>
      </c>
      <c r="R49" s="153">
        <f>'pü.mérleg Önkorm.'!O48</f>
        <v>4260</v>
      </c>
      <c r="S49" s="437">
        <f>Q49+R49</f>
        <v>36699</v>
      </c>
      <c r="T49" s="1188">
        <f>S49/M49*100</f>
        <v>100</v>
      </c>
      <c r="U49" s="10"/>
      <c r="V49" s="10"/>
      <c r="W49" s="10"/>
      <c r="X49" s="10"/>
      <c r="Y49" s="10"/>
      <c r="Z49" s="10"/>
    </row>
    <row r="50" spans="1:26" x14ac:dyDescent="0.2">
      <c r="A50" s="159">
        <f t="shared" si="0"/>
        <v>40</v>
      </c>
      <c r="B50" s="116" t="s">
        <v>211</v>
      </c>
      <c r="C50" s="275"/>
      <c r="D50" s="275"/>
      <c r="E50" s="436"/>
      <c r="F50" s="275"/>
      <c r="G50" s="275"/>
      <c r="H50" s="1193">
        <f t="shared" si="14"/>
        <v>0</v>
      </c>
      <c r="I50" s="1177"/>
      <c r="J50" s="461" t="s">
        <v>237</v>
      </c>
      <c r="K50" s="282"/>
      <c r="L50" s="282"/>
      <c r="M50" s="437"/>
      <c r="N50" s="175"/>
      <c r="Q50" s="153"/>
      <c r="R50" s="153"/>
      <c r="S50" s="437"/>
      <c r="T50" s="1188"/>
      <c r="U50" s="10"/>
      <c r="V50" s="10"/>
      <c r="W50" s="10"/>
      <c r="X50" s="10"/>
      <c r="Y50" s="10"/>
      <c r="Z50" s="10"/>
    </row>
    <row r="51" spans="1:26" x14ac:dyDescent="0.2">
      <c r="A51" s="159">
        <f t="shared" si="0"/>
        <v>41</v>
      </c>
      <c r="B51" s="494" t="s">
        <v>212</v>
      </c>
      <c r="C51" s="275"/>
      <c r="D51" s="275"/>
      <c r="E51" s="436"/>
      <c r="F51" s="275"/>
      <c r="G51" s="275"/>
      <c r="H51" s="1193">
        <f t="shared" si="14"/>
        <v>0</v>
      </c>
      <c r="I51" s="1177"/>
      <c r="J51" s="461" t="s">
        <v>238</v>
      </c>
      <c r="K51" s="282"/>
      <c r="L51" s="282"/>
      <c r="M51" s="437"/>
      <c r="N51" s="175"/>
      <c r="Q51" s="153"/>
      <c r="R51" s="153"/>
      <c r="S51" s="437"/>
      <c r="T51" s="1188"/>
      <c r="U51" s="10"/>
      <c r="V51" s="10"/>
      <c r="W51" s="10"/>
      <c r="X51" s="10"/>
      <c r="Y51" s="10"/>
      <c r="Z51" s="10"/>
    </row>
    <row r="52" spans="1:26" x14ac:dyDescent="0.2">
      <c r="A52" s="159">
        <f t="shared" si="0"/>
        <v>42</v>
      </c>
      <c r="B52" s="494" t="s">
        <v>213</v>
      </c>
      <c r="C52" s="275"/>
      <c r="D52" s="275"/>
      <c r="E52" s="436"/>
      <c r="F52" s="275"/>
      <c r="G52" s="275"/>
      <c r="H52" s="1193">
        <f t="shared" si="14"/>
        <v>0</v>
      </c>
      <c r="I52" s="1177"/>
      <c r="J52" s="461" t="s">
        <v>239</v>
      </c>
      <c r="K52" s="282"/>
      <c r="L52" s="282"/>
      <c r="M52" s="437"/>
      <c r="N52" s="175"/>
      <c r="Q52" s="153"/>
      <c r="R52" s="153"/>
      <c r="S52" s="437"/>
      <c r="T52" s="1188"/>
      <c r="U52" s="10"/>
      <c r="V52" s="10"/>
      <c r="W52" s="10"/>
      <c r="X52" s="10"/>
      <c r="Y52" s="10"/>
      <c r="Z52" s="10"/>
    </row>
    <row r="53" spans="1:26" x14ac:dyDescent="0.2">
      <c r="A53" s="159">
        <f t="shared" si="0"/>
        <v>43</v>
      </c>
      <c r="B53" s="116" t="s">
        <v>214</v>
      </c>
      <c r="C53" s="275">
        <f>'pü.mérleg Önkorm.'!C52</f>
        <v>0</v>
      </c>
      <c r="D53" s="275">
        <f>'pü.mérleg Önkorm.'!D52</f>
        <v>0</v>
      </c>
      <c r="E53" s="436">
        <f>SUM(C53:D53)</f>
        <v>0</v>
      </c>
      <c r="F53" s="275"/>
      <c r="G53" s="275"/>
      <c r="H53" s="1193">
        <f t="shared" si="14"/>
        <v>0</v>
      </c>
      <c r="I53" s="1177"/>
      <c r="J53" s="461" t="s">
        <v>240</v>
      </c>
      <c r="K53" s="282"/>
      <c r="L53" s="282"/>
      <c r="M53" s="437"/>
      <c r="N53" s="175"/>
      <c r="Q53" s="153"/>
      <c r="R53" s="153"/>
      <c r="S53" s="437"/>
      <c r="T53" s="1188"/>
      <c r="U53" s="10"/>
      <c r="V53" s="10"/>
      <c r="W53" s="10"/>
      <c r="X53" s="10"/>
      <c r="Y53" s="10"/>
      <c r="Z53" s="10"/>
    </row>
    <row r="54" spans="1:26" x14ac:dyDescent="0.2">
      <c r="A54" s="159">
        <f t="shared" si="0"/>
        <v>44</v>
      </c>
      <c r="B54" s="116"/>
      <c r="C54" s="275"/>
      <c r="D54" s="275"/>
      <c r="E54" s="436"/>
      <c r="F54" s="275"/>
      <c r="G54" s="275"/>
      <c r="H54" s="1193"/>
      <c r="I54" s="1177"/>
      <c r="J54" s="461" t="s">
        <v>241</v>
      </c>
      <c r="K54" s="282"/>
      <c r="L54" s="282"/>
      <c r="M54" s="437"/>
      <c r="N54" s="175"/>
      <c r="Q54" s="153"/>
      <c r="R54" s="153"/>
      <c r="S54" s="437"/>
      <c r="T54" s="1188"/>
      <c r="U54" s="10"/>
      <c r="V54" s="10"/>
      <c r="W54" s="10"/>
      <c r="X54" s="10"/>
      <c r="Y54" s="10"/>
      <c r="Z54" s="10"/>
    </row>
    <row r="55" spans="1:26" x14ac:dyDescent="0.2">
      <c r="A55" s="159">
        <f t="shared" si="0"/>
        <v>45</v>
      </c>
      <c r="B55" s="116"/>
      <c r="C55" s="275"/>
      <c r="D55" s="275"/>
      <c r="E55" s="436"/>
      <c r="F55" s="275"/>
      <c r="G55" s="275"/>
      <c r="H55" s="1193"/>
      <c r="I55" s="1177"/>
      <c r="J55" s="461" t="s">
        <v>242</v>
      </c>
      <c r="K55" s="282"/>
      <c r="L55" s="282"/>
      <c r="M55" s="437"/>
      <c r="N55" s="175"/>
      <c r="Q55" s="153"/>
      <c r="R55" s="153"/>
      <c r="S55" s="437"/>
      <c r="T55" s="1188"/>
      <c r="U55" s="10"/>
      <c r="V55" s="10"/>
      <c r="W55" s="10"/>
      <c r="X55" s="10"/>
      <c r="Y55" s="10"/>
      <c r="Z55" s="10"/>
    </row>
    <row r="56" spans="1:26" ht="12" thickBot="1" x14ac:dyDescent="0.25">
      <c r="A56" s="159">
        <f t="shared" si="0"/>
        <v>46</v>
      </c>
      <c r="B56" s="173" t="s">
        <v>447</v>
      </c>
      <c r="C56" s="577">
        <f>SUM(C42:C54)</f>
        <v>1252822</v>
      </c>
      <c r="D56" s="577">
        <f>SUM(D42:D54)</f>
        <v>267049</v>
      </c>
      <c r="E56" s="483">
        <f>SUM(E42:E54)</f>
        <v>1519871</v>
      </c>
      <c r="F56" s="577">
        <f>F43+F44+F46+F47+F48+F53</f>
        <v>1252822</v>
      </c>
      <c r="G56" s="577">
        <f>G43+G44+G46+G47+G48+G53</f>
        <v>267049</v>
      </c>
      <c r="H56" s="1194">
        <f>H43+H44+H46+H47+H48+H53</f>
        <v>1519871</v>
      </c>
      <c r="I56" s="1177">
        <f t="shared" si="15"/>
        <v>100</v>
      </c>
      <c r="J56" s="795" t="s">
        <v>440</v>
      </c>
      <c r="K56" s="339">
        <f>SUM(K42:K55)</f>
        <v>32439</v>
      </c>
      <c r="L56" s="339">
        <f>SUM(L42:L55)</f>
        <v>4260</v>
      </c>
      <c r="M56" s="420">
        <f>SUM(M42:M55)</f>
        <v>36699</v>
      </c>
      <c r="N56" s="420">
        <f t="shared" ref="N56:S56" si="16">SUM(N42:N55)</f>
        <v>0</v>
      </c>
      <c r="O56" s="420">
        <f t="shared" si="16"/>
        <v>0</v>
      </c>
      <c r="P56" s="420">
        <f t="shared" si="16"/>
        <v>0</v>
      </c>
      <c r="Q56" s="1201">
        <f t="shared" si="16"/>
        <v>32439</v>
      </c>
      <c r="R56" s="1202">
        <f t="shared" si="16"/>
        <v>4260</v>
      </c>
      <c r="S56" s="1203">
        <f t="shared" si="16"/>
        <v>36699</v>
      </c>
      <c r="T56" s="1204">
        <f t="shared" ref="T56:T57" si="17">S56/M56*100</f>
        <v>100</v>
      </c>
      <c r="U56" s="10"/>
      <c r="V56" s="10"/>
      <c r="W56" s="10"/>
      <c r="X56" s="10"/>
      <c r="Y56" s="10"/>
      <c r="Z56" s="10"/>
    </row>
    <row r="57" spans="1:26" ht="12" thickBot="1" x14ac:dyDescent="0.25">
      <c r="A57" s="846">
        <f t="shared" si="0"/>
        <v>47</v>
      </c>
      <c r="B57" s="1008" t="s">
        <v>442</v>
      </c>
      <c r="C57" s="972">
        <f t="shared" ref="C57:H57" si="18">C37+C56</f>
        <v>3642022</v>
      </c>
      <c r="D57" s="827">
        <f t="shared" si="18"/>
        <v>1596373</v>
      </c>
      <c r="E57" s="828">
        <f t="shared" si="18"/>
        <v>5238395</v>
      </c>
      <c r="F57" s="1195">
        <f t="shared" si="18"/>
        <v>3644739</v>
      </c>
      <c r="G57" s="1183">
        <f t="shared" si="18"/>
        <v>1595904</v>
      </c>
      <c r="H57" s="1196">
        <f t="shared" si="18"/>
        <v>5240643</v>
      </c>
      <c r="I57" s="1183">
        <f>H57/E57*100</f>
        <v>100.04291390779045</v>
      </c>
      <c r="J57" s="466" t="s">
        <v>441</v>
      </c>
      <c r="K57" s="744">
        <f>K37+K56</f>
        <v>3642022</v>
      </c>
      <c r="L57" s="744">
        <f>L37+L56</f>
        <v>1596373</v>
      </c>
      <c r="M57" s="968">
        <f>M37+M56</f>
        <v>5238395</v>
      </c>
      <c r="N57" s="175"/>
      <c r="Q57" s="1205">
        <f>Q37+Q56</f>
        <v>2474878</v>
      </c>
      <c r="R57" s="1206">
        <f t="shared" ref="R57:S57" si="19">R37+R56</f>
        <v>1406836</v>
      </c>
      <c r="S57" s="1007">
        <f t="shared" si="19"/>
        <v>3881714</v>
      </c>
      <c r="T57" s="1207">
        <f t="shared" si="17"/>
        <v>74.101208480841933</v>
      </c>
      <c r="U57" s="10"/>
      <c r="V57" s="10"/>
      <c r="W57" s="10"/>
      <c r="X57" s="10"/>
      <c r="Y57" s="10"/>
      <c r="Z57" s="10"/>
    </row>
    <row r="58" spans="1:26" x14ac:dyDescent="0.2">
      <c r="B58" s="178"/>
      <c r="C58" s="177"/>
      <c r="D58" s="177"/>
      <c r="E58" s="177"/>
      <c r="F58" s="177"/>
      <c r="G58" s="177"/>
      <c r="I58" s="177"/>
      <c r="J58" s="177"/>
      <c r="K58" s="177"/>
      <c r="L58" s="177"/>
      <c r="M58" s="177"/>
      <c r="X58" s="10"/>
      <c r="Y58" s="10"/>
      <c r="Z58" s="10"/>
    </row>
    <row r="59" spans="1:26" s="11" customFormat="1" ht="12.75" x14ac:dyDescent="0.2">
      <c r="A59" s="178"/>
      <c r="B59" s="173"/>
      <c r="C59" s="177"/>
      <c r="D59" s="177"/>
      <c r="E59" s="416">
        <f>E57-M57</f>
        <v>0</v>
      </c>
      <c r="F59" s="416"/>
      <c r="G59" s="416"/>
      <c r="H59" s="416">
        <v>5240</v>
      </c>
      <c r="I59" s="416"/>
      <c r="J59" s="177"/>
      <c r="K59" s="177"/>
      <c r="L59" s="177"/>
      <c r="M59" s="177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</row>
  </sheetData>
  <sheetProtection selectLockedCells="1" selectUnlockedCells="1"/>
  <mergeCells count="19">
    <mergeCell ref="I9:I10"/>
    <mergeCell ref="B3:T3"/>
    <mergeCell ref="B4:T4"/>
    <mergeCell ref="A1:T1"/>
    <mergeCell ref="Q9:S9"/>
    <mergeCell ref="T9:T10"/>
    <mergeCell ref="Q8:T8"/>
    <mergeCell ref="B5:T5"/>
    <mergeCell ref="B6:T6"/>
    <mergeCell ref="B7:T7"/>
    <mergeCell ref="C9:E9"/>
    <mergeCell ref="K9:M9"/>
    <mergeCell ref="K8:M8"/>
    <mergeCell ref="A8:A10"/>
    <mergeCell ref="B8:B9"/>
    <mergeCell ref="C8:E8"/>
    <mergeCell ref="J8:J9"/>
    <mergeCell ref="F8:I8"/>
    <mergeCell ref="F9:H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1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87"/>
  <sheetViews>
    <sheetView topLeftCell="B1" workbookViewId="0">
      <selection activeCell="C1" sqref="C1:K1"/>
    </sheetView>
  </sheetViews>
  <sheetFormatPr defaultColWidth="9.140625" defaultRowHeight="12" x14ac:dyDescent="0.2"/>
  <cols>
    <col min="1" max="1" width="3.7109375" style="145" hidden="1" customWidth="1"/>
    <col min="2" max="2" width="3.7109375" style="145" customWidth="1"/>
    <col min="3" max="3" width="5.7109375" style="147" customWidth="1"/>
    <col min="4" max="4" width="53" style="143" customWidth="1"/>
    <col min="5" max="5" width="9" style="142" customWidth="1"/>
    <col min="6" max="6" width="9.140625" style="142"/>
    <col min="7" max="7" width="9.7109375" style="142" customWidth="1"/>
    <col min="8" max="16384" width="9.140625" style="13"/>
  </cols>
  <sheetData>
    <row r="1" spans="1:17" x14ac:dyDescent="0.2">
      <c r="C1" s="1917" t="s">
        <v>2067</v>
      </c>
      <c r="D1" s="1917"/>
      <c r="E1" s="1917"/>
      <c r="F1" s="1917"/>
      <c r="G1" s="1917"/>
      <c r="H1" s="1917"/>
      <c r="I1" s="1917"/>
      <c r="J1" s="1917"/>
      <c r="K1" s="1917"/>
    </row>
    <row r="2" spans="1:17" x14ac:dyDescent="0.2">
      <c r="C2" s="284"/>
      <c r="D2" s="284"/>
      <c r="E2" s="284"/>
      <c r="F2" s="284"/>
      <c r="G2" s="284"/>
    </row>
    <row r="3" spans="1:17" ht="13.5" customHeight="1" x14ac:dyDescent="0.2">
      <c r="C3" s="1918" t="s">
        <v>1079</v>
      </c>
      <c r="D3" s="1919"/>
      <c r="E3" s="1919"/>
      <c r="F3" s="1919"/>
      <c r="G3" s="1919"/>
      <c r="H3" s="1919"/>
      <c r="I3" s="1919"/>
      <c r="J3" s="1919"/>
      <c r="K3" s="1919"/>
    </row>
    <row r="4" spans="1:17" ht="13.5" customHeight="1" x14ac:dyDescent="0.2">
      <c r="C4" s="1919" t="s">
        <v>1359</v>
      </c>
      <c r="D4" s="1919"/>
      <c r="E4" s="1919"/>
      <c r="F4" s="1919"/>
      <c r="G4" s="1919"/>
      <c r="H4" s="1919"/>
      <c r="I4" s="1919"/>
      <c r="J4" s="1919"/>
      <c r="K4" s="1919"/>
    </row>
    <row r="5" spans="1:17" x14ac:dyDescent="0.2">
      <c r="C5" s="1920" t="s">
        <v>1112</v>
      </c>
      <c r="D5" s="1920"/>
      <c r="E5" s="1920"/>
      <c r="F5" s="1920"/>
      <c r="G5" s="1920"/>
      <c r="H5" s="1920"/>
      <c r="I5" s="1920"/>
      <c r="J5" s="1920"/>
      <c r="K5" s="1920"/>
    </row>
    <row r="6" spans="1:17" x14ac:dyDescent="0.2">
      <c r="C6" s="141"/>
      <c r="D6" s="141"/>
      <c r="E6" s="141"/>
      <c r="F6" s="285"/>
      <c r="G6" s="285"/>
    </row>
    <row r="7" spans="1:17" ht="12.75" customHeight="1" x14ac:dyDescent="0.2">
      <c r="C7" s="141"/>
      <c r="D7" s="1921" t="s">
        <v>302</v>
      </c>
      <c r="E7" s="1921"/>
      <c r="F7" s="1921"/>
      <c r="G7" s="1921"/>
      <c r="H7" s="1921"/>
      <c r="I7" s="1921"/>
      <c r="J7" s="1921"/>
      <c r="K7" s="1921"/>
    </row>
    <row r="8" spans="1:17" ht="19.149999999999999" customHeight="1" x14ac:dyDescent="0.2">
      <c r="C8" s="1922" t="s">
        <v>76</v>
      </c>
      <c r="D8" s="1923" t="s">
        <v>85</v>
      </c>
      <c r="E8" s="1925" t="s">
        <v>1103</v>
      </c>
      <c r="F8" s="1925"/>
      <c r="G8" s="1925"/>
      <c r="H8" s="1915" t="s">
        <v>1355</v>
      </c>
      <c r="I8" s="1915"/>
      <c r="J8" s="1915"/>
      <c r="K8" s="1916" t="s">
        <v>1357</v>
      </c>
    </row>
    <row r="9" spans="1:17" s="8" customFormat="1" ht="42.75" customHeight="1" x14ac:dyDescent="0.2">
      <c r="A9" s="146"/>
      <c r="B9" s="146"/>
      <c r="C9" s="1922"/>
      <c r="D9" s="1924"/>
      <c r="E9" s="1262" t="s">
        <v>62</v>
      </c>
      <c r="F9" s="1262" t="s">
        <v>63</v>
      </c>
      <c r="G9" s="1262" t="s">
        <v>64</v>
      </c>
      <c r="H9" s="1232" t="s">
        <v>62</v>
      </c>
      <c r="I9" s="1232" t="s">
        <v>63</v>
      </c>
      <c r="J9" s="1232" t="s">
        <v>64</v>
      </c>
      <c r="K9" s="1916"/>
    </row>
    <row r="10" spans="1:17" ht="14.25" customHeight="1" x14ac:dyDescent="0.2">
      <c r="C10" s="1137" t="s">
        <v>478</v>
      </c>
      <c r="D10" s="812" t="s">
        <v>86</v>
      </c>
      <c r="E10" s="1291"/>
      <c r="F10" s="144"/>
      <c r="G10" s="576"/>
      <c r="H10" s="551"/>
      <c r="J10" s="1294"/>
      <c r="K10" s="1295"/>
    </row>
    <row r="11" spans="1:17" ht="28.9" customHeight="1" x14ac:dyDescent="0.2">
      <c r="B11" s="1130"/>
      <c r="C11" s="1138" t="s">
        <v>486</v>
      </c>
      <c r="D11" s="847" t="s">
        <v>453</v>
      </c>
      <c r="E11" s="819"/>
      <c r="F11" s="848"/>
      <c r="G11" s="819"/>
      <c r="H11" s="551"/>
      <c r="J11" s="1292"/>
      <c r="K11" s="1296"/>
    </row>
    <row r="12" spans="1:17" x14ac:dyDescent="0.2">
      <c r="B12" s="1130"/>
      <c r="C12" s="1139" t="s">
        <v>487</v>
      </c>
      <c r="D12" s="813" t="s">
        <v>434</v>
      </c>
      <c r="E12" s="576"/>
      <c r="F12" s="144"/>
      <c r="G12" s="576"/>
      <c r="H12" s="1458"/>
      <c r="I12" s="1459"/>
      <c r="J12" s="1460"/>
      <c r="K12" s="1461"/>
    </row>
    <row r="13" spans="1:17" x14ac:dyDescent="0.2">
      <c r="B13" s="1130"/>
      <c r="C13" s="1139" t="s">
        <v>488</v>
      </c>
      <c r="D13" s="813" t="s">
        <v>1167</v>
      </c>
      <c r="E13" s="576"/>
      <c r="F13" s="144">
        <v>20000</v>
      </c>
      <c r="G13" s="576">
        <f t="shared" ref="G13:G23" si="0">SUM(E13:F13)</f>
        <v>20000</v>
      </c>
      <c r="H13" s="1462"/>
      <c r="I13" s="144">
        <v>18182</v>
      </c>
      <c r="J13" s="1455">
        <f>H13+I13</f>
        <v>18182</v>
      </c>
      <c r="K13" s="576">
        <f>J13/G13*100</f>
        <v>90.91</v>
      </c>
      <c r="N13" s="991"/>
    </row>
    <row r="14" spans="1:17" x14ac:dyDescent="0.2">
      <c r="B14" s="1130"/>
      <c r="C14" s="1139" t="s">
        <v>489</v>
      </c>
      <c r="D14" s="813" t="s">
        <v>1168</v>
      </c>
      <c r="E14" s="576"/>
      <c r="F14" s="144">
        <v>25000</v>
      </c>
      <c r="G14" s="576">
        <f t="shared" si="0"/>
        <v>25000</v>
      </c>
      <c r="H14" s="1462"/>
      <c r="I14" s="144">
        <v>24242</v>
      </c>
      <c r="J14" s="1455">
        <f t="shared" ref="J14:J74" si="1">H14+I14</f>
        <v>24242</v>
      </c>
      <c r="K14" s="576">
        <f t="shared" ref="K14:K75" si="2">J14/G14*100</f>
        <v>96.968000000000004</v>
      </c>
      <c r="P14" s="991"/>
    </row>
    <row r="15" spans="1:17" x14ac:dyDescent="0.2">
      <c r="B15" s="1130"/>
      <c r="C15" s="1139" t="s">
        <v>490</v>
      </c>
      <c r="D15" s="813" t="s">
        <v>1166</v>
      </c>
      <c r="E15" s="576"/>
      <c r="F15" s="144">
        <v>7020</v>
      </c>
      <c r="G15" s="576">
        <f t="shared" si="0"/>
        <v>7020</v>
      </c>
      <c r="H15" s="1462"/>
      <c r="I15" s="144"/>
      <c r="J15" s="1455">
        <f t="shared" si="1"/>
        <v>0</v>
      </c>
      <c r="K15" s="576">
        <f t="shared" si="2"/>
        <v>0</v>
      </c>
      <c r="Q15" s="991"/>
    </row>
    <row r="16" spans="1:17" x14ac:dyDescent="0.2">
      <c r="B16" s="1130"/>
      <c r="C16" s="1139" t="s">
        <v>491</v>
      </c>
      <c r="D16" s="813" t="s">
        <v>435</v>
      </c>
      <c r="E16" s="576">
        <v>4500</v>
      </c>
      <c r="F16" s="144"/>
      <c r="G16" s="576">
        <f t="shared" si="0"/>
        <v>4500</v>
      </c>
      <c r="H16" s="1462">
        <v>4500</v>
      </c>
      <c r="I16" s="144"/>
      <c r="J16" s="1455">
        <f t="shared" si="1"/>
        <v>4500</v>
      </c>
      <c r="K16" s="576">
        <f t="shared" si="2"/>
        <v>100</v>
      </c>
      <c r="L16" s="991"/>
      <c r="Q16" s="991"/>
    </row>
    <row r="17" spans="1:15" x14ac:dyDescent="0.2">
      <c r="B17" s="1130"/>
      <c r="C17" s="1139" t="s">
        <v>492</v>
      </c>
      <c r="D17" s="814" t="s">
        <v>436</v>
      </c>
      <c r="E17" s="576"/>
      <c r="F17" s="144">
        <v>1375</v>
      </c>
      <c r="G17" s="576">
        <f t="shared" si="0"/>
        <v>1375</v>
      </c>
      <c r="H17" s="1462"/>
      <c r="I17" s="144">
        <v>1375</v>
      </c>
      <c r="J17" s="1455">
        <f t="shared" si="1"/>
        <v>1375</v>
      </c>
      <c r="K17" s="576">
        <f t="shared" si="2"/>
        <v>100</v>
      </c>
    </row>
    <row r="18" spans="1:15" ht="13.5" customHeight="1" x14ac:dyDescent="0.2">
      <c r="B18" s="1130"/>
      <c r="C18" s="1139" t="s">
        <v>493</v>
      </c>
      <c r="D18" s="814" t="s">
        <v>466</v>
      </c>
      <c r="E18" s="576">
        <v>1350</v>
      </c>
      <c r="F18" s="576"/>
      <c r="G18" s="576">
        <f t="shared" si="0"/>
        <v>1350</v>
      </c>
      <c r="H18" s="1462">
        <v>1350</v>
      </c>
      <c r="I18" s="144"/>
      <c r="J18" s="1455">
        <f t="shared" si="1"/>
        <v>1350</v>
      </c>
      <c r="K18" s="576">
        <f t="shared" si="2"/>
        <v>100</v>
      </c>
    </row>
    <row r="19" spans="1:15" ht="13.5" customHeight="1" x14ac:dyDescent="0.2">
      <c r="B19" s="1130"/>
      <c r="C19" s="1139" t="s">
        <v>529</v>
      </c>
      <c r="D19" s="863" t="s">
        <v>307</v>
      </c>
      <c r="E19" s="864"/>
      <c r="F19" s="865">
        <v>50</v>
      </c>
      <c r="G19" s="864">
        <f t="shared" si="0"/>
        <v>50</v>
      </c>
      <c r="H19" s="1462"/>
      <c r="I19" s="144"/>
      <c r="J19" s="1455">
        <f t="shared" si="1"/>
        <v>0</v>
      </c>
      <c r="K19" s="576">
        <f t="shared" si="2"/>
        <v>0</v>
      </c>
    </row>
    <row r="20" spans="1:15" ht="13.5" customHeight="1" x14ac:dyDescent="0.2">
      <c r="B20" s="1130"/>
      <c r="C20" s="1139" t="s">
        <v>530</v>
      </c>
      <c r="D20" s="863" t="s">
        <v>1015</v>
      </c>
      <c r="E20" s="864"/>
      <c r="F20" s="865">
        <v>2802</v>
      </c>
      <c r="G20" s="864">
        <f t="shared" si="0"/>
        <v>2802</v>
      </c>
      <c r="H20" s="1462"/>
      <c r="I20" s="144">
        <v>1667</v>
      </c>
      <c r="J20" s="1455">
        <f t="shared" si="1"/>
        <v>1667</v>
      </c>
      <c r="K20" s="576">
        <f t="shared" si="2"/>
        <v>59.493219129193434</v>
      </c>
    </row>
    <row r="21" spans="1:15" ht="13.5" customHeight="1" x14ac:dyDescent="0.2">
      <c r="B21" s="1130"/>
      <c r="C21" s="1139" t="s">
        <v>531</v>
      </c>
      <c r="D21" s="863" t="s">
        <v>1048</v>
      </c>
      <c r="E21" s="864"/>
      <c r="F21" s="865">
        <v>124</v>
      </c>
      <c r="G21" s="864">
        <f t="shared" si="0"/>
        <v>124</v>
      </c>
      <c r="H21" s="1462"/>
      <c r="I21" s="144">
        <v>62</v>
      </c>
      <c r="J21" s="1455">
        <f t="shared" si="1"/>
        <v>62</v>
      </c>
      <c r="K21" s="576">
        <f t="shared" si="2"/>
        <v>50</v>
      </c>
    </row>
    <row r="22" spans="1:15" ht="13.5" customHeight="1" x14ac:dyDescent="0.2">
      <c r="B22" s="1130"/>
      <c r="C22" s="1139" t="s">
        <v>532</v>
      </c>
      <c r="D22" s="863" t="s">
        <v>1258</v>
      </c>
      <c r="E22" s="864"/>
      <c r="F22" s="865">
        <v>1778</v>
      </c>
      <c r="G22" s="864">
        <f t="shared" si="0"/>
        <v>1778</v>
      </c>
      <c r="H22" s="815"/>
      <c r="I22" s="144">
        <v>1777</v>
      </c>
      <c r="J22" s="1455">
        <f t="shared" si="1"/>
        <v>1777</v>
      </c>
      <c r="K22" s="576">
        <f t="shared" si="2"/>
        <v>99.943757030371202</v>
      </c>
    </row>
    <row r="23" spans="1:15" ht="13.5" customHeight="1" thickBot="1" x14ac:dyDescent="0.25">
      <c r="B23" s="1130"/>
      <c r="C23" s="1139" t="s">
        <v>533</v>
      </c>
      <c r="D23" s="863" t="s">
        <v>1319</v>
      </c>
      <c r="E23" s="864">
        <v>3913</v>
      </c>
      <c r="F23" s="865"/>
      <c r="G23" s="1135">
        <f t="shared" si="0"/>
        <v>3913</v>
      </c>
      <c r="H23" s="1488">
        <v>3912</v>
      </c>
      <c r="I23" s="1463"/>
      <c r="J23" s="1464">
        <f t="shared" si="1"/>
        <v>3912</v>
      </c>
      <c r="K23" s="1465">
        <f t="shared" si="2"/>
        <v>99.974444160490677</v>
      </c>
      <c r="O23" s="1293"/>
    </row>
    <row r="24" spans="1:15" ht="15" customHeight="1" thickBot="1" x14ac:dyDescent="0.25">
      <c r="B24" s="1132"/>
      <c r="C24" s="1140" t="s">
        <v>534</v>
      </c>
      <c r="D24" s="992" t="s">
        <v>454</v>
      </c>
      <c r="E24" s="821">
        <f>SUM(E13:E23)</f>
        <v>9763</v>
      </c>
      <c r="F24" s="821">
        <f t="shared" ref="F24:I24" si="3">SUM(F13:F23)</f>
        <v>58149</v>
      </c>
      <c r="G24" s="821">
        <f t="shared" si="3"/>
        <v>67912</v>
      </c>
      <c r="H24" s="1298">
        <f t="shared" si="3"/>
        <v>9762</v>
      </c>
      <c r="I24" s="1299">
        <f t="shared" si="3"/>
        <v>47305</v>
      </c>
      <c r="J24" s="1457">
        <f t="shared" si="1"/>
        <v>57067</v>
      </c>
      <c r="K24" s="821">
        <f t="shared" si="2"/>
        <v>84.030804570620802</v>
      </c>
    </row>
    <row r="25" spans="1:15" ht="15" customHeight="1" x14ac:dyDescent="0.2">
      <c r="B25" s="1130"/>
      <c r="C25" s="1139" t="s">
        <v>535</v>
      </c>
      <c r="D25" s="817"/>
      <c r="E25" s="1077"/>
      <c r="F25" s="1078"/>
      <c r="G25" s="1136"/>
      <c r="H25" s="815"/>
      <c r="I25" s="144"/>
      <c r="J25" s="1455"/>
      <c r="K25" s="576"/>
    </row>
    <row r="26" spans="1:15" x14ac:dyDescent="0.2">
      <c r="B26" s="1130"/>
      <c r="C26" s="1139" t="s">
        <v>536</v>
      </c>
      <c r="D26" s="817" t="s">
        <v>455</v>
      </c>
      <c r="E26" s="576"/>
      <c r="F26" s="815"/>
      <c r="G26" s="576"/>
      <c r="H26" s="815"/>
      <c r="I26" s="144"/>
      <c r="J26" s="1455"/>
      <c r="K26" s="576"/>
    </row>
    <row r="27" spans="1:15" s="8" customFormat="1" ht="15.6" customHeight="1" x14ac:dyDescent="0.2">
      <c r="A27" s="146"/>
      <c r="B27" s="1131"/>
      <c r="C27" s="1139" t="s">
        <v>538</v>
      </c>
      <c r="D27" s="818" t="s">
        <v>467</v>
      </c>
      <c r="E27" s="576">
        <v>128258</v>
      </c>
      <c r="F27" s="815"/>
      <c r="G27" s="576">
        <f>E27</f>
        <v>128258</v>
      </c>
      <c r="H27" s="1462">
        <v>128258</v>
      </c>
      <c r="I27" s="144"/>
      <c r="J27" s="1455">
        <f t="shared" si="1"/>
        <v>128258</v>
      </c>
      <c r="K27" s="576">
        <f t="shared" si="2"/>
        <v>100</v>
      </c>
    </row>
    <row r="28" spans="1:15" s="8" customFormat="1" ht="12" customHeight="1" x14ac:dyDescent="0.2">
      <c r="A28" s="146"/>
      <c r="B28" s="1131"/>
      <c r="C28" s="1139" t="s">
        <v>539</v>
      </c>
      <c r="D28" s="818" t="s">
        <v>311</v>
      </c>
      <c r="E28" s="576">
        <v>11554</v>
      </c>
      <c r="F28" s="815"/>
      <c r="G28" s="576">
        <f t="shared" ref="G28:G34" si="4">SUM(E28:F28)</f>
        <v>11554</v>
      </c>
      <c r="H28" s="1462">
        <v>11553</v>
      </c>
      <c r="I28" s="144"/>
      <c r="J28" s="1455">
        <f t="shared" si="1"/>
        <v>11553</v>
      </c>
      <c r="K28" s="576">
        <f t="shared" si="2"/>
        <v>99.991344988748494</v>
      </c>
    </row>
    <row r="29" spans="1:15" s="8" customFormat="1" ht="12" customHeight="1" x14ac:dyDescent="0.2">
      <c r="A29" s="146"/>
      <c r="B29" s="1131"/>
      <c r="C29" s="1139" t="s">
        <v>540</v>
      </c>
      <c r="D29" s="818" t="s">
        <v>946</v>
      </c>
      <c r="E29" s="576">
        <v>0</v>
      </c>
      <c r="F29" s="815"/>
      <c r="G29" s="576">
        <f t="shared" si="4"/>
        <v>0</v>
      </c>
      <c r="H29" s="1462"/>
      <c r="I29" s="144"/>
      <c r="J29" s="1455">
        <f t="shared" si="1"/>
        <v>0</v>
      </c>
      <c r="K29" s="576"/>
    </row>
    <row r="30" spans="1:15" s="8" customFormat="1" ht="12" customHeight="1" x14ac:dyDescent="0.2">
      <c r="A30" s="146"/>
      <c r="B30" s="1131"/>
      <c r="C30" s="1139"/>
      <c r="D30" s="818" t="s">
        <v>1325</v>
      </c>
      <c r="E30" s="576">
        <v>44</v>
      </c>
      <c r="F30" s="815"/>
      <c r="G30" s="576">
        <f t="shared" si="4"/>
        <v>44</v>
      </c>
      <c r="H30" s="1490">
        <v>44</v>
      </c>
      <c r="I30" s="144"/>
      <c r="J30" s="1455">
        <f t="shared" si="1"/>
        <v>44</v>
      </c>
      <c r="K30" s="576">
        <f t="shared" si="2"/>
        <v>100</v>
      </c>
    </row>
    <row r="31" spans="1:15" s="8" customFormat="1" x14ac:dyDescent="0.2">
      <c r="A31" s="146"/>
      <c r="B31" s="1131"/>
      <c r="C31" s="1139" t="s">
        <v>541</v>
      </c>
      <c r="D31" s="816" t="s">
        <v>1026</v>
      </c>
      <c r="E31" s="576"/>
      <c r="F31" s="815">
        <v>19500</v>
      </c>
      <c r="G31" s="576">
        <f t="shared" si="4"/>
        <v>19500</v>
      </c>
      <c r="H31" s="1462"/>
      <c r="I31" s="144">
        <v>19500</v>
      </c>
      <c r="J31" s="1455">
        <f t="shared" si="1"/>
        <v>19500</v>
      </c>
      <c r="K31" s="576">
        <f t="shared" si="2"/>
        <v>100</v>
      </c>
    </row>
    <row r="32" spans="1:15" s="8" customFormat="1" x14ac:dyDescent="0.2">
      <c r="A32" s="146"/>
      <c r="B32" s="1131"/>
      <c r="C32" s="1139" t="s">
        <v>542</v>
      </c>
      <c r="D32" s="816" t="s">
        <v>309</v>
      </c>
      <c r="E32" s="576"/>
      <c r="F32" s="815">
        <v>65000</v>
      </c>
      <c r="G32" s="576">
        <f t="shared" si="4"/>
        <v>65000</v>
      </c>
      <c r="H32" s="1462"/>
      <c r="I32" s="144">
        <v>65000</v>
      </c>
      <c r="J32" s="1455">
        <f t="shared" si="1"/>
        <v>65000</v>
      </c>
      <c r="K32" s="576">
        <f t="shared" si="2"/>
        <v>100</v>
      </c>
    </row>
    <row r="33" spans="1:11" s="8" customFormat="1" x14ac:dyDescent="0.2">
      <c r="A33" s="146"/>
      <c r="B33" s="1131"/>
      <c r="C33" s="1139" t="s">
        <v>543</v>
      </c>
      <c r="D33" s="816" t="s">
        <v>1022</v>
      </c>
      <c r="E33" s="576"/>
      <c r="F33" s="815">
        <v>5000</v>
      </c>
      <c r="G33" s="576">
        <f t="shared" si="4"/>
        <v>5000</v>
      </c>
      <c r="H33" s="1462"/>
      <c r="I33" s="144">
        <v>5000</v>
      </c>
      <c r="J33" s="1455">
        <f t="shared" si="1"/>
        <v>5000</v>
      </c>
      <c r="K33" s="576">
        <f t="shared" si="2"/>
        <v>100</v>
      </c>
    </row>
    <row r="34" spans="1:11" s="8" customFormat="1" x14ac:dyDescent="0.2">
      <c r="A34" s="146"/>
      <c r="B34" s="1131"/>
      <c r="C34" s="1139" t="s">
        <v>544</v>
      </c>
      <c r="D34" s="816" t="s">
        <v>1205</v>
      </c>
      <c r="E34" s="576"/>
      <c r="F34" s="815">
        <v>50000</v>
      </c>
      <c r="G34" s="576">
        <f t="shared" si="4"/>
        <v>50000</v>
      </c>
      <c r="H34" s="1462"/>
      <c r="I34" s="144">
        <v>50000</v>
      </c>
      <c r="J34" s="1455">
        <f t="shared" si="1"/>
        <v>50000</v>
      </c>
      <c r="K34" s="576">
        <f t="shared" si="2"/>
        <v>100</v>
      </c>
    </row>
    <row r="35" spans="1:11" s="8" customFormat="1" x14ac:dyDescent="0.2">
      <c r="A35" s="146"/>
      <c r="B35" s="1131"/>
      <c r="C35" s="1141" t="s">
        <v>545</v>
      </c>
      <c r="D35" s="751" t="s">
        <v>180</v>
      </c>
      <c r="E35" s="819"/>
      <c r="F35" s="820">
        <v>2000</v>
      </c>
      <c r="G35" s="819">
        <f>E35+F35</f>
        <v>2000</v>
      </c>
      <c r="H35" s="1462"/>
      <c r="I35" s="144">
        <v>2000</v>
      </c>
      <c r="J35" s="1455">
        <f t="shared" si="1"/>
        <v>2000</v>
      </c>
      <c r="K35" s="576">
        <f t="shared" si="2"/>
        <v>100</v>
      </c>
    </row>
    <row r="36" spans="1:11" s="8" customFormat="1" x14ac:dyDescent="0.2">
      <c r="A36" s="146"/>
      <c r="B36" s="1131"/>
      <c r="C36" s="1141" t="s">
        <v>563</v>
      </c>
      <c r="D36" s="751" t="s">
        <v>310</v>
      </c>
      <c r="E36" s="819"/>
      <c r="F36" s="820">
        <v>3500</v>
      </c>
      <c r="G36" s="819">
        <f>E36+F36</f>
        <v>3500</v>
      </c>
      <c r="H36" s="1462"/>
      <c r="I36" s="144">
        <v>3500</v>
      </c>
      <c r="J36" s="1455">
        <f t="shared" si="1"/>
        <v>3500</v>
      </c>
      <c r="K36" s="576">
        <f t="shared" si="2"/>
        <v>100</v>
      </c>
    </row>
    <row r="37" spans="1:11" s="8" customFormat="1" x14ac:dyDescent="0.2">
      <c r="A37" s="146"/>
      <c r="B37" s="1131"/>
      <c r="C37" s="1141" t="s">
        <v>564</v>
      </c>
      <c r="D37" s="751" t="s">
        <v>312</v>
      </c>
      <c r="E37" s="819"/>
      <c r="F37" s="820">
        <v>500</v>
      </c>
      <c r="G37" s="819">
        <f>E37+F37</f>
        <v>500</v>
      </c>
      <c r="H37" s="1462"/>
      <c r="I37" s="144">
        <v>500</v>
      </c>
      <c r="J37" s="1455">
        <f t="shared" si="1"/>
        <v>500</v>
      </c>
      <c r="K37" s="576">
        <f t="shared" si="2"/>
        <v>100</v>
      </c>
    </row>
    <row r="38" spans="1:11" s="8" customFormat="1" x14ac:dyDescent="0.2">
      <c r="A38" s="146"/>
      <c r="B38" s="1131"/>
      <c r="C38" s="1141" t="s">
        <v>565</v>
      </c>
      <c r="D38" s="816" t="s">
        <v>313</v>
      </c>
      <c r="E38" s="819"/>
      <c r="F38" s="820">
        <v>1000</v>
      </c>
      <c r="G38" s="819">
        <f>F38</f>
        <v>1000</v>
      </c>
      <c r="H38" s="1462"/>
      <c r="I38" s="144">
        <v>1000</v>
      </c>
      <c r="J38" s="1455">
        <f t="shared" si="1"/>
        <v>1000</v>
      </c>
      <c r="K38" s="576">
        <f t="shared" si="2"/>
        <v>100</v>
      </c>
    </row>
    <row r="39" spans="1:11" s="8" customFormat="1" x14ac:dyDescent="0.2">
      <c r="A39" s="146"/>
      <c r="B39" s="1131"/>
      <c r="C39" s="1141" t="s">
        <v>566</v>
      </c>
      <c r="D39" s="816" t="s">
        <v>1254</v>
      </c>
      <c r="E39" s="819"/>
      <c r="F39" s="820">
        <v>1700</v>
      </c>
      <c r="G39" s="819">
        <f>SUM(E39:F39)</f>
        <v>1700</v>
      </c>
      <c r="H39" s="1462"/>
      <c r="I39" s="144">
        <v>1700</v>
      </c>
      <c r="J39" s="1455">
        <f t="shared" si="1"/>
        <v>1700</v>
      </c>
      <c r="K39" s="576">
        <f t="shared" si="2"/>
        <v>100</v>
      </c>
    </row>
    <row r="40" spans="1:11" s="8" customFormat="1" x14ac:dyDescent="0.2">
      <c r="A40" s="146"/>
      <c r="B40" s="1131"/>
      <c r="C40" s="1141" t="s">
        <v>567</v>
      </c>
      <c r="D40" s="816" t="s">
        <v>169</v>
      </c>
      <c r="E40" s="819"/>
      <c r="F40" s="820">
        <v>300</v>
      </c>
      <c r="G40" s="819">
        <f t="shared" ref="G40:G66" si="5">E40+F40</f>
        <v>300</v>
      </c>
      <c r="H40" s="1462"/>
      <c r="I40" s="144">
        <v>300</v>
      </c>
      <c r="J40" s="1455">
        <f t="shared" si="1"/>
        <v>300</v>
      </c>
      <c r="K40" s="576">
        <f t="shared" si="2"/>
        <v>100</v>
      </c>
    </row>
    <row r="41" spans="1:11" s="8" customFormat="1" x14ac:dyDescent="0.2">
      <c r="A41" s="146"/>
      <c r="B41" s="1131"/>
      <c r="C41" s="1141" t="s">
        <v>568</v>
      </c>
      <c r="D41" s="816" t="s">
        <v>170</v>
      </c>
      <c r="E41" s="819"/>
      <c r="F41" s="820">
        <v>2000</v>
      </c>
      <c r="G41" s="819">
        <f t="shared" si="5"/>
        <v>2000</v>
      </c>
      <c r="H41" s="1462"/>
      <c r="I41" s="144">
        <v>2000</v>
      </c>
      <c r="J41" s="1455">
        <f t="shared" si="1"/>
        <v>2000</v>
      </c>
      <c r="K41" s="576">
        <f t="shared" si="2"/>
        <v>100</v>
      </c>
    </row>
    <row r="42" spans="1:11" s="8" customFormat="1" x14ac:dyDescent="0.2">
      <c r="A42" s="146"/>
      <c r="B42" s="1131"/>
      <c r="C42" s="1141" t="s">
        <v>569</v>
      </c>
      <c r="D42" s="816" t="s">
        <v>286</v>
      </c>
      <c r="E42" s="819"/>
      <c r="F42" s="820">
        <v>1000</v>
      </c>
      <c r="G42" s="819">
        <f t="shared" si="5"/>
        <v>1000</v>
      </c>
      <c r="H42" s="1462"/>
      <c r="I42" s="144">
        <v>1000</v>
      </c>
      <c r="J42" s="1455">
        <f t="shared" si="1"/>
        <v>1000</v>
      </c>
      <c r="K42" s="576">
        <f t="shared" si="2"/>
        <v>100</v>
      </c>
    </row>
    <row r="43" spans="1:11" s="8" customFormat="1" x14ac:dyDescent="0.2">
      <c r="A43" s="146"/>
      <c r="B43" s="1131"/>
      <c r="C43" s="1141" t="s">
        <v>570</v>
      </c>
      <c r="D43" s="816" t="s">
        <v>287</v>
      </c>
      <c r="E43" s="819"/>
      <c r="F43" s="820">
        <v>2000</v>
      </c>
      <c r="G43" s="819">
        <f t="shared" si="5"/>
        <v>2000</v>
      </c>
      <c r="H43" s="1462"/>
      <c r="I43" s="144"/>
      <c r="J43" s="1455">
        <f t="shared" si="1"/>
        <v>0</v>
      </c>
      <c r="K43" s="576">
        <f t="shared" si="2"/>
        <v>0</v>
      </c>
    </row>
    <row r="44" spans="1:11" s="8" customFormat="1" x14ac:dyDescent="0.2">
      <c r="A44" s="146"/>
      <c r="B44" s="1131"/>
      <c r="C44" s="1141" t="s">
        <v>571</v>
      </c>
      <c r="D44" s="816" t="s">
        <v>915</v>
      </c>
      <c r="E44" s="819"/>
      <c r="F44" s="1103">
        <v>500</v>
      </c>
      <c r="G44" s="819">
        <v>500</v>
      </c>
      <c r="H44" s="1462"/>
      <c r="I44" s="144">
        <v>500</v>
      </c>
      <c r="J44" s="1455">
        <f t="shared" si="1"/>
        <v>500</v>
      </c>
      <c r="K44" s="576">
        <f t="shared" si="2"/>
        <v>100</v>
      </c>
    </row>
    <row r="45" spans="1:11" s="8" customFormat="1" x14ac:dyDescent="0.2">
      <c r="A45" s="146"/>
      <c r="B45" s="1131"/>
      <c r="C45" s="1141" t="s">
        <v>622</v>
      </c>
      <c r="D45" s="816" t="s">
        <v>916</v>
      </c>
      <c r="E45" s="819"/>
      <c r="F45" s="820">
        <v>300</v>
      </c>
      <c r="G45" s="819">
        <f t="shared" si="5"/>
        <v>300</v>
      </c>
      <c r="H45" s="1462"/>
      <c r="I45" s="144">
        <v>300</v>
      </c>
      <c r="J45" s="1455">
        <f t="shared" si="1"/>
        <v>300</v>
      </c>
      <c r="K45" s="576">
        <f t="shared" si="2"/>
        <v>100</v>
      </c>
    </row>
    <row r="46" spans="1:11" s="8" customFormat="1" x14ac:dyDescent="0.2">
      <c r="A46" s="146"/>
      <c r="B46" s="1131"/>
      <c r="C46" s="1141" t="s">
        <v>623</v>
      </c>
      <c r="D46" s="816" t="s">
        <v>943</v>
      </c>
      <c r="E46" s="819"/>
      <c r="F46" s="820">
        <v>50</v>
      </c>
      <c r="G46" s="819">
        <f t="shared" si="5"/>
        <v>50</v>
      </c>
      <c r="H46" s="1462"/>
      <c r="I46" s="144">
        <v>50</v>
      </c>
      <c r="J46" s="1455">
        <f t="shared" si="1"/>
        <v>50</v>
      </c>
      <c r="K46" s="576">
        <f t="shared" si="2"/>
        <v>100</v>
      </c>
    </row>
    <row r="47" spans="1:11" s="8" customFormat="1" ht="12.75" customHeight="1" x14ac:dyDescent="0.2">
      <c r="A47" s="146"/>
      <c r="B47" s="1131"/>
      <c r="C47" s="1141" t="s">
        <v>624</v>
      </c>
      <c r="D47" s="816" t="s">
        <v>1025</v>
      </c>
      <c r="E47" s="819"/>
      <c r="F47" s="820">
        <v>900</v>
      </c>
      <c r="G47" s="819">
        <f t="shared" si="5"/>
        <v>900</v>
      </c>
      <c r="H47" s="1462"/>
      <c r="I47" s="144">
        <v>900</v>
      </c>
      <c r="J47" s="1455">
        <f t="shared" si="1"/>
        <v>900</v>
      </c>
      <c r="K47" s="576">
        <f t="shared" si="2"/>
        <v>100</v>
      </c>
    </row>
    <row r="48" spans="1:11" s="8" customFormat="1" x14ac:dyDescent="0.2">
      <c r="A48" s="146"/>
      <c r="B48" s="1131"/>
      <c r="C48" s="1141" t="s">
        <v>625</v>
      </c>
      <c r="D48" s="816" t="s">
        <v>944</v>
      </c>
      <c r="E48" s="819"/>
      <c r="F48" s="820">
        <v>100</v>
      </c>
      <c r="G48" s="819">
        <f t="shared" si="5"/>
        <v>100</v>
      </c>
      <c r="H48" s="1462"/>
      <c r="I48" s="144"/>
      <c r="J48" s="1455">
        <f t="shared" si="1"/>
        <v>0</v>
      </c>
      <c r="K48" s="576">
        <f t="shared" si="2"/>
        <v>0</v>
      </c>
    </row>
    <row r="49" spans="1:15" s="8" customFormat="1" x14ac:dyDescent="0.2">
      <c r="A49" s="146"/>
      <c r="B49" s="1131"/>
      <c r="C49" s="1141" t="s">
        <v>115</v>
      </c>
      <c r="D49" s="866" t="s">
        <v>945</v>
      </c>
      <c r="E49" s="867"/>
      <c r="F49" s="868">
        <v>75</v>
      </c>
      <c r="G49" s="867">
        <f t="shared" si="5"/>
        <v>75</v>
      </c>
      <c r="H49" s="1462"/>
      <c r="I49" s="144">
        <v>75</v>
      </c>
      <c r="J49" s="1455">
        <f t="shared" si="1"/>
        <v>75</v>
      </c>
      <c r="K49" s="576">
        <f t="shared" si="2"/>
        <v>100</v>
      </c>
    </row>
    <row r="50" spans="1:15" s="8" customFormat="1" x14ac:dyDescent="0.2">
      <c r="A50" s="146"/>
      <c r="B50" s="1131"/>
      <c r="C50" s="1141" t="s">
        <v>650</v>
      </c>
      <c r="D50" s="866" t="s">
        <v>1206</v>
      </c>
      <c r="E50" s="867"/>
      <c r="F50" s="868">
        <v>0</v>
      </c>
      <c r="G50" s="867">
        <v>0</v>
      </c>
      <c r="H50" s="1462"/>
      <c r="I50" s="144"/>
      <c r="J50" s="1455">
        <f t="shared" si="1"/>
        <v>0</v>
      </c>
      <c r="K50" s="576"/>
    </row>
    <row r="51" spans="1:15" s="8" customFormat="1" x14ac:dyDescent="0.2">
      <c r="A51" s="146"/>
      <c r="B51" s="1131"/>
      <c r="C51" s="1141" t="s">
        <v>651</v>
      </c>
      <c r="D51" s="866" t="s">
        <v>1023</v>
      </c>
      <c r="E51" s="867"/>
      <c r="F51" s="868">
        <v>50</v>
      </c>
      <c r="G51" s="867">
        <f t="shared" si="5"/>
        <v>50</v>
      </c>
      <c r="H51" s="1462"/>
      <c r="I51" s="144">
        <v>50</v>
      </c>
      <c r="J51" s="1455">
        <f t="shared" si="1"/>
        <v>50</v>
      </c>
      <c r="K51" s="576">
        <f t="shared" si="2"/>
        <v>100</v>
      </c>
    </row>
    <row r="52" spans="1:15" s="8" customFormat="1" ht="24" x14ac:dyDescent="0.2">
      <c r="A52" s="146"/>
      <c r="B52" s="1131"/>
      <c r="C52" s="1138" t="s">
        <v>118</v>
      </c>
      <c r="D52" s="1015" t="s">
        <v>1024</v>
      </c>
      <c r="E52" s="867"/>
      <c r="F52" s="868">
        <v>150</v>
      </c>
      <c r="G52" s="867">
        <f t="shared" si="5"/>
        <v>150</v>
      </c>
      <c r="H52" s="1466"/>
      <c r="I52" s="848"/>
      <c r="J52" s="1467">
        <f t="shared" si="1"/>
        <v>0</v>
      </c>
      <c r="K52" s="819">
        <f t="shared" si="2"/>
        <v>0</v>
      </c>
    </row>
    <row r="53" spans="1:15" s="8" customFormat="1" x14ac:dyDescent="0.2">
      <c r="A53" s="146"/>
      <c r="B53" s="1131"/>
      <c r="C53" s="1141" t="s">
        <v>119</v>
      </c>
      <c r="D53" s="866" t="s">
        <v>1031</v>
      </c>
      <c r="E53" s="867"/>
      <c r="F53" s="868">
        <v>127</v>
      </c>
      <c r="G53" s="867">
        <f t="shared" si="5"/>
        <v>127</v>
      </c>
      <c r="H53" s="1462"/>
      <c r="I53" s="144"/>
      <c r="J53" s="1455">
        <f t="shared" si="1"/>
        <v>0</v>
      </c>
      <c r="K53" s="576">
        <f t="shared" si="2"/>
        <v>0</v>
      </c>
    </row>
    <row r="54" spans="1:15" s="8" customFormat="1" ht="25.5" customHeight="1" x14ac:dyDescent="0.2">
      <c r="A54" s="146"/>
      <c r="B54" s="1131"/>
      <c r="C54" s="1138" t="s">
        <v>120</v>
      </c>
      <c r="D54" s="1015" t="s">
        <v>1093</v>
      </c>
      <c r="E54" s="867"/>
      <c r="F54" s="868"/>
      <c r="G54" s="867">
        <f t="shared" si="5"/>
        <v>0</v>
      </c>
      <c r="H54" s="1462"/>
      <c r="I54" s="144"/>
      <c r="J54" s="1455">
        <f t="shared" si="1"/>
        <v>0</v>
      </c>
      <c r="K54" s="576"/>
    </row>
    <row r="55" spans="1:15" s="8" customFormat="1" ht="12.75" customHeight="1" x14ac:dyDescent="0.2">
      <c r="A55" s="146"/>
      <c r="B55" s="1131"/>
      <c r="C55" s="1141" t="s">
        <v>123</v>
      </c>
      <c r="D55" s="866" t="s">
        <v>1090</v>
      </c>
      <c r="E55" s="867"/>
      <c r="F55" s="868"/>
      <c r="G55" s="867">
        <f t="shared" si="5"/>
        <v>0</v>
      </c>
      <c r="H55" s="1462"/>
      <c r="I55" s="144"/>
      <c r="J55" s="1455">
        <f t="shared" si="1"/>
        <v>0</v>
      </c>
      <c r="K55" s="576"/>
    </row>
    <row r="56" spans="1:15" s="8" customFormat="1" ht="25.5" customHeight="1" x14ac:dyDescent="0.2">
      <c r="A56" s="146"/>
      <c r="B56" s="1131"/>
      <c r="C56" s="1138" t="s">
        <v>126</v>
      </c>
      <c r="D56" s="1015" t="s">
        <v>1092</v>
      </c>
      <c r="E56" s="867"/>
      <c r="F56" s="868"/>
      <c r="G56" s="867">
        <f t="shared" si="5"/>
        <v>0</v>
      </c>
      <c r="H56" s="1466"/>
      <c r="I56" s="848"/>
      <c r="J56" s="1467">
        <f t="shared" si="1"/>
        <v>0</v>
      </c>
      <c r="K56" s="819"/>
    </row>
    <row r="57" spans="1:15" s="8" customFormat="1" ht="12.75" customHeight="1" x14ac:dyDescent="0.2">
      <c r="A57" s="146"/>
      <c r="B57" s="1131"/>
      <c r="C57" s="1141" t="s">
        <v>127</v>
      </c>
      <c r="D57" s="866" t="s">
        <v>1091</v>
      </c>
      <c r="E57" s="867"/>
      <c r="F57" s="868"/>
      <c r="G57" s="867">
        <f t="shared" si="5"/>
        <v>0</v>
      </c>
      <c r="H57" s="1462"/>
      <c r="I57" s="144"/>
      <c r="J57" s="1455">
        <f t="shared" si="1"/>
        <v>0</v>
      </c>
      <c r="K57" s="576"/>
    </row>
    <row r="58" spans="1:15" s="8" customFormat="1" ht="27" customHeight="1" x14ac:dyDescent="0.2">
      <c r="A58" s="146"/>
      <c r="B58" s="1131"/>
      <c r="C58" s="1141" t="s">
        <v>128</v>
      </c>
      <c r="D58" s="866" t="s">
        <v>1191</v>
      </c>
      <c r="E58" s="867"/>
      <c r="F58" s="868">
        <v>16674</v>
      </c>
      <c r="G58" s="867">
        <f t="shared" si="5"/>
        <v>16674</v>
      </c>
      <c r="H58" s="1462"/>
      <c r="I58" s="144">
        <v>16674</v>
      </c>
      <c r="J58" s="1455">
        <f t="shared" si="1"/>
        <v>16674</v>
      </c>
      <c r="K58" s="576">
        <f t="shared" si="2"/>
        <v>100</v>
      </c>
    </row>
    <row r="59" spans="1:15" s="8" customFormat="1" ht="15" customHeight="1" x14ac:dyDescent="0.2">
      <c r="A59" s="146"/>
      <c r="B59" s="1131"/>
      <c r="C59" s="1141" t="s">
        <v>129</v>
      </c>
      <c r="D59" s="866" t="s">
        <v>1240</v>
      </c>
      <c r="E59" s="867"/>
      <c r="F59" s="868">
        <v>1000</v>
      </c>
      <c r="G59" s="867">
        <f t="shared" si="5"/>
        <v>1000</v>
      </c>
      <c r="H59" s="1462"/>
      <c r="I59" s="144">
        <v>1000</v>
      </c>
      <c r="J59" s="1455">
        <f t="shared" si="1"/>
        <v>1000</v>
      </c>
      <c r="K59" s="576">
        <f t="shared" si="2"/>
        <v>100</v>
      </c>
    </row>
    <row r="60" spans="1:15" s="8" customFormat="1" ht="15" customHeight="1" x14ac:dyDescent="0.2">
      <c r="A60" s="146"/>
      <c r="B60" s="1131"/>
      <c r="C60" s="1141" t="s">
        <v>132</v>
      </c>
      <c r="D60" s="866" t="s">
        <v>1241</v>
      </c>
      <c r="E60" s="867"/>
      <c r="F60" s="868">
        <v>525</v>
      </c>
      <c r="G60" s="867">
        <f t="shared" si="5"/>
        <v>525</v>
      </c>
      <c r="H60" s="1462"/>
      <c r="I60" s="144">
        <v>525</v>
      </c>
      <c r="J60" s="1455">
        <f t="shared" si="1"/>
        <v>525</v>
      </c>
      <c r="K60" s="576">
        <f t="shared" si="2"/>
        <v>100</v>
      </c>
    </row>
    <row r="61" spans="1:15" s="8" customFormat="1" ht="15" customHeight="1" x14ac:dyDescent="0.2">
      <c r="A61" s="146"/>
      <c r="B61" s="1131"/>
      <c r="C61" s="1141" t="s">
        <v>135</v>
      </c>
      <c r="D61" s="866" t="s">
        <v>1259</v>
      </c>
      <c r="E61" s="867"/>
      <c r="F61" s="868">
        <v>400</v>
      </c>
      <c r="G61" s="867">
        <f t="shared" si="5"/>
        <v>400</v>
      </c>
      <c r="H61" s="1462"/>
      <c r="I61" s="144">
        <v>400</v>
      </c>
      <c r="J61" s="1455">
        <f t="shared" si="1"/>
        <v>400</v>
      </c>
      <c r="K61" s="576">
        <f t="shared" si="2"/>
        <v>100</v>
      </c>
      <c r="O61" s="781"/>
    </row>
    <row r="62" spans="1:15" s="8" customFormat="1" ht="15" customHeight="1" x14ac:dyDescent="0.2">
      <c r="A62" s="146"/>
      <c r="B62" s="1131"/>
      <c r="C62" s="1141" t="s">
        <v>138</v>
      </c>
      <c r="D62" s="866" t="s">
        <v>1260</v>
      </c>
      <c r="E62" s="867"/>
      <c r="F62" s="868">
        <v>50</v>
      </c>
      <c r="G62" s="867">
        <f t="shared" si="5"/>
        <v>50</v>
      </c>
      <c r="H62" s="1462"/>
      <c r="I62" s="144">
        <v>50</v>
      </c>
      <c r="J62" s="1455">
        <f t="shared" si="1"/>
        <v>50</v>
      </c>
      <c r="K62" s="576">
        <f t="shared" si="2"/>
        <v>100</v>
      </c>
    </row>
    <row r="63" spans="1:15" s="8" customFormat="1" ht="15" customHeight="1" x14ac:dyDescent="0.2">
      <c r="A63" s="146"/>
      <c r="B63" s="1131"/>
      <c r="C63" s="1141" t="s">
        <v>139</v>
      </c>
      <c r="D63" s="866" t="s">
        <v>1326</v>
      </c>
      <c r="E63" s="867">
        <v>9951</v>
      </c>
      <c r="F63" s="868"/>
      <c r="G63" s="867">
        <f t="shared" si="5"/>
        <v>9951</v>
      </c>
      <c r="H63" s="1490">
        <v>9951</v>
      </c>
      <c r="I63" s="144"/>
      <c r="J63" s="1455">
        <f t="shared" si="1"/>
        <v>9951</v>
      </c>
      <c r="K63" s="576">
        <f t="shared" si="2"/>
        <v>100</v>
      </c>
    </row>
    <row r="64" spans="1:15" s="8" customFormat="1" ht="15" customHeight="1" x14ac:dyDescent="0.2">
      <c r="A64" s="146"/>
      <c r="B64" s="1131"/>
      <c r="C64" s="1141" t="s">
        <v>142</v>
      </c>
      <c r="D64" s="866" t="s">
        <v>1327</v>
      </c>
      <c r="E64" s="867">
        <v>9273</v>
      </c>
      <c r="F64" s="868"/>
      <c r="G64" s="867">
        <f t="shared" si="5"/>
        <v>9273</v>
      </c>
      <c r="H64" s="1490">
        <v>9273</v>
      </c>
      <c r="I64" s="144"/>
      <c r="J64" s="1455">
        <f t="shared" si="1"/>
        <v>9273</v>
      </c>
      <c r="K64" s="576">
        <f t="shared" si="2"/>
        <v>100</v>
      </c>
    </row>
    <row r="65" spans="1:17" s="8" customFormat="1" ht="28.5" customHeight="1" x14ac:dyDescent="0.2">
      <c r="A65" s="146"/>
      <c r="B65" s="1131"/>
      <c r="C65" s="1138" t="s">
        <v>143</v>
      </c>
      <c r="D65" s="866" t="s">
        <v>1329</v>
      </c>
      <c r="E65" s="867"/>
      <c r="F65" s="868">
        <v>50</v>
      </c>
      <c r="G65" s="867">
        <f t="shared" si="5"/>
        <v>50</v>
      </c>
      <c r="H65" s="1466"/>
      <c r="I65" s="848">
        <v>50</v>
      </c>
      <c r="J65" s="1467">
        <f t="shared" si="1"/>
        <v>50</v>
      </c>
      <c r="K65" s="819">
        <f t="shared" si="2"/>
        <v>100</v>
      </c>
      <c r="P65" s="781"/>
    </row>
    <row r="66" spans="1:17" s="8" customFormat="1" ht="26.25" customHeight="1" x14ac:dyDescent="0.2">
      <c r="A66" s="146"/>
      <c r="B66" s="1131"/>
      <c r="C66" s="1138" t="s">
        <v>144</v>
      </c>
      <c r="D66" s="866" t="s">
        <v>1328</v>
      </c>
      <c r="E66" s="867"/>
      <c r="F66" s="868">
        <v>50</v>
      </c>
      <c r="G66" s="867">
        <f t="shared" si="5"/>
        <v>50</v>
      </c>
      <c r="H66" s="1466"/>
      <c r="I66" s="848">
        <v>50</v>
      </c>
      <c r="J66" s="1467">
        <f t="shared" si="1"/>
        <v>50</v>
      </c>
      <c r="K66" s="819">
        <f t="shared" si="2"/>
        <v>100</v>
      </c>
    </row>
    <row r="67" spans="1:17" s="8" customFormat="1" ht="12.75" thickBot="1" x14ac:dyDescent="0.25">
      <c r="A67" s="146"/>
      <c r="B67" s="1131"/>
      <c r="C67" s="1141" t="s">
        <v>146</v>
      </c>
      <c r="D67" s="816" t="s">
        <v>1013</v>
      </c>
      <c r="E67" s="819">
        <v>0</v>
      </c>
      <c r="F67" s="820">
        <v>534</v>
      </c>
      <c r="G67" s="819">
        <f>SUM(E67:F67)</f>
        <v>534</v>
      </c>
      <c r="H67" s="1462"/>
      <c r="I67" s="144"/>
      <c r="J67" s="1455">
        <f t="shared" si="1"/>
        <v>0</v>
      </c>
      <c r="K67" s="576">
        <f t="shared" si="2"/>
        <v>0</v>
      </c>
    </row>
    <row r="68" spans="1:17" s="8" customFormat="1" ht="12.75" thickBot="1" x14ac:dyDescent="0.25">
      <c r="A68" s="146"/>
      <c r="B68" s="1133"/>
      <c r="C68" s="1140" t="s">
        <v>148</v>
      </c>
      <c r="D68" s="992" t="s">
        <v>456</v>
      </c>
      <c r="E68" s="821">
        <f>SUM(E26:E67)</f>
        <v>159080</v>
      </c>
      <c r="F68" s="822">
        <f>SUM(F31:F67)</f>
        <v>175035</v>
      </c>
      <c r="G68" s="1134">
        <f>SUM(G26:G67)</f>
        <v>334115</v>
      </c>
      <c r="H68" s="1298">
        <f>SUM(H27:H67)</f>
        <v>159079</v>
      </c>
      <c r="I68" s="1299">
        <f>SUM(I27:I67)</f>
        <v>172124</v>
      </c>
      <c r="J68" s="1134">
        <f>SUM(J27:J67)</f>
        <v>331203</v>
      </c>
      <c r="K68" s="821">
        <f t="shared" si="2"/>
        <v>99.128443799290665</v>
      </c>
      <c r="Q68" s="781"/>
    </row>
    <row r="69" spans="1:17" ht="12.75" thickBot="1" x14ac:dyDescent="0.25">
      <c r="B69" s="1130"/>
      <c r="C69" s="1139" t="s">
        <v>151</v>
      </c>
      <c r="D69" s="813"/>
      <c r="E69" s="576"/>
      <c r="F69" s="144"/>
      <c r="G69" s="576"/>
      <c r="H69" s="1468"/>
      <c r="I69" s="144"/>
      <c r="J69" s="1469"/>
      <c r="K69" s="1470"/>
    </row>
    <row r="70" spans="1:17" ht="12.75" thickBot="1" x14ac:dyDescent="0.25">
      <c r="B70" s="1132"/>
      <c r="C70" s="1140" t="s">
        <v>153</v>
      </c>
      <c r="D70" s="1142" t="s">
        <v>1073</v>
      </c>
      <c r="E70" s="994">
        <f>E24+E68</f>
        <v>168843</v>
      </c>
      <c r="F70" s="994">
        <f>F24+F68</f>
        <v>233184</v>
      </c>
      <c r="G70" s="1006">
        <f>G24+G68</f>
        <v>402027</v>
      </c>
      <c r="H70" s="1471">
        <f>H68+H24</f>
        <v>168841</v>
      </c>
      <c r="I70" s="1299">
        <f t="shared" ref="I70" si="6">I68+I24</f>
        <v>219429</v>
      </c>
      <c r="J70" s="1457">
        <f>J68+J24</f>
        <v>388270</v>
      </c>
      <c r="K70" s="821">
        <f t="shared" si="2"/>
        <v>96.578090526258194</v>
      </c>
    </row>
    <row r="71" spans="1:17" x14ac:dyDescent="0.2">
      <c r="B71" s="1130"/>
      <c r="C71" s="1139" t="s">
        <v>154</v>
      </c>
      <c r="D71" s="1107"/>
      <c r="E71" s="1143"/>
      <c r="F71" s="1143"/>
      <c r="H71" s="1468"/>
      <c r="I71" s="1472"/>
      <c r="J71" s="1473"/>
      <c r="K71" s="576"/>
    </row>
    <row r="72" spans="1:17" x14ac:dyDescent="0.2">
      <c r="B72" s="1130"/>
      <c r="C72" s="1139" t="s">
        <v>155</v>
      </c>
      <c r="D72" s="1105" t="s">
        <v>327</v>
      </c>
      <c r="E72" s="1111"/>
      <c r="F72" s="1111"/>
      <c r="G72" s="1111"/>
      <c r="H72" s="144"/>
      <c r="I72" s="144"/>
      <c r="J72" s="1455"/>
      <c r="K72" s="576"/>
    </row>
    <row r="73" spans="1:17" x14ac:dyDescent="0.2">
      <c r="B73" s="1130"/>
      <c r="C73" s="1139" t="s">
        <v>1046</v>
      </c>
      <c r="D73" s="1106" t="s">
        <v>453</v>
      </c>
      <c r="E73" s="1111"/>
      <c r="F73" s="1111"/>
      <c r="G73" s="1111"/>
      <c r="H73" s="144"/>
      <c r="I73" s="144"/>
      <c r="J73" s="1455"/>
      <c r="K73" s="576"/>
      <c r="N73" s="991"/>
    </row>
    <row r="74" spans="1:17" ht="12.75" thickBot="1" x14ac:dyDescent="0.25">
      <c r="B74" s="1130"/>
      <c r="C74" s="1139" t="s">
        <v>1047</v>
      </c>
      <c r="D74" s="1107" t="s">
        <v>1261</v>
      </c>
      <c r="E74" s="1111">
        <v>26</v>
      </c>
      <c r="F74" s="1111"/>
      <c r="G74" s="1111">
        <f>E74+F74</f>
        <v>26</v>
      </c>
      <c r="H74" s="144">
        <v>25</v>
      </c>
      <c r="I74" s="144"/>
      <c r="J74" s="1455">
        <f t="shared" si="1"/>
        <v>25</v>
      </c>
      <c r="K74" s="576">
        <f t="shared" si="2"/>
        <v>96.15384615384616</v>
      </c>
    </row>
    <row r="75" spans="1:17" ht="12.75" thickBot="1" x14ac:dyDescent="0.25">
      <c r="B75" s="1132"/>
      <c r="C75" s="1140" t="s">
        <v>1236</v>
      </c>
      <c r="D75" s="1108" t="s">
        <v>1076</v>
      </c>
      <c r="E75" s="1112">
        <f>SUM(E74)</f>
        <v>26</v>
      </c>
      <c r="F75" s="1112">
        <f t="shared" ref="F75:G75" si="7">SUM(F74)</f>
        <v>0</v>
      </c>
      <c r="G75" s="1117">
        <f t="shared" si="7"/>
        <v>26</v>
      </c>
      <c r="H75" s="1456">
        <f>H74</f>
        <v>25</v>
      </c>
      <c r="I75" s="1299">
        <f t="shared" ref="I75:J75" si="8">I74</f>
        <v>0</v>
      </c>
      <c r="J75" s="1457">
        <f t="shared" si="8"/>
        <v>25</v>
      </c>
      <c r="K75" s="821">
        <f t="shared" si="2"/>
        <v>96.15384615384616</v>
      </c>
    </row>
    <row r="76" spans="1:17" x14ac:dyDescent="0.2">
      <c r="B76" s="1130"/>
      <c r="C76" s="1139" t="s">
        <v>1237</v>
      </c>
      <c r="D76" s="1109"/>
      <c r="E76" s="1113"/>
      <c r="F76" s="1113"/>
      <c r="G76" s="1113"/>
      <c r="H76" s="144"/>
      <c r="I76" s="144"/>
      <c r="J76" s="1455"/>
      <c r="K76" s="576"/>
    </row>
    <row r="77" spans="1:17" x14ac:dyDescent="0.2">
      <c r="B77" s="1130"/>
      <c r="C77" s="1139" t="s">
        <v>1238</v>
      </c>
      <c r="D77" s="1106" t="s">
        <v>455</v>
      </c>
      <c r="E77" s="1113"/>
      <c r="F77" s="1113"/>
      <c r="G77" s="1113"/>
      <c r="H77" s="144"/>
      <c r="I77" s="144"/>
      <c r="J77" s="1455"/>
      <c r="K77" s="576"/>
      <c r="L77" s="991"/>
    </row>
    <row r="78" spans="1:17" ht="12.75" thickBot="1" x14ac:dyDescent="0.25">
      <c r="B78" s="1130"/>
      <c r="C78" s="1139" t="s">
        <v>1310</v>
      </c>
      <c r="D78" s="1116" t="s">
        <v>1262</v>
      </c>
      <c r="E78" s="1111">
        <v>18</v>
      </c>
      <c r="F78" s="1111"/>
      <c r="G78" s="1111">
        <f>F78+E78</f>
        <v>18</v>
      </c>
      <c r="H78" s="144">
        <v>9</v>
      </c>
      <c r="I78" s="144"/>
      <c r="J78" s="1455">
        <f t="shared" ref="J78:J79" si="9">H78+I78</f>
        <v>9</v>
      </c>
      <c r="K78" s="1465">
        <f t="shared" ref="K78:K86" si="10">J78/G78*100</f>
        <v>50</v>
      </c>
    </row>
    <row r="79" spans="1:17" ht="12.75" thickBot="1" x14ac:dyDescent="0.25">
      <c r="B79" s="1130"/>
      <c r="C79" s="1139" t="s">
        <v>1311</v>
      </c>
      <c r="D79" s="1142" t="s">
        <v>1263</v>
      </c>
      <c r="E79" s="1112">
        <f>SUM(E78)</f>
        <v>18</v>
      </c>
      <c r="F79" s="1112"/>
      <c r="G79" s="1117">
        <f>SUM(G78)</f>
        <v>18</v>
      </c>
      <c r="H79" s="1471">
        <f>H78</f>
        <v>9</v>
      </c>
      <c r="I79" s="1299">
        <f>I78</f>
        <v>0</v>
      </c>
      <c r="J79" s="1457">
        <f t="shared" si="9"/>
        <v>9</v>
      </c>
      <c r="K79" s="821">
        <f t="shared" si="10"/>
        <v>50</v>
      </c>
    </row>
    <row r="80" spans="1:17" ht="12.75" thickBot="1" x14ac:dyDescent="0.25">
      <c r="B80" s="1130"/>
      <c r="C80" s="1139" t="s">
        <v>1317</v>
      </c>
      <c r="D80" s="1106"/>
      <c r="E80" s="1113"/>
      <c r="F80" s="1113"/>
      <c r="G80" s="1113"/>
      <c r="H80" s="1468"/>
      <c r="I80" s="144"/>
      <c r="J80" s="1455"/>
      <c r="K80" s="1470"/>
    </row>
    <row r="81" spans="2:17" ht="12.75" thickBot="1" x14ac:dyDescent="0.25">
      <c r="B81" s="1132"/>
      <c r="C81" s="1140" t="s">
        <v>1318</v>
      </c>
      <c r="D81" s="1110" t="s">
        <v>1074</v>
      </c>
      <c r="E81" s="1112">
        <f>E75+E79</f>
        <v>44</v>
      </c>
      <c r="F81" s="1112">
        <f t="shared" ref="F81:G81" si="11">F75+F79</f>
        <v>0</v>
      </c>
      <c r="G81" s="1117">
        <f t="shared" si="11"/>
        <v>44</v>
      </c>
      <c r="H81" s="1474">
        <f>H75+H79</f>
        <v>34</v>
      </c>
      <c r="I81" s="1472">
        <f>I75+I79</f>
        <v>0</v>
      </c>
      <c r="J81" s="1473">
        <f>J75+J79</f>
        <v>34</v>
      </c>
      <c r="K81" s="1470">
        <f t="shared" si="10"/>
        <v>77.272727272727266</v>
      </c>
    </row>
    <row r="82" spans="2:17" x14ac:dyDescent="0.2">
      <c r="B82" s="1130"/>
      <c r="C82" s="1139" t="s">
        <v>1320</v>
      </c>
      <c r="D82" s="993"/>
      <c r="E82" s="1113"/>
      <c r="F82" s="1113"/>
      <c r="G82" s="995"/>
      <c r="H82" s="1468"/>
      <c r="I82" s="1472"/>
      <c r="J82" s="1473"/>
      <c r="K82" s="576"/>
    </row>
    <row r="83" spans="2:17" ht="24" x14ac:dyDescent="0.2">
      <c r="B83" s="1130"/>
      <c r="C83" s="1139" t="s">
        <v>1321</v>
      </c>
      <c r="D83" s="1106" t="s">
        <v>1077</v>
      </c>
      <c r="E83" s="1114">
        <f>E24+E75</f>
        <v>9789</v>
      </c>
      <c r="F83" s="1114">
        <f>F24+F75</f>
        <v>58149</v>
      </c>
      <c r="G83" s="1114">
        <f>G24+G75</f>
        <v>67938</v>
      </c>
      <c r="H83" s="1300">
        <f>H24+H75</f>
        <v>9787</v>
      </c>
      <c r="I83" s="1302">
        <f t="shared" ref="I83:J83" si="12">I24+I75</f>
        <v>47305</v>
      </c>
      <c r="J83" s="1301">
        <f t="shared" si="12"/>
        <v>57092</v>
      </c>
      <c r="K83" s="1475">
        <f t="shared" si="10"/>
        <v>84.035444081368311</v>
      </c>
    </row>
    <row r="84" spans="2:17" ht="24" x14ac:dyDescent="0.2">
      <c r="B84" s="1130"/>
      <c r="C84" s="1139" t="s">
        <v>1322</v>
      </c>
      <c r="D84" s="1106" t="s">
        <v>1078</v>
      </c>
      <c r="E84" s="1114">
        <f>E68+E79</f>
        <v>159098</v>
      </c>
      <c r="F84" s="1114">
        <f t="shared" ref="F84:G84" si="13">F68+F79</f>
        <v>175035</v>
      </c>
      <c r="G84" s="1114">
        <f t="shared" si="13"/>
        <v>334133</v>
      </c>
      <c r="H84" s="1300">
        <f>H68+H79</f>
        <v>159088</v>
      </c>
      <c r="I84" s="1302">
        <f t="shared" ref="I84:J84" si="14">I68+I79</f>
        <v>172124</v>
      </c>
      <c r="J84" s="1301">
        <f t="shared" si="14"/>
        <v>331212</v>
      </c>
      <c r="K84" s="1077">
        <f t="shared" si="10"/>
        <v>99.125797212487242</v>
      </c>
      <c r="O84" s="991"/>
      <c r="Q84" s="991"/>
    </row>
    <row r="85" spans="2:17" ht="12.75" thickBot="1" x14ac:dyDescent="0.25">
      <c r="B85" s="1130"/>
      <c r="C85" s="1139" t="s">
        <v>1323</v>
      </c>
      <c r="D85" s="1107"/>
      <c r="E85" s="1111"/>
      <c r="F85" s="1111"/>
      <c r="G85" s="1111"/>
      <c r="H85" s="1476"/>
      <c r="I85" s="1463"/>
      <c r="J85" s="1455"/>
      <c r="K85" s="576"/>
    </row>
    <row r="86" spans="2:17" ht="24.75" thickBot="1" x14ac:dyDescent="0.25">
      <c r="B86" s="1132"/>
      <c r="C86" s="1140" t="s">
        <v>1324</v>
      </c>
      <c r="D86" s="1110" t="s">
        <v>1075</v>
      </c>
      <c r="E86" s="1115">
        <f>E70+E81</f>
        <v>168887</v>
      </c>
      <c r="F86" s="1115">
        <f>F70+F81</f>
        <v>233184</v>
      </c>
      <c r="G86" s="1093">
        <f>G70+G81</f>
        <v>402071</v>
      </c>
      <c r="H86" s="1303">
        <f>H70+H81</f>
        <v>168875</v>
      </c>
      <c r="I86" s="1305">
        <f t="shared" ref="I86:J86" si="15">I70+I81</f>
        <v>219429</v>
      </c>
      <c r="J86" s="1304">
        <f t="shared" si="15"/>
        <v>388304</v>
      </c>
      <c r="K86" s="1477">
        <f t="shared" si="10"/>
        <v>96.575977874554496</v>
      </c>
      <c r="O86" s="991"/>
    </row>
    <row r="87" spans="2:17" x14ac:dyDescent="0.2">
      <c r="I87" s="991"/>
      <c r="K87" s="1297"/>
    </row>
  </sheetData>
  <sheetProtection selectLockedCells="1" selectUnlockedCells="1"/>
  <mergeCells count="10">
    <mergeCell ref="H8:J8"/>
    <mergeCell ref="K8:K9"/>
    <mergeCell ref="C1:K1"/>
    <mergeCell ref="C3:K3"/>
    <mergeCell ref="C5:K5"/>
    <mergeCell ref="C4:K4"/>
    <mergeCell ref="D7:K7"/>
    <mergeCell ref="C8:C9"/>
    <mergeCell ref="D8:D9"/>
    <mergeCell ref="E8:G8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70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147"/>
  <sheetViews>
    <sheetView workbookViewId="0">
      <pane xSplit="3" ySplit="10" topLeftCell="D11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M1"/>
    </sheetView>
  </sheetViews>
  <sheetFormatPr defaultColWidth="9.140625" defaultRowHeight="14.1" customHeight="1" x14ac:dyDescent="0.2"/>
  <cols>
    <col min="1" max="1" width="1.28515625" style="84" customWidth="1"/>
    <col min="2" max="2" width="3.7109375" style="313" customWidth="1"/>
    <col min="3" max="3" width="41.42578125" style="320" customWidth="1"/>
    <col min="4" max="4" width="9.85546875" style="85" customWidth="1"/>
    <col min="5" max="5" width="8.7109375" style="85" customWidth="1"/>
    <col min="6" max="6" width="7.85546875" style="85" customWidth="1"/>
    <col min="7" max="7" width="8.42578125" style="96" customWidth="1"/>
    <col min="8" max="8" width="9.85546875" style="112" customWidth="1"/>
    <col min="9" max="9" width="7.28515625" style="112" customWidth="1"/>
    <col min="10" max="16384" width="9.140625" style="84"/>
  </cols>
  <sheetData>
    <row r="1" spans="1:13" ht="12.75" customHeight="1" x14ac:dyDescent="0.2">
      <c r="B1" s="1931" t="s">
        <v>2068</v>
      </c>
      <c r="C1" s="1931"/>
      <c r="D1" s="1931"/>
      <c r="E1" s="1931"/>
      <c r="F1" s="1931"/>
      <c r="G1" s="1931"/>
      <c r="H1" s="1931"/>
      <c r="I1" s="1931"/>
      <c r="J1" s="1931"/>
      <c r="K1" s="1931"/>
      <c r="L1" s="1931"/>
      <c r="M1" s="1931"/>
    </row>
    <row r="2" spans="1:13" ht="14.1" customHeight="1" x14ac:dyDescent="0.2">
      <c r="B2" s="1939" t="s">
        <v>1361</v>
      </c>
      <c r="C2" s="1939"/>
      <c r="D2" s="1939"/>
      <c r="E2" s="1939"/>
      <c r="F2" s="1939"/>
      <c r="G2" s="1939"/>
      <c r="H2" s="1939"/>
      <c r="I2" s="1939"/>
      <c r="J2" s="1939"/>
      <c r="K2" s="1939"/>
      <c r="L2" s="1939"/>
      <c r="M2" s="1939"/>
    </row>
    <row r="3" spans="1:13" ht="14.1" customHeight="1" x14ac:dyDescent="0.2">
      <c r="B3" s="1289"/>
      <c r="C3" s="1939" t="s">
        <v>1362</v>
      </c>
      <c r="D3" s="1939"/>
      <c r="E3" s="1939"/>
      <c r="F3" s="1939"/>
      <c r="G3" s="1939"/>
      <c r="H3" s="1939"/>
      <c r="I3" s="1939"/>
      <c r="J3" s="1939"/>
      <c r="K3" s="1939"/>
      <c r="L3" s="1939"/>
      <c r="M3" s="1939"/>
    </row>
    <row r="4" spans="1:13" ht="14.1" customHeight="1" x14ac:dyDescent="0.2">
      <c r="B4" s="321"/>
      <c r="C4" s="1940" t="s">
        <v>1120</v>
      </c>
      <c r="D4" s="1940"/>
      <c r="E4" s="1940"/>
      <c r="F4" s="1940"/>
      <c r="G4" s="1940"/>
      <c r="H4" s="1940"/>
      <c r="I4" s="1940"/>
      <c r="J4" s="1940"/>
      <c r="K4" s="1940"/>
      <c r="L4" s="1940"/>
      <c r="M4" s="1940"/>
    </row>
    <row r="5" spans="1:13" ht="14.25" customHeight="1" thickBot="1" x14ac:dyDescent="0.25">
      <c r="B5" s="1938" t="s">
        <v>302</v>
      </c>
      <c r="C5" s="1938"/>
      <c r="D5" s="1938"/>
      <c r="E5" s="1938"/>
      <c r="F5" s="1938"/>
      <c r="G5" s="1938"/>
      <c r="H5" s="1938"/>
      <c r="I5" s="1938"/>
      <c r="J5" s="1938"/>
      <c r="K5" s="1938"/>
      <c r="L5" s="1938"/>
      <c r="M5" s="1938"/>
    </row>
    <row r="6" spans="1:13" ht="24" customHeight="1" thickBot="1" x14ac:dyDescent="0.25">
      <c r="B6" s="1944" t="s">
        <v>468</v>
      </c>
      <c r="C6" s="1345" t="s">
        <v>57</v>
      </c>
      <c r="D6" s="1346" t="s">
        <v>58</v>
      </c>
      <c r="E6" s="1346" t="s">
        <v>59</v>
      </c>
      <c r="F6" s="1346" t="s">
        <v>60</v>
      </c>
      <c r="G6" s="1290" t="s">
        <v>469</v>
      </c>
      <c r="H6" s="1290" t="s">
        <v>470</v>
      </c>
      <c r="I6" s="1290" t="s">
        <v>471</v>
      </c>
      <c r="J6" s="1347" t="s">
        <v>590</v>
      </c>
      <c r="K6" s="1347" t="s">
        <v>598</v>
      </c>
      <c r="L6" s="1347" t="s">
        <v>599</v>
      </c>
      <c r="M6" s="1347" t="s">
        <v>600</v>
      </c>
    </row>
    <row r="7" spans="1:13" ht="1.9" hidden="1" customHeight="1" thickBot="1" x14ac:dyDescent="0.25">
      <c r="B7" s="1945"/>
      <c r="C7" s="319"/>
      <c r="D7" s="138"/>
      <c r="E7" s="138"/>
      <c r="F7" s="138"/>
      <c r="G7" s="139"/>
      <c r="J7" s="1308"/>
      <c r="K7" s="1308"/>
      <c r="L7" s="1308"/>
      <c r="M7" s="1308"/>
    </row>
    <row r="8" spans="1:13" s="261" customFormat="1" ht="23.25" customHeight="1" thickBot="1" x14ac:dyDescent="0.25">
      <c r="B8" s="1945"/>
      <c r="C8" s="319"/>
      <c r="D8" s="138"/>
      <c r="E8" s="1926" t="s">
        <v>315</v>
      </c>
      <c r="F8" s="1927"/>
      <c r="G8" s="1928"/>
      <c r="H8" s="1936" t="s">
        <v>1103</v>
      </c>
      <c r="I8" s="1937"/>
      <c r="J8" s="1941" t="s">
        <v>1355</v>
      </c>
      <c r="K8" s="1942"/>
      <c r="L8" s="1942"/>
      <c r="M8" s="1943"/>
    </row>
    <row r="9" spans="1:13" s="83" customFormat="1" ht="30.75" customHeight="1" thickBot="1" x14ac:dyDescent="0.25">
      <c r="B9" s="1945"/>
      <c r="C9" s="1946" t="s">
        <v>85</v>
      </c>
      <c r="D9" s="1946" t="s">
        <v>472</v>
      </c>
      <c r="E9" s="1929" t="s">
        <v>473</v>
      </c>
      <c r="F9" s="1929" t="s">
        <v>474</v>
      </c>
      <c r="G9" s="1930" t="s">
        <v>475</v>
      </c>
      <c r="H9" s="1932" t="s">
        <v>62</v>
      </c>
      <c r="I9" s="1933" t="s">
        <v>63</v>
      </c>
      <c r="J9" s="1930" t="s">
        <v>475</v>
      </c>
      <c r="K9" s="1932" t="s">
        <v>62</v>
      </c>
      <c r="L9" s="1933" t="s">
        <v>63</v>
      </c>
      <c r="M9" s="1934" t="s">
        <v>1360</v>
      </c>
    </row>
    <row r="10" spans="1:13" s="83" customFormat="1" ht="41.25" customHeight="1" thickBot="1" x14ac:dyDescent="0.25">
      <c r="B10" s="1945"/>
      <c r="C10" s="1946"/>
      <c r="D10" s="1946"/>
      <c r="E10" s="1929"/>
      <c r="F10" s="1929"/>
      <c r="G10" s="1930"/>
      <c r="H10" s="1930"/>
      <c r="I10" s="1932"/>
      <c r="J10" s="1930"/>
      <c r="K10" s="1930"/>
      <c r="L10" s="1932"/>
      <c r="M10" s="1935"/>
    </row>
    <row r="11" spans="1:13" ht="14.1" customHeight="1" x14ac:dyDescent="0.2">
      <c r="A11" s="1167"/>
      <c r="B11" s="1150"/>
      <c r="C11" s="87" t="s">
        <v>77</v>
      </c>
      <c r="D11" s="88"/>
      <c r="E11" s="88"/>
      <c r="F11" s="88"/>
      <c r="G11" s="89"/>
      <c r="I11" s="561"/>
      <c r="J11" s="552"/>
      <c r="L11" s="1340"/>
      <c r="M11" s="1167"/>
    </row>
    <row r="12" spans="1:13" ht="14.1" customHeight="1" x14ac:dyDescent="0.2">
      <c r="A12" s="1167"/>
      <c r="B12" s="1151"/>
      <c r="C12" s="87"/>
      <c r="D12" s="88"/>
      <c r="E12" s="88"/>
      <c r="F12" s="88"/>
      <c r="G12" s="89"/>
      <c r="I12" s="562"/>
      <c r="J12" s="552"/>
      <c r="L12" s="1167"/>
      <c r="M12" s="1167"/>
    </row>
    <row r="13" spans="1:13" ht="14.1" customHeight="1" x14ac:dyDescent="0.2">
      <c r="A13" s="1167"/>
      <c r="B13" s="1152" t="s">
        <v>476</v>
      </c>
      <c r="C13" s="87" t="s">
        <v>477</v>
      </c>
      <c r="D13" s="88"/>
      <c r="E13" s="88"/>
      <c r="F13" s="88"/>
      <c r="G13" s="89"/>
      <c r="I13" s="562"/>
      <c r="J13" s="552"/>
      <c r="L13" s="1167"/>
      <c r="M13" s="1167"/>
    </row>
    <row r="14" spans="1:13" ht="18.75" customHeight="1" x14ac:dyDescent="0.2">
      <c r="A14" s="1167"/>
      <c r="B14" s="1153" t="s">
        <v>478</v>
      </c>
      <c r="C14" s="107" t="s">
        <v>1194</v>
      </c>
      <c r="D14" s="738" t="s">
        <v>923</v>
      </c>
      <c r="E14" s="126">
        <v>2363</v>
      </c>
      <c r="F14" s="126">
        <v>637</v>
      </c>
      <c r="G14" s="105">
        <f t="shared" ref="G14" si="0">E14+F14</f>
        <v>3000</v>
      </c>
      <c r="H14" s="86">
        <f t="shared" ref="H14" si="1">G14</f>
        <v>3000</v>
      </c>
      <c r="I14" s="562"/>
      <c r="J14" s="1309">
        <f>K14+L14</f>
        <v>1621</v>
      </c>
      <c r="K14" s="86">
        <v>1621</v>
      </c>
      <c r="L14" s="1321"/>
      <c r="M14" s="1321">
        <f>J14/G14*100</f>
        <v>54.033333333333331</v>
      </c>
    </row>
    <row r="15" spans="1:13" s="99" customFormat="1" ht="14.25" customHeight="1" x14ac:dyDescent="0.2">
      <c r="A15" s="1168"/>
      <c r="B15" s="1153" t="s">
        <v>486</v>
      </c>
      <c r="C15" s="90" t="s">
        <v>1207</v>
      </c>
      <c r="D15" s="446" t="s">
        <v>479</v>
      </c>
      <c r="E15" s="126">
        <v>12000</v>
      </c>
      <c r="F15" s="126">
        <v>3240</v>
      </c>
      <c r="G15" s="105">
        <f>E15+F15</f>
        <v>15240</v>
      </c>
      <c r="H15" s="85"/>
      <c r="I15" s="88">
        <f>G15</f>
        <v>15240</v>
      </c>
      <c r="J15" s="1309">
        <f t="shared" ref="J15:J78" si="2">K15+L15</f>
        <v>15240</v>
      </c>
      <c r="K15" s="86"/>
      <c r="L15" s="1321">
        <v>15240</v>
      </c>
      <c r="M15" s="1321">
        <f t="shared" ref="M15:M77" si="3">J15/G15*100</f>
        <v>100</v>
      </c>
    </row>
    <row r="16" spans="1:13" s="99" customFormat="1" ht="16.5" customHeight="1" x14ac:dyDescent="0.2">
      <c r="A16" s="1168"/>
      <c r="B16" s="1153" t="s">
        <v>487</v>
      </c>
      <c r="C16" s="90" t="s">
        <v>1242</v>
      </c>
      <c r="D16" s="738" t="s">
        <v>923</v>
      </c>
      <c r="E16" s="126">
        <v>14540</v>
      </c>
      <c r="F16" s="126">
        <v>3926</v>
      </c>
      <c r="G16" s="105">
        <f>SUM(E16:F16)</f>
        <v>18466</v>
      </c>
      <c r="H16" s="85"/>
      <c r="I16" s="88">
        <f>G16</f>
        <v>18466</v>
      </c>
      <c r="J16" s="1309">
        <f t="shared" si="2"/>
        <v>18466</v>
      </c>
      <c r="K16" s="86"/>
      <c r="L16" s="1321">
        <v>18466</v>
      </c>
      <c r="M16" s="1321">
        <f t="shared" si="3"/>
        <v>100</v>
      </c>
    </row>
    <row r="17" spans="1:17" s="99" customFormat="1" ht="16.5" customHeight="1" x14ac:dyDescent="0.2">
      <c r="A17" s="1168"/>
      <c r="B17" s="1153" t="s">
        <v>488</v>
      </c>
      <c r="C17" s="90" t="s">
        <v>1264</v>
      </c>
      <c r="D17" s="738" t="s">
        <v>923</v>
      </c>
      <c r="E17" s="126">
        <v>276</v>
      </c>
      <c r="F17" s="126">
        <v>75</v>
      </c>
      <c r="G17" s="105">
        <f>SUM(E17:F17)</f>
        <v>351</v>
      </c>
      <c r="H17" s="85">
        <f>G17</f>
        <v>351</v>
      </c>
      <c r="I17" s="88"/>
      <c r="J17" s="1309">
        <f t="shared" si="2"/>
        <v>350</v>
      </c>
      <c r="K17" s="86">
        <v>350</v>
      </c>
      <c r="L17" s="1321"/>
      <c r="M17" s="1321">
        <f t="shared" si="3"/>
        <v>99.715099715099726</v>
      </c>
    </row>
    <row r="18" spans="1:17" s="99" customFormat="1" ht="10.5" customHeight="1" thickBot="1" x14ac:dyDescent="0.25">
      <c r="A18" s="1168"/>
      <c r="B18" s="1153"/>
      <c r="C18" s="90"/>
      <c r="D18" s="738"/>
      <c r="E18" s="126"/>
      <c r="F18" s="126"/>
      <c r="G18" s="105"/>
      <c r="H18" s="85"/>
      <c r="I18" s="88"/>
      <c r="J18" s="1080"/>
      <c r="K18" s="86"/>
      <c r="L18" s="1321"/>
      <c r="M18" s="1322"/>
    </row>
    <row r="19" spans="1:17" s="99" customFormat="1" ht="15" customHeight="1" thickBot="1" x14ac:dyDescent="0.25">
      <c r="A19" s="1168"/>
      <c r="B19" s="1166"/>
      <c r="C19" s="91" t="s">
        <v>480</v>
      </c>
      <c r="D19" s="92"/>
      <c r="E19" s="752">
        <f t="shared" ref="E19:G19" si="4">SUM(E14:E17)</f>
        <v>29179</v>
      </c>
      <c r="F19" s="752">
        <f t="shared" si="4"/>
        <v>7878</v>
      </c>
      <c r="G19" s="752">
        <f t="shared" si="4"/>
        <v>37057</v>
      </c>
      <c r="H19" s="752">
        <f>SUM(H14:H17)</f>
        <v>3351</v>
      </c>
      <c r="I19" s="1311">
        <f>SUM(I14:I17)</f>
        <v>33706</v>
      </c>
      <c r="J19" s="752">
        <f t="shared" ref="J19:L19" si="5">SUM(J14:J17)</f>
        <v>35677</v>
      </c>
      <c r="K19" s="752">
        <f t="shared" si="5"/>
        <v>1971</v>
      </c>
      <c r="L19" s="1311">
        <f t="shared" si="5"/>
        <v>33706</v>
      </c>
      <c r="M19" s="1321">
        <f t="shared" si="3"/>
        <v>96.276007232101904</v>
      </c>
    </row>
    <row r="20" spans="1:17" ht="14.1" customHeight="1" x14ac:dyDescent="0.2">
      <c r="A20" s="1167"/>
      <c r="B20" s="1154"/>
      <c r="C20" s="90"/>
      <c r="D20" s="88"/>
      <c r="E20" s="88"/>
      <c r="F20" s="88"/>
      <c r="G20" s="89"/>
      <c r="I20" s="562"/>
      <c r="J20" s="1080"/>
      <c r="K20" s="86"/>
      <c r="L20" s="1321"/>
      <c r="M20" s="1323"/>
    </row>
    <row r="21" spans="1:17" ht="15" customHeight="1" x14ac:dyDescent="0.2">
      <c r="A21" s="1167"/>
      <c r="B21" s="1154" t="s">
        <v>481</v>
      </c>
      <c r="C21" s="87" t="s">
        <v>482</v>
      </c>
      <c r="D21" s="88"/>
      <c r="E21" s="88"/>
      <c r="F21" s="88"/>
      <c r="G21" s="89"/>
      <c r="I21" s="562"/>
      <c r="J21" s="1080"/>
      <c r="K21" s="86"/>
      <c r="L21" s="1321"/>
      <c r="M21" s="1321"/>
    </row>
    <row r="22" spans="1:17" ht="15" customHeight="1" x14ac:dyDescent="0.2">
      <c r="A22" s="1167"/>
      <c r="B22" s="1151" t="s">
        <v>478</v>
      </c>
      <c r="C22" s="107" t="s">
        <v>1265</v>
      </c>
      <c r="D22" s="738" t="s">
        <v>923</v>
      </c>
      <c r="E22" s="88">
        <v>0</v>
      </c>
      <c r="F22" s="88">
        <v>0</v>
      </c>
      <c r="G22" s="89">
        <f>E22+F22</f>
        <v>0</v>
      </c>
      <c r="I22" s="126">
        <f>G22</f>
        <v>0</v>
      </c>
      <c r="J22" s="1080">
        <f t="shared" si="2"/>
        <v>0</v>
      </c>
      <c r="K22" s="86"/>
      <c r="L22" s="1321"/>
      <c r="M22" s="1321"/>
    </row>
    <row r="23" spans="1:17" ht="24.75" customHeight="1" x14ac:dyDescent="0.2">
      <c r="A23" s="1167"/>
      <c r="B23" s="1151" t="s">
        <v>486</v>
      </c>
      <c r="C23" s="107" t="s">
        <v>1266</v>
      </c>
      <c r="D23" s="738" t="s">
        <v>923</v>
      </c>
      <c r="E23" s="446">
        <v>30709</v>
      </c>
      <c r="F23" s="446">
        <v>8291</v>
      </c>
      <c r="G23" s="448">
        <f t="shared" ref="G23:G25" si="6">E23+F23</f>
        <v>39000</v>
      </c>
      <c r="H23" s="447">
        <f>G23</f>
        <v>39000</v>
      </c>
      <c r="I23" s="1341"/>
      <c r="J23" s="1454">
        <f t="shared" si="2"/>
        <v>33246</v>
      </c>
      <c r="K23" s="1489">
        <v>33246</v>
      </c>
      <c r="L23" s="1342"/>
      <c r="M23" s="1101">
        <f t="shared" si="3"/>
        <v>85.246153846153845</v>
      </c>
    </row>
    <row r="24" spans="1:17" ht="15" customHeight="1" x14ac:dyDescent="0.2">
      <c r="A24" s="1167"/>
      <c r="B24" s="1151" t="s">
        <v>487</v>
      </c>
      <c r="C24" s="107" t="s">
        <v>1267</v>
      </c>
      <c r="D24" s="88"/>
      <c r="E24" s="88">
        <v>4500</v>
      </c>
      <c r="F24" s="88">
        <v>1215</v>
      </c>
      <c r="G24" s="89">
        <f t="shared" si="6"/>
        <v>5715</v>
      </c>
      <c r="H24" s="1118">
        <f>G24</f>
        <v>5715</v>
      </c>
      <c r="I24" s="1119"/>
      <c r="J24" s="1080">
        <f t="shared" si="2"/>
        <v>0</v>
      </c>
      <c r="K24" s="86"/>
      <c r="L24" s="1321"/>
      <c r="M24" s="1321">
        <f t="shared" si="3"/>
        <v>0</v>
      </c>
      <c r="O24" s="1314"/>
    </row>
    <row r="25" spans="1:17" ht="24.75" customHeight="1" x14ac:dyDescent="0.2">
      <c r="A25" s="1167"/>
      <c r="B25" s="1151" t="s">
        <v>488</v>
      </c>
      <c r="C25" s="107" t="s">
        <v>1268</v>
      </c>
      <c r="D25" s="738" t="s">
        <v>923</v>
      </c>
      <c r="E25" s="446">
        <v>3937</v>
      </c>
      <c r="F25" s="446">
        <v>1063</v>
      </c>
      <c r="G25" s="448">
        <f t="shared" si="6"/>
        <v>5000</v>
      </c>
      <c r="H25" s="1343">
        <f>G25</f>
        <v>5000</v>
      </c>
      <c r="I25" s="1344"/>
      <c r="J25" s="1454">
        <f t="shared" si="2"/>
        <v>3459</v>
      </c>
      <c r="K25" s="447">
        <v>3459</v>
      </c>
      <c r="L25" s="1101"/>
      <c r="M25" s="1101">
        <f t="shared" si="3"/>
        <v>69.179999999999993</v>
      </c>
      <c r="Q25" s="1314"/>
    </row>
    <row r="26" spans="1:17" ht="13.5" customHeight="1" thickBot="1" x14ac:dyDescent="0.25">
      <c r="A26" s="1167"/>
      <c r="B26" s="1151"/>
      <c r="C26" s="107"/>
      <c r="D26" s="88"/>
      <c r="E26" s="126"/>
      <c r="F26" s="126"/>
      <c r="G26" s="105"/>
      <c r="H26" s="86"/>
      <c r="I26" s="126"/>
      <c r="J26" s="1312"/>
      <c r="K26" s="86"/>
      <c r="L26" s="1322"/>
      <c r="M26" s="1321"/>
    </row>
    <row r="27" spans="1:17" ht="12" customHeight="1" thickBot="1" x14ac:dyDescent="0.25">
      <c r="A27" s="1167"/>
      <c r="B27" s="1155"/>
      <c r="C27" s="449" t="s">
        <v>483</v>
      </c>
      <c r="D27" s="149"/>
      <c r="E27" s="753">
        <f>SUM(E22:E25)</f>
        <v>39146</v>
      </c>
      <c r="F27" s="753">
        <f t="shared" ref="F27:I27" si="7">SUM(F22:F25)</f>
        <v>10569</v>
      </c>
      <c r="G27" s="753">
        <f t="shared" si="7"/>
        <v>49715</v>
      </c>
      <c r="H27" s="753">
        <f t="shared" si="7"/>
        <v>49715</v>
      </c>
      <c r="I27" s="753">
        <f t="shared" si="7"/>
        <v>0</v>
      </c>
      <c r="J27" s="1313">
        <f>SUM(J22:J25)</f>
        <v>36705</v>
      </c>
      <c r="K27" s="753">
        <f t="shared" ref="K27:L27" si="8">SUM(K22:K25)</f>
        <v>36705</v>
      </c>
      <c r="L27" s="1315">
        <f t="shared" si="8"/>
        <v>0</v>
      </c>
      <c r="M27" s="1315">
        <f t="shared" si="3"/>
        <v>73.830835763853969</v>
      </c>
      <c r="N27" s="1314"/>
    </row>
    <row r="28" spans="1:17" ht="12" customHeight="1" x14ac:dyDescent="0.2">
      <c r="A28" s="1167"/>
      <c r="B28" s="1156"/>
      <c r="C28" s="93"/>
      <c r="D28" s="88"/>
      <c r="E28" s="88"/>
      <c r="F28" s="88"/>
      <c r="G28" s="89"/>
      <c r="I28" s="562"/>
      <c r="J28" s="1080"/>
      <c r="K28" s="86"/>
      <c r="L28" s="1321"/>
      <c r="M28" s="1321"/>
    </row>
    <row r="29" spans="1:17" ht="15.75" customHeight="1" x14ac:dyDescent="0.2">
      <c r="A29" s="1167"/>
      <c r="B29" s="1157" t="s">
        <v>484</v>
      </c>
      <c r="C29" s="98" t="s">
        <v>485</v>
      </c>
      <c r="D29" s="95"/>
      <c r="E29" s="88"/>
      <c r="F29" s="88"/>
      <c r="G29" s="89"/>
      <c r="I29" s="562"/>
      <c r="J29" s="1080"/>
      <c r="K29" s="86"/>
      <c r="L29" s="1321"/>
      <c r="M29" s="1321"/>
    </row>
    <row r="30" spans="1:17" s="99" customFormat="1" ht="19.5" customHeight="1" x14ac:dyDescent="0.2">
      <c r="A30" s="1168"/>
      <c r="B30" s="1158" t="s">
        <v>1195</v>
      </c>
      <c r="C30" s="94" t="s">
        <v>954</v>
      </c>
      <c r="D30" s="446" t="s">
        <v>479</v>
      </c>
      <c r="E30" s="738">
        <v>9213</v>
      </c>
      <c r="F30" s="738">
        <v>2488</v>
      </c>
      <c r="G30" s="739">
        <f>E30+F30</f>
        <v>11701</v>
      </c>
      <c r="H30" s="447">
        <f t="shared" ref="H30:H34" si="9">G30</f>
        <v>11701</v>
      </c>
      <c r="I30" s="126"/>
      <c r="J30" s="1454">
        <f t="shared" si="2"/>
        <v>9970</v>
      </c>
      <c r="K30" s="447">
        <v>9970</v>
      </c>
      <c r="L30" s="1101"/>
      <c r="M30" s="1321">
        <f t="shared" si="3"/>
        <v>85.206392616015719</v>
      </c>
    </row>
    <row r="31" spans="1:17" s="99" customFormat="1" ht="24.75" customHeight="1" x14ac:dyDescent="0.2">
      <c r="A31" s="1168"/>
      <c r="B31" s="1158" t="s">
        <v>1196</v>
      </c>
      <c r="C31" s="94" t="s">
        <v>1029</v>
      </c>
      <c r="D31" s="738" t="s">
        <v>923</v>
      </c>
      <c r="E31" s="738">
        <v>24980</v>
      </c>
      <c r="F31" s="738">
        <v>6745</v>
      </c>
      <c r="G31" s="739">
        <f>SUM(E31:F31)</f>
        <v>31725</v>
      </c>
      <c r="H31" s="447">
        <f t="shared" si="9"/>
        <v>31725</v>
      </c>
      <c r="I31" s="126"/>
      <c r="J31" s="1310">
        <f t="shared" si="2"/>
        <v>0</v>
      </c>
      <c r="K31" s="447"/>
      <c r="L31" s="1101"/>
      <c r="M31" s="1321">
        <f t="shared" si="3"/>
        <v>0</v>
      </c>
    </row>
    <row r="32" spans="1:17" s="99" customFormat="1" ht="23.25" customHeight="1" x14ac:dyDescent="0.2">
      <c r="A32" s="1168"/>
      <c r="B32" s="1158" t="s">
        <v>486</v>
      </c>
      <c r="C32" s="94" t="s">
        <v>1269</v>
      </c>
      <c r="D32" s="446" t="s">
        <v>479</v>
      </c>
      <c r="E32" s="738">
        <v>21871</v>
      </c>
      <c r="F32" s="738">
        <v>5905</v>
      </c>
      <c r="G32" s="739">
        <f t="shared" ref="G32:G44" si="10">E32+F32</f>
        <v>27776</v>
      </c>
      <c r="H32" s="447">
        <f t="shared" si="9"/>
        <v>27776</v>
      </c>
      <c r="I32" s="738"/>
      <c r="J32" s="1454">
        <f t="shared" si="2"/>
        <v>27775</v>
      </c>
      <c r="K32" s="447">
        <v>27775</v>
      </c>
      <c r="L32" s="1101"/>
      <c r="M32" s="1321">
        <f t="shared" si="3"/>
        <v>99.996399769585253</v>
      </c>
    </row>
    <row r="33" spans="1:15" s="99" customFormat="1" ht="24.75" customHeight="1" x14ac:dyDescent="0.2">
      <c r="A33" s="1168"/>
      <c r="B33" s="1158" t="s">
        <v>487</v>
      </c>
      <c r="C33" s="94" t="s">
        <v>934</v>
      </c>
      <c r="D33" s="446" t="s">
        <v>479</v>
      </c>
      <c r="E33" s="738">
        <f>23622-15748</f>
        <v>7874</v>
      </c>
      <c r="F33" s="738">
        <f>6378-4252</f>
        <v>2126</v>
      </c>
      <c r="G33" s="739">
        <f t="shared" si="10"/>
        <v>10000</v>
      </c>
      <c r="H33" s="447">
        <f t="shared" si="9"/>
        <v>10000</v>
      </c>
      <c r="I33" s="126"/>
      <c r="J33" s="1454">
        <f t="shared" si="2"/>
        <v>0</v>
      </c>
      <c r="K33" s="447"/>
      <c r="L33" s="1101"/>
      <c r="M33" s="1321">
        <f t="shared" si="3"/>
        <v>0</v>
      </c>
    </row>
    <row r="34" spans="1:15" s="99" customFormat="1" ht="36.75" customHeight="1" x14ac:dyDescent="0.2">
      <c r="A34" s="1168"/>
      <c r="B34" s="1158" t="s">
        <v>488</v>
      </c>
      <c r="C34" s="90" t="s">
        <v>1305</v>
      </c>
      <c r="D34" s="446" t="s">
        <v>479</v>
      </c>
      <c r="E34" s="1022">
        <v>211019</v>
      </c>
      <c r="F34" s="1022">
        <v>3525</v>
      </c>
      <c r="G34" s="1023">
        <f t="shared" si="10"/>
        <v>214544</v>
      </c>
      <c r="H34" s="1024">
        <f t="shared" si="9"/>
        <v>214544</v>
      </c>
      <c r="I34" s="126"/>
      <c r="J34" s="1454">
        <f t="shared" si="2"/>
        <v>214542</v>
      </c>
      <c r="K34" s="447">
        <v>214542</v>
      </c>
      <c r="L34" s="1101"/>
      <c r="M34" s="1101">
        <f t="shared" si="3"/>
        <v>99.999067790290113</v>
      </c>
    </row>
    <row r="35" spans="1:15" s="99" customFormat="1" ht="27" customHeight="1" x14ac:dyDescent="0.2">
      <c r="A35" s="1168"/>
      <c r="B35" s="1158" t="s">
        <v>489</v>
      </c>
      <c r="C35" s="685" t="s">
        <v>1270</v>
      </c>
      <c r="D35" s="446" t="s">
        <v>479</v>
      </c>
      <c r="E35" s="738">
        <v>12071</v>
      </c>
      <c r="F35" s="738">
        <v>3260</v>
      </c>
      <c r="G35" s="739">
        <f t="shared" si="10"/>
        <v>15331</v>
      </c>
      <c r="H35" s="447"/>
      <c r="I35" s="738">
        <f>G35</f>
        <v>15331</v>
      </c>
      <c r="J35" s="1454">
        <f t="shared" si="2"/>
        <v>15330</v>
      </c>
      <c r="K35" s="447"/>
      <c r="L35" s="1101">
        <v>15330</v>
      </c>
      <c r="M35" s="1321">
        <f t="shared" si="3"/>
        <v>99.993477268279946</v>
      </c>
    </row>
    <row r="36" spans="1:15" s="99" customFormat="1" ht="36.75" customHeight="1" x14ac:dyDescent="0.2">
      <c r="A36" s="1168"/>
      <c r="B36" s="1158" t="s">
        <v>1197</v>
      </c>
      <c r="C36" s="890" t="s">
        <v>1014</v>
      </c>
      <c r="D36" s="738" t="s">
        <v>479</v>
      </c>
      <c r="E36" s="738">
        <v>145378</v>
      </c>
      <c r="F36" s="738">
        <v>39252</v>
      </c>
      <c r="G36" s="739">
        <f t="shared" si="10"/>
        <v>184630</v>
      </c>
      <c r="H36" s="447">
        <f>G36</f>
        <v>184630</v>
      </c>
      <c r="I36" s="738"/>
      <c r="J36" s="1454">
        <f t="shared" si="2"/>
        <v>133585</v>
      </c>
      <c r="K36" s="1493">
        <v>133585</v>
      </c>
      <c r="L36" s="1484"/>
      <c r="M36" s="1321">
        <f t="shared" si="3"/>
        <v>72.352813735579275</v>
      </c>
      <c r="O36" s="1492"/>
    </row>
    <row r="37" spans="1:15" s="99" customFormat="1" ht="27" customHeight="1" x14ac:dyDescent="0.2">
      <c r="A37" s="1168"/>
      <c r="B37" s="1158" t="s">
        <v>1198</v>
      </c>
      <c r="C37" s="685" t="s">
        <v>1051</v>
      </c>
      <c r="D37" s="446"/>
      <c r="E37" s="738">
        <v>118110</v>
      </c>
      <c r="F37" s="738">
        <v>31890</v>
      </c>
      <c r="G37" s="739">
        <f t="shared" si="10"/>
        <v>150000</v>
      </c>
      <c r="H37" s="447">
        <f>G37</f>
        <v>150000</v>
      </c>
      <c r="I37" s="738"/>
      <c r="J37" s="1454">
        <f t="shared" si="2"/>
        <v>150000</v>
      </c>
      <c r="K37" s="1493">
        <v>150000</v>
      </c>
      <c r="L37" s="1101"/>
      <c r="M37" s="1321">
        <f t="shared" si="3"/>
        <v>100</v>
      </c>
      <c r="O37" s="1492"/>
    </row>
    <row r="38" spans="1:15" s="99" customFormat="1" ht="27" customHeight="1" x14ac:dyDescent="0.2">
      <c r="A38" s="1168"/>
      <c r="B38" s="1158" t="s">
        <v>1333</v>
      </c>
      <c r="C38" s="685" t="s">
        <v>1334</v>
      </c>
      <c r="D38" s="446"/>
      <c r="E38" s="738">
        <v>0</v>
      </c>
      <c r="F38" s="738">
        <v>0</v>
      </c>
      <c r="G38" s="739">
        <f t="shared" si="10"/>
        <v>0</v>
      </c>
      <c r="H38" s="447">
        <f>G38</f>
        <v>0</v>
      </c>
      <c r="I38" s="738"/>
      <c r="J38" s="1454">
        <f t="shared" si="2"/>
        <v>0</v>
      </c>
      <c r="K38" s="447"/>
      <c r="L38" s="1101"/>
      <c r="M38" s="1321"/>
    </row>
    <row r="39" spans="1:15" s="99" customFormat="1" ht="26.25" customHeight="1" x14ac:dyDescent="0.2">
      <c r="A39" s="1168"/>
      <c r="B39" s="1158" t="s">
        <v>491</v>
      </c>
      <c r="C39" s="685" t="s">
        <v>1007</v>
      </c>
      <c r="D39" s="446" t="s">
        <v>479</v>
      </c>
      <c r="E39" s="738">
        <v>0</v>
      </c>
      <c r="F39" s="738">
        <v>0</v>
      </c>
      <c r="G39" s="739">
        <f t="shared" ref="G39" si="11">E39+F39</f>
        <v>0</v>
      </c>
      <c r="H39" s="447">
        <f t="shared" ref="H39" si="12">G39</f>
        <v>0</v>
      </c>
      <c r="I39" s="738"/>
      <c r="J39" s="1454">
        <f t="shared" si="2"/>
        <v>0</v>
      </c>
      <c r="K39" s="447"/>
      <c r="L39" s="1101"/>
      <c r="M39" s="1321"/>
    </row>
    <row r="40" spans="1:15" s="99" customFormat="1" ht="21.75" customHeight="1" x14ac:dyDescent="0.2">
      <c r="A40" s="1168"/>
      <c r="B40" s="1158" t="s">
        <v>492</v>
      </c>
      <c r="C40" s="685" t="s">
        <v>924</v>
      </c>
      <c r="D40" s="446" t="s">
        <v>479</v>
      </c>
      <c r="E40" s="738">
        <v>12367</v>
      </c>
      <c r="F40" s="738">
        <v>3339</v>
      </c>
      <c r="G40" s="739">
        <f t="shared" si="10"/>
        <v>15706</v>
      </c>
      <c r="H40" s="447">
        <f t="shared" ref="H40" si="13">G40</f>
        <v>15706</v>
      </c>
      <c r="I40" s="738"/>
      <c r="J40" s="1454">
        <f t="shared" si="2"/>
        <v>0</v>
      </c>
      <c r="K40" s="447"/>
      <c r="L40" s="1101"/>
      <c r="M40" s="1321">
        <f t="shared" si="3"/>
        <v>0</v>
      </c>
    </row>
    <row r="41" spans="1:15" s="99" customFormat="1" ht="21.75" customHeight="1" x14ac:dyDescent="0.2">
      <c r="A41" s="1168"/>
      <c r="B41" s="1159" t="s">
        <v>1243</v>
      </c>
      <c r="C41" s="685" t="s">
        <v>953</v>
      </c>
      <c r="D41" s="446" t="s">
        <v>479</v>
      </c>
      <c r="E41" s="738">
        <v>0</v>
      </c>
      <c r="F41" s="738">
        <v>0</v>
      </c>
      <c r="G41" s="739">
        <f t="shared" si="10"/>
        <v>0</v>
      </c>
      <c r="H41" s="447"/>
      <c r="I41" s="738">
        <f>G41</f>
        <v>0</v>
      </c>
      <c r="J41" s="1454">
        <f t="shared" si="2"/>
        <v>0</v>
      </c>
      <c r="K41" s="447"/>
      <c r="L41" s="1101"/>
      <c r="M41" s="1321"/>
    </row>
    <row r="42" spans="1:15" s="99" customFormat="1" ht="27" customHeight="1" x14ac:dyDescent="0.2">
      <c r="A42" s="1168"/>
      <c r="B42" s="1159" t="s">
        <v>1244</v>
      </c>
      <c r="C42" s="685" t="s">
        <v>1049</v>
      </c>
      <c r="D42" s="738" t="s">
        <v>923</v>
      </c>
      <c r="E42" s="738">
        <v>69000</v>
      </c>
      <c r="F42" s="738">
        <v>0</v>
      </c>
      <c r="G42" s="739">
        <f t="shared" si="10"/>
        <v>69000</v>
      </c>
      <c r="H42" s="447"/>
      <c r="I42" s="738">
        <f>G42</f>
        <v>69000</v>
      </c>
      <c r="J42" s="1454">
        <f t="shared" si="2"/>
        <v>27600</v>
      </c>
      <c r="K42" s="447"/>
      <c r="L42" s="1101">
        <v>27600</v>
      </c>
      <c r="M42" s="1321">
        <f t="shared" si="3"/>
        <v>40</v>
      </c>
    </row>
    <row r="43" spans="1:15" s="99" customFormat="1" ht="26.25" customHeight="1" x14ac:dyDescent="0.2">
      <c r="A43" s="1168"/>
      <c r="B43" s="1159" t="s">
        <v>1272</v>
      </c>
      <c r="C43" s="685" t="s">
        <v>1291</v>
      </c>
      <c r="D43" s="446" t="s">
        <v>479</v>
      </c>
      <c r="E43" s="738">
        <v>77153</v>
      </c>
      <c r="F43" s="738">
        <v>20832</v>
      </c>
      <c r="G43" s="739">
        <f t="shared" si="10"/>
        <v>97985</v>
      </c>
      <c r="H43" s="447">
        <f t="shared" ref="H43:H48" si="14">G43</f>
        <v>97985</v>
      </c>
      <c r="I43" s="738"/>
      <c r="J43" s="1494">
        <f t="shared" si="2"/>
        <v>97984</v>
      </c>
      <c r="K43" s="1491">
        <v>97984</v>
      </c>
      <c r="L43" s="1101"/>
      <c r="M43" s="1321">
        <f t="shared" si="3"/>
        <v>99.998979435627902</v>
      </c>
      <c r="O43" s="1495"/>
    </row>
    <row r="44" spans="1:15" s="99" customFormat="1" ht="39.75" customHeight="1" x14ac:dyDescent="0.2">
      <c r="A44" s="1168"/>
      <c r="B44" s="1159" t="s">
        <v>1273</v>
      </c>
      <c r="C44" s="685" t="s">
        <v>1274</v>
      </c>
      <c r="D44" s="738" t="s">
        <v>923</v>
      </c>
      <c r="E44" s="738">
        <v>17395</v>
      </c>
      <c r="F44" s="738">
        <v>4697</v>
      </c>
      <c r="G44" s="739">
        <f t="shared" si="10"/>
        <v>22092</v>
      </c>
      <c r="H44" s="447">
        <f>G44</f>
        <v>22092</v>
      </c>
      <c r="I44" s="738"/>
      <c r="J44" s="1494">
        <f t="shared" si="2"/>
        <v>22079</v>
      </c>
      <c r="K44" s="1491">
        <v>22079</v>
      </c>
      <c r="L44" s="1101"/>
      <c r="M44" s="1321">
        <f t="shared" si="3"/>
        <v>99.941155169292045</v>
      </c>
      <c r="O44" s="1495"/>
    </row>
    <row r="45" spans="1:15" s="99" customFormat="1" ht="27.75" customHeight="1" x14ac:dyDescent="0.2">
      <c r="A45" s="1168"/>
      <c r="B45" s="1158" t="s">
        <v>530</v>
      </c>
      <c r="C45" s="873" t="s">
        <v>976</v>
      </c>
      <c r="D45" s="446" t="s">
        <v>479</v>
      </c>
      <c r="E45" s="738">
        <v>59056</v>
      </c>
      <c r="F45" s="738">
        <v>15945</v>
      </c>
      <c r="G45" s="739">
        <f t="shared" ref="G45:G57" si="15">SUM(E45:F45)</f>
        <v>75001</v>
      </c>
      <c r="H45" s="447">
        <f t="shared" si="14"/>
        <v>75001</v>
      </c>
      <c r="I45" s="738"/>
      <c r="J45" s="1454">
        <f t="shared" si="2"/>
        <v>0</v>
      </c>
      <c r="K45" s="447"/>
      <c r="L45" s="1101"/>
      <c r="M45" s="1321">
        <f t="shared" si="3"/>
        <v>0</v>
      </c>
    </row>
    <row r="46" spans="1:15" s="99" customFormat="1" ht="27.75" customHeight="1" x14ac:dyDescent="0.2">
      <c r="A46" s="1168"/>
      <c r="B46" s="1159" t="s">
        <v>1330</v>
      </c>
      <c r="C46" s="938" t="s">
        <v>1192</v>
      </c>
      <c r="D46" s="738" t="s">
        <v>308</v>
      </c>
      <c r="E46" s="738">
        <v>67427</v>
      </c>
      <c r="F46" s="738">
        <v>540</v>
      </c>
      <c r="G46" s="739">
        <f t="shared" si="15"/>
        <v>67967</v>
      </c>
      <c r="H46" s="447">
        <f t="shared" si="14"/>
        <v>67967</v>
      </c>
      <c r="I46" s="738"/>
      <c r="J46" s="1454">
        <f t="shared" si="2"/>
        <v>67966</v>
      </c>
      <c r="K46" s="447">
        <v>67966</v>
      </c>
      <c r="L46" s="1101"/>
      <c r="M46" s="1321">
        <f t="shared" si="3"/>
        <v>99.998528697750373</v>
      </c>
    </row>
    <row r="47" spans="1:15" s="99" customFormat="1" ht="44.25" customHeight="1" x14ac:dyDescent="0.2">
      <c r="A47" s="1168"/>
      <c r="B47" s="1159" t="s">
        <v>1331</v>
      </c>
      <c r="C47" s="938" t="s">
        <v>1332</v>
      </c>
      <c r="D47" s="738" t="s">
        <v>308</v>
      </c>
      <c r="E47" s="738">
        <v>20938</v>
      </c>
      <c r="F47" s="738">
        <v>5653</v>
      </c>
      <c r="G47" s="739">
        <f t="shared" si="15"/>
        <v>26591</v>
      </c>
      <c r="H47" s="447">
        <f>G47</f>
        <v>26591</v>
      </c>
      <c r="I47" s="738"/>
      <c r="J47" s="1454">
        <f t="shared" si="2"/>
        <v>0</v>
      </c>
      <c r="K47" s="447"/>
      <c r="L47" s="1101"/>
      <c r="M47" s="1321">
        <f t="shared" si="3"/>
        <v>0</v>
      </c>
    </row>
    <row r="48" spans="1:15" s="99" customFormat="1" ht="41.25" customHeight="1" x14ac:dyDescent="0.2">
      <c r="A48" s="1168"/>
      <c r="B48" s="1158" t="s">
        <v>532</v>
      </c>
      <c r="C48" s="938" t="s">
        <v>1271</v>
      </c>
      <c r="D48" s="738" t="s">
        <v>308</v>
      </c>
      <c r="E48" s="738">
        <v>513064</v>
      </c>
      <c r="F48" s="738">
        <v>138527</v>
      </c>
      <c r="G48" s="739">
        <f t="shared" si="15"/>
        <v>651591</v>
      </c>
      <c r="H48" s="447">
        <f t="shared" si="14"/>
        <v>651591</v>
      </c>
      <c r="I48" s="738"/>
      <c r="J48" s="1454">
        <f t="shared" si="2"/>
        <v>5636</v>
      </c>
      <c r="K48" s="447">
        <v>5636</v>
      </c>
      <c r="L48" s="1101"/>
      <c r="M48" s="1321">
        <f t="shared" si="3"/>
        <v>0.8649597677070433</v>
      </c>
    </row>
    <row r="49" spans="1:13" s="99" customFormat="1" ht="27.75" customHeight="1" x14ac:dyDescent="0.2">
      <c r="A49" s="1168"/>
      <c r="B49" s="1158" t="s">
        <v>533</v>
      </c>
      <c r="C49" s="938" t="s">
        <v>1165</v>
      </c>
      <c r="D49" s="738" t="s">
        <v>308</v>
      </c>
      <c r="E49" s="738">
        <v>1181</v>
      </c>
      <c r="F49" s="738">
        <v>319</v>
      </c>
      <c r="G49" s="739">
        <f t="shared" si="15"/>
        <v>1500</v>
      </c>
      <c r="H49" s="447"/>
      <c r="I49" s="738">
        <f>G49</f>
        <v>1500</v>
      </c>
      <c r="J49" s="1454">
        <f t="shared" si="2"/>
        <v>0</v>
      </c>
      <c r="K49" s="447"/>
      <c r="L49" s="1101"/>
      <c r="M49" s="1321">
        <f t="shared" si="3"/>
        <v>0</v>
      </c>
    </row>
    <row r="50" spans="1:13" s="99" customFormat="1" ht="27.75" customHeight="1" x14ac:dyDescent="0.2">
      <c r="A50" s="1168"/>
      <c r="B50" s="1158" t="s">
        <v>534</v>
      </c>
      <c r="C50" s="938" t="s">
        <v>1245</v>
      </c>
      <c r="D50" s="738" t="s">
        <v>308</v>
      </c>
      <c r="E50" s="738">
        <v>0</v>
      </c>
      <c r="F50" s="738">
        <v>0</v>
      </c>
      <c r="G50" s="739">
        <f t="shared" si="15"/>
        <v>0</v>
      </c>
      <c r="H50" s="447"/>
      <c r="I50" s="738">
        <v>0</v>
      </c>
      <c r="J50" s="1454">
        <f t="shared" si="2"/>
        <v>0</v>
      </c>
      <c r="K50" s="447"/>
      <c r="L50" s="1101"/>
      <c r="M50" s="1321"/>
    </row>
    <row r="51" spans="1:13" s="99" customFormat="1" ht="27.75" customHeight="1" x14ac:dyDescent="0.2">
      <c r="A51" s="1168"/>
      <c r="B51" s="1158" t="s">
        <v>535</v>
      </c>
      <c r="C51" s="938" t="s">
        <v>1246</v>
      </c>
      <c r="D51" s="738"/>
      <c r="E51" s="738">
        <v>41000</v>
      </c>
      <c r="F51" s="738">
        <v>11070</v>
      </c>
      <c r="G51" s="739">
        <f t="shared" si="15"/>
        <v>52070</v>
      </c>
      <c r="H51" s="447">
        <f>G51</f>
        <v>52070</v>
      </c>
      <c r="I51" s="738"/>
      <c r="J51" s="1454">
        <f t="shared" si="2"/>
        <v>52070</v>
      </c>
      <c r="K51" s="447">
        <v>52070</v>
      </c>
      <c r="L51" s="1101"/>
      <c r="M51" s="1321">
        <f t="shared" si="3"/>
        <v>100</v>
      </c>
    </row>
    <row r="52" spans="1:13" s="99" customFormat="1" ht="20.25" customHeight="1" x14ac:dyDescent="0.2">
      <c r="A52" s="1168"/>
      <c r="B52" s="1158" t="s">
        <v>536</v>
      </c>
      <c r="C52" s="938" t="s">
        <v>1275</v>
      </c>
      <c r="D52" s="738" t="s">
        <v>308</v>
      </c>
      <c r="E52" s="738">
        <v>1200</v>
      </c>
      <c r="F52" s="738">
        <v>324</v>
      </c>
      <c r="G52" s="739">
        <f t="shared" si="15"/>
        <v>1524</v>
      </c>
      <c r="H52" s="447"/>
      <c r="I52" s="738">
        <f>G52</f>
        <v>1524</v>
      </c>
      <c r="J52" s="1454">
        <f t="shared" si="2"/>
        <v>1524</v>
      </c>
      <c r="K52" s="447"/>
      <c r="L52" s="1101">
        <v>1524</v>
      </c>
      <c r="M52" s="1321">
        <f t="shared" si="3"/>
        <v>100</v>
      </c>
    </row>
    <row r="53" spans="1:13" s="99" customFormat="1" ht="24.75" customHeight="1" x14ac:dyDescent="0.2">
      <c r="A53" s="1168"/>
      <c r="B53" s="1158" t="s">
        <v>538</v>
      </c>
      <c r="C53" s="938" t="s">
        <v>1276</v>
      </c>
      <c r="D53" s="738" t="s">
        <v>308</v>
      </c>
      <c r="E53" s="738">
        <v>975</v>
      </c>
      <c r="F53" s="738">
        <v>264</v>
      </c>
      <c r="G53" s="739">
        <f t="shared" si="15"/>
        <v>1239</v>
      </c>
      <c r="H53" s="447">
        <f>G53</f>
        <v>1239</v>
      </c>
      <c r="I53" s="738"/>
      <c r="J53" s="1454">
        <f t="shared" si="2"/>
        <v>0</v>
      </c>
      <c r="K53" s="447"/>
      <c r="L53" s="1101"/>
      <c r="M53" s="1321">
        <f t="shared" si="3"/>
        <v>0</v>
      </c>
    </row>
    <row r="54" spans="1:13" s="99" customFormat="1" ht="24.75" customHeight="1" x14ac:dyDescent="0.2">
      <c r="A54" s="1168"/>
      <c r="B54" s="1158" t="s">
        <v>539</v>
      </c>
      <c r="C54" s="938" t="s">
        <v>1289</v>
      </c>
      <c r="D54" s="738" t="s">
        <v>308</v>
      </c>
      <c r="E54" s="738">
        <v>23823</v>
      </c>
      <c r="F54" s="738">
        <v>0</v>
      </c>
      <c r="G54" s="739">
        <f t="shared" si="15"/>
        <v>23823</v>
      </c>
      <c r="H54" s="447">
        <f>G54</f>
        <v>23823</v>
      </c>
      <c r="I54" s="738"/>
      <c r="J54" s="1454">
        <f t="shared" si="2"/>
        <v>6274</v>
      </c>
      <c r="K54" s="447">
        <v>6274</v>
      </c>
      <c r="L54" s="1101"/>
      <c r="M54" s="1321">
        <f t="shared" si="3"/>
        <v>26.335893884061623</v>
      </c>
    </row>
    <row r="55" spans="1:13" s="99" customFormat="1" ht="24.75" customHeight="1" x14ac:dyDescent="0.2">
      <c r="A55" s="1168"/>
      <c r="B55" s="1158" t="s">
        <v>540</v>
      </c>
      <c r="C55" s="938" t="s">
        <v>1335</v>
      </c>
      <c r="D55" s="738"/>
      <c r="E55" s="738">
        <v>294</v>
      </c>
      <c r="F55" s="738"/>
      <c r="G55" s="739">
        <f t="shared" si="15"/>
        <v>294</v>
      </c>
      <c r="H55" s="447">
        <f>G55</f>
        <v>294</v>
      </c>
      <c r="I55" s="738"/>
      <c r="J55" s="1454">
        <f t="shared" si="2"/>
        <v>0</v>
      </c>
      <c r="K55" s="447"/>
      <c r="L55" s="1101"/>
      <c r="M55" s="1321">
        <f t="shared" si="3"/>
        <v>0</v>
      </c>
    </row>
    <row r="56" spans="1:13" s="99" customFormat="1" ht="38.25" customHeight="1" x14ac:dyDescent="0.2">
      <c r="A56" s="1168"/>
      <c r="B56" s="1158" t="s">
        <v>541</v>
      </c>
      <c r="C56" s="938" t="s">
        <v>1348</v>
      </c>
      <c r="D56" s="738" t="s">
        <v>308</v>
      </c>
      <c r="E56" s="738">
        <v>10377</v>
      </c>
      <c r="F56" s="738"/>
      <c r="G56" s="739">
        <f t="shared" si="15"/>
        <v>10377</v>
      </c>
      <c r="H56" s="447">
        <f>G56</f>
        <v>10377</v>
      </c>
      <c r="I56" s="738"/>
      <c r="J56" s="1454">
        <f t="shared" si="2"/>
        <v>0</v>
      </c>
      <c r="K56" s="447"/>
      <c r="L56" s="1101"/>
      <c r="M56" s="1321">
        <f t="shared" si="3"/>
        <v>0</v>
      </c>
    </row>
    <row r="57" spans="1:13" s="99" customFormat="1" ht="19.5" customHeight="1" x14ac:dyDescent="0.2">
      <c r="A57" s="1168"/>
      <c r="B57" s="1158" t="s">
        <v>542</v>
      </c>
      <c r="C57" s="938" t="s">
        <v>1349</v>
      </c>
      <c r="D57" s="738" t="s">
        <v>308</v>
      </c>
      <c r="E57" s="738">
        <v>1893</v>
      </c>
      <c r="F57" s="738">
        <v>511</v>
      </c>
      <c r="G57" s="739">
        <f t="shared" si="15"/>
        <v>2404</v>
      </c>
      <c r="H57" s="447"/>
      <c r="I57" s="738">
        <f>G57</f>
        <v>2404</v>
      </c>
      <c r="J57" s="1454">
        <f t="shared" si="2"/>
        <v>2403</v>
      </c>
      <c r="K57" s="447"/>
      <c r="L57" s="1101">
        <v>2403</v>
      </c>
      <c r="M57" s="1321">
        <f t="shared" si="3"/>
        <v>99.958402662229616</v>
      </c>
    </row>
    <row r="58" spans="1:13" s="99" customFormat="1" ht="10.5" customHeight="1" thickBot="1" x14ac:dyDescent="0.25">
      <c r="A58" s="1168"/>
      <c r="B58" s="1158"/>
      <c r="C58" s="938"/>
      <c r="D58" s="738"/>
      <c r="E58" s="738"/>
      <c r="F58" s="738"/>
      <c r="G58" s="739"/>
      <c r="H58" s="447"/>
      <c r="I58" s="738"/>
      <c r="J58" s="1080"/>
      <c r="K58" s="86"/>
      <c r="L58" s="1329"/>
      <c r="M58" s="1321"/>
    </row>
    <row r="59" spans="1:13" ht="13.9" customHeight="1" thickBot="1" x14ac:dyDescent="0.25">
      <c r="A59" s="1167"/>
      <c r="B59" s="1160"/>
      <c r="C59" s="91" t="s">
        <v>494</v>
      </c>
      <c r="D59" s="100"/>
      <c r="E59" s="752">
        <f t="shared" ref="E59:L59" si="16">SUM(E30:E57)</f>
        <v>1467659</v>
      </c>
      <c r="F59" s="752">
        <f t="shared" si="16"/>
        <v>297212</v>
      </c>
      <c r="G59" s="752">
        <f t="shared" si="16"/>
        <v>1764871</v>
      </c>
      <c r="H59" s="752">
        <f t="shared" si="16"/>
        <v>1675112</v>
      </c>
      <c r="I59" s="1311">
        <f>SUM(I30:I57)</f>
        <v>89759</v>
      </c>
      <c r="J59" s="752">
        <f t="shared" si="16"/>
        <v>834738</v>
      </c>
      <c r="K59" s="752">
        <f t="shared" si="16"/>
        <v>787881</v>
      </c>
      <c r="L59" s="1311">
        <f t="shared" si="16"/>
        <v>46857</v>
      </c>
      <c r="M59" s="1315">
        <f t="shared" si="3"/>
        <v>47.297394540450831</v>
      </c>
    </row>
    <row r="60" spans="1:13" s="99" customFormat="1" ht="13.9" customHeight="1" x14ac:dyDescent="0.2">
      <c r="A60" s="1168"/>
      <c r="B60" s="1153"/>
      <c r="C60" s="90"/>
      <c r="D60" s="95"/>
      <c r="E60" s="88"/>
      <c r="F60" s="88"/>
      <c r="G60" s="89"/>
      <c r="H60" s="85"/>
      <c r="I60" s="1339"/>
      <c r="J60" s="126"/>
      <c r="K60" s="86"/>
      <c r="L60" s="1321"/>
      <c r="M60" s="1321"/>
    </row>
    <row r="61" spans="1:13" s="99" customFormat="1" ht="13.9" customHeight="1" x14ac:dyDescent="0.2">
      <c r="A61" s="1168"/>
      <c r="B61" s="1151"/>
      <c r="C61" s="90"/>
      <c r="D61" s="95"/>
      <c r="E61" s="88"/>
      <c r="F61" s="88"/>
      <c r="G61" s="89"/>
      <c r="H61" s="85"/>
      <c r="I61" s="88"/>
      <c r="J61" s="1080"/>
      <c r="K61" s="86"/>
      <c r="L61" s="1321"/>
      <c r="M61" s="1321"/>
    </row>
    <row r="62" spans="1:13" s="103" customFormat="1" ht="15.75" customHeight="1" x14ac:dyDescent="0.2">
      <c r="A62" s="1170"/>
      <c r="B62" s="1154" t="s">
        <v>495</v>
      </c>
      <c r="C62" s="101" t="s">
        <v>496</v>
      </c>
      <c r="D62" s="102"/>
      <c r="E62" s="89"/>
      <c r="F62" s="89"/>
      <c r="G62" s="89"/>
      <c r="H62" s="113"/>
      <c r="I62" s="563"/>
      <c r="J62" s="1080"/>
      <c r="K62" s="97"/>
      <c r="L62" s="1100"/>
      <c r="M62" s="1321"/>
    </row>
    <row r="63" spans="1:13" s="103" customFormat="1" ht="15.75" customHeight="1" x14ac:dyDescent="0.2">
      <c r="A63" s="1170"/>
      <c r="B63" s="1158" t="s">
        <v>478</v>
      </c>
      <c r="C63" s="90" t="s">
        <v>1344</v>
      </c>
      <c r="D63" s="445" t="s">
        <v>306</v>
      </c>
      <c r="E63" s="869">
        <v>7606</v>
      </c>
      <c r="F63" s="869">
        <v>2054</v>
      </c>
      <c r="G63" s="870">
        <f>E63+F63</f>
        <v>9660</v>
      </c>
      <c r="H63" s="871">
        <v>6350</v>
      </c>
      <c r="I63" s="869">
        <v>3310</v>
      </c>
      <c r="J63" s="1309">
        <f t="shared" si="2"/>
        <v>2918</v>
      </c>
      <c r="K63" s="86">
        <v>1918</v>
      </c>
      <c r="L63" s="1321">
        <v>1000</v>
      </c>
      <c r="M63" s="1321">
        <f t="shared" si="3"/>
        <v>30.207039337474118</v>
      </c>
    </row>
    <row r="64" spans="1:13" s="103" customFormat="1" ht="15.75" customHeight="1" x14ac:dyDescent="0.2">
      <c r="A64" s="1170"/>
      <c r="B64" s="1158" t="s">
        <v>486</v>
      </c>
      <c r="C64" s="104" t="s">
        <v>171</v>
      </c>
      <c r="D64" s="445" t="s">
        <v>306</v>
      </c>
      <c r="E64" s="446">
        <v>1000</v>
      </c>
      <c r="F64" s="446">
        <v>270</v>
      </c>
      <c r="G64" s="448">
        <f>SUM(E64:F64)</f>
        <v>1270</v>
      </c>
      <c r="H64" s="872"/>
      <c r="I64" s="446">
        <v>1270</v>
      </c>
      <c r="J64" s="1309">
        <f t="shared" si="2"/>
        <v>1261</v>
      </c>
      <c r="K64" s="97"/>
      <c r="L64" s="1321">
        <v>1261</v>
      </c>
      <c r="M64" s="1321">
        <f t="shared" si="3"/>
        <v>99.29133858267717</v>
      </c>
    </row>
    <row r="65" spans="1:16" s="103" customFormat="1" ht="27" customHeight="1" x14ac:dyDescent="0.2">
      <c r="A65" s="1170"/>
      <c r="B65" s="1158" t="s">
        <v>487</v>
      </c>
      <c r="C65" s="685" t="s">
        <v>1052</v>
      </c>
      <c r="D65" s="445" t="s">
        <v>306</v>
      </c>
      <c r="E65" s="446">
        <v>0</v>
      </c>
      <c r="F65" s="446"/>
      <c r="G65" s="448">
        <f t="shared" ref="G65:G66" si="17">E65+F65</f>
        <v>0</v>
      </c>
      <c r="H65" s="836">
        <f>G65</f>
        <v>0</v>
      </c>
      <c r="I65" s="446"/>
      <c r="J65" s="1080">
        <f t="shared" si="2"/>
        <v>0</v>
      </c>
      <c r="K65" s="97"/>
      <c r="L65" s="1100"/>
      <c r="M65" s="1321"/>
    </row>
    <row r="66" spans="1:16" s="103" customFormat="1" ht="31.5" customHeight="1" x14ac:dyDescent="0.2">
      <c r="A66" s="1170"/>
      <c r="B66" s="1158" t="s">
        <v>488</v>
      </c>
      <c r="C66" s="685" t="s">
        <v>1050</v>
      </c>
      <c r="D66" s="445" t="s">
        <v>306</v>
      </c>
      <c r="E66" s="446">
        <v>12598</v>
      </c>
      <c r="F66" s="446">
        <v>3402</v>
      </c>
      <c r="G66" s="448">
        <f t="shared" si="17"/>
        <v>16000</v>
      </c>
      <c r="H66" s="872"/>
      <c r="I66" s="446">
        <f>G66</f>
        <v>16000</v>
      </c>
      <c r="J66" s="1080">
        <f t="shared" si="2"/>
        <v>0</v>
      </c>
      <c r="K66" s="97"/>
      <c r="L66" s="1100"/>
      <c r="M66" s="1321">
        <f t="shared" si="3"/>
        <v>0</v>
      </c>
    </row>
    <row r="67" spans="1:16" s="103" customFormat="1" ht="9.75" customHeight="1" thickBot="1" x14ac:dyDescent="0.25">
      <c r="A67" s="1170"/>
      <c r="B67" s="1158"/>
      <c r="C67" s="685"/>
      <c r="D67" s="445"/>
      <c r="E67" s="446"/>
      <c r="F67" s="446"/>
      <c r="G67" s="448"/>
      <c r="H67" s="872"/>
      <c r="I67" s="446"/>
      <c r="J67" s="1080"/>
      <c r="K67" s="97"/>
      <c r="L67" s="1100"/>
      <c r="M67" s="1321"/>
    </row>
    <row r="68" spans="1:16" s="103" customFormat="1" ht="12" customHeight="1" thickBot="1" x14ac:dyDescent="0.2">
      <c r="A68" s="1170"/>
      <c r="B68" s="1169"/>
      <c r="C68" s="91" t="s">
        <v>498</v>
      </c>
      <c r="D68" s="100"/>
      <c r="E68" s="92">
        <f t="shared" ref="E68:J68" si="18">SUM(E63:E66)</f>
        <v>21204</v>
      </c>
      <c r="F68" s="92">
        <f t="shared" si="18"/>
        <v>5726</v>
      </c>
      <c r="G68" s="92">
        <f t="shared" si="18"/>
        <v>26930</v>
      </c>
      <c r="H68" s="92">
        <f t="shared" si="18"/>
        <v>6350</v>
      </c>
      <c r="I68" s="92">
        <f t="shared" si="18"/>
        <v>20580</v>
      </c>
      <c r="J68" s="752">
        <f t="shared" si="18"/>
        <v>4179</v>
      </c>
      <c r="K68" s="752">
        <f t="shared" ref="K68:L68" si="19">SUM(K63:K66)</f>
        <v>1918</v>
      </c>
      <c r="L68" s="1311">
        <f t="shared" si="19"/>
        <v>2261</v>
      </c>
      <c r="M68" s="1315">
        <f t="shared" si="3"/>
        <v>15.518009654660231</v>
      </c>
    </row>
    <row r="69" spans="1:16" s="103" customFormat="1" ht="12" customHeight="1" x14ac:dyDescent="0.2">
      <c r="A69" s="1170"/>
      <c r="B69" s="1154"/>
      <c r="C69" s="101"/>
      <c r="D69" s="102"/>
      <c r="E69" s="89"/>
      <c r="F69" s="89"/>
      <c r="G69" s="89"/>
      <c r="H69" s="89"/>
      <c r="I69" s="89"/>
      <c r="J69" s="1080"/>
      <c r="K69" s="97"/>
      <c r="L69" s="1338"/>
      <c r="M69" s="1323"/>
    </row>
    <row r="70" spans="1:16" s="103" customFormat="1" ht="12" customHeight="1" x14ac:dyDescent="0.2">
      <c r="A70" s="1170"/>
      <c r="B70" s="1154"/>
      <c r="C70" s="101"/>
      <c r="D70" s="102"/>
      <c r="E70" s="89"/>
      <c r="F70" s="89"/>
      <c r="G70" s="89"/>
      <c r="H70" s="113"/>
      <c r="I70" s="563"/>
      <c r="J70" s="1080"/>
      <c r="K70" s="97"/>
      <c r="L70" s="1100"/>
      <c r="M70" s="1321"/>
    </row>
    <row r="71" spans="1:16" s="83" customFormat="1" ht="15" customHeight="1" x14ac:dyDescent="0.2">
      <c r="A71" s="1165"/>
      <c r="B71" s="1154" t="s">
        <v>499</v>
      </c>
      <c r="C71" s="87" t="s">
        <v>500</v>
      </c>
      <c r="D71" s="89"/>
      <c r="E71" s="89"/>
      <c r="F71" s="89"/>
      <c r="G71" s="89"/>
      <c r="H71" s="86"/>
      <c r="I71" s="126"/>
      <c r="J71" s="1080">
        <f t="shared" si="2"/>
        <v>0</v>
      </c>
      <c r="K71" s="86"/>
      <c r="L71" s="1321"/>
      <c r="M71" s="1321"/>
    </row>
    <row r="72" spans="1:16" s="83" customFormat="1" ht="15" customHeight="1" thickBot="1" x14ac:dyDescent="0.25">
      <c r="A72" s="1165"/>
      <c r="B72" s="1154"/>
      <c r="C72" s="107"/>
      <c r="D72" s="95"/>
      <c r="E72" s="88"/>
      <c r="F72" s="88"/>
      <c r="G72" s="89"/>
      <c r="H72" s="86"/>
      <c r="I72" s="126"/>
      <c r="J72" s="1080"/>
      <c r="K72" s="86"/>
      <c r="L72" s="1321"/>
      <c r="M72" s="1321"/>
    </row>
    <row r="73" spans="1:16" s="83" customFormat="1" ht="13.5" customHeight="1" thickBot="1" x14ac:dyDescent="0.25">
      <c r="A73" s="1165"/>
      <c r="B73" s="1169"/>
      <c r="C73" s="106" t="s">
        <v>501</v>
      </c>
      <c r="D73" s="92"/>
      <c r="E73" s="92">
        <f t="shared" ref="E73:J73" si="20">SUM(E72)</f>
        <v>0</v>
      </c>
      <c r="F73" s="92">
        <f t="shared" si="20"/>
        <v>0</v>
      </c>
      <c r="G73" s="92">
        <f t="shared" si="20"/>
        <v>0</v>
      </c>
      <c r="H73" s="92">
        <f t="shared" si="20"/>
        <v>0</v>
      </c>
      <c r="I73" s="92">
        <f t="shared" si="20"/>
        <v>0</v>
      </c>
      <c r="J73" s="1813">
        <f t="shared" si="20"/>
        <v>0</v>
      </c>
      <c r="K73" s="752">
        <f t="shared" ref="K73:L73" si="21">SUM(K72)</f>
        <v>0</v>
      </c>
      <c r="L73" s="1311">
        <f t="shared" si="21"/>
        <v>0</v>
      </c>
      <c r="M73" s="1315"/>
    </row>
    <row r="74" spans="1:16" s="83" customFormat="1" ht="13.5" customHeight="1" x14ac:dyDescent="0.2">
      <c r="A74" s="1165"/>
      <c r="B74" s="1154"/>
      <c r="C74" s="87"/>
      <c r="D74" s="89"/>
      <c r="E74" s="89"/>
      <c r="F74" s="89"/>
      <c r="G74" s="89"/>
      <c r="H74" s="89"/>
      <c r="I74" s="89"/>
      <c r="J74" s="1080"/>
      <c r="K74" s="86"/>
      <c r="L74" s="1321"/>
      <c r="M74" s="1323"/>
    </row>
    <row r="75" spans="1:16" s="83" customFormat="1" ht="13.5" customHeight="1" x14ac:dyDescent="0.2">
      <c r="A75" s="1165"/>
      <c r="B75" s="1154" t="s">
        <v>88</v>
      </c>
      <c r="C75" s="87" t="s">
        <v>172</v>
      </c>
      <c r="D75" s="89"/>
      <c r="E75" s="560"/>
      <c r="F75" s="560"/>
      <c r="G75" s="88"/>
      <c r="H75" s="126"/>
      <c r="I75" s="1097"/>
      <c r="J75" s="1080"/>
      <c r="K75" s="86"/>
      <c r="L75" s="1321"/>
      <c r="M75" s="1321"/>
    </row>
    <row r="76" spans="1:16" s="83" customFormat="1" ht="20.25" customHeight="1" x14ac:dyDescent="0.2">
      <c r="A76" s="1165"/>
      <c r="B76" s="1151" t="s">
        <v>497</v>
      </c>
      <c r="C76" s="107" t="s">
        <v>977</v>
      </c>
      <c r="D76" s="89" t="s">
        <v>306</v>
      </c>
      <c r="E76" s="446">
        <v>10000</v>
      </c>
      <c r="F76" s="446">
        <v>2700</v>
      </c>
      <c r="G76" s="448">
        <f>SUM(E76:F76)</f>
        <v>12700</v>
      </c>
      <c r="H76" s="738"/>
      <c r="I76" s="1098">
        <f>SUM(G76:H76)</f>
        <v>12700</v>
      </c>
      <c r="J76" s="1080">
        <f t="shared" si="2"/>
        <v>1433</v>
      </c>
      <c r="K76" s="86"/>
      <c r="L76" s="1321">
        <v>1433</v>
      </c>
      <c r="M76" s="1321">
        <f t="shared" si="3"/>
        <v>11.283464566929133</v>
      </c>
    </row>
    <row r="77" spans="1:16" s="83" customFormat="1" ht="25.5" customHeight="1" x14ac:dyDescent="0.2">
      <c r="A77" s="1165"/>
      <c r="B77" s="1151" t="s">
        <v>663</v>
      </c>
      <c r="C77" s="1094" t="s">
        <v>1012</v>
      </c>
      <c r="D77" s="445" t="s">
        <v>306</v>
      </c>
      <c r="E77" s="446">
        <v>2000</v>
      </c>
      <c r="F77" s="446">
        <v>540</v>
      </c>
      <c r="G77" s="448">
        <f>SUM(E77:F77)</f>
        <v>2540</v>
      </c>
      <c r="H77" s="738"/>
      <c r="I77" s="1098">
        <f>G77</f>
        <v>2540</v>
      </c>
      <c r="J77" s="1080">
        <f t="shared" si="2"/>
        <v>2538</v>
      </c>
      <c r="K77" s="86"/>
      <c r="L77" s="1321">
        <v>2538</v>
      </c>
      <c r="M77" s="1321">
        <f t="shared" si="3"/>
        <v>99.921259842519689</v>
      </c>
    </row>
    <row r="78" spans="1:16" s="83" customFormat="1" ht="25.5" customHeight="1" x14ac:dyDescent="0.2">
      <c r="A78" s="1165"/>
      <c r="B78" s="1151" t="s">
        <v>1278</v>
      </c>
      <c r="C78" s="1094" t="s">
        <v>1277</v>
      </c>
      <c r="D78" s="445" t="s">
        <v>306</v>
      </c>
      <c r="E78" s="446">
        <v>0</v>
      </c>
      <c r="F78" s="446">
        <v>0</v>
      </c>
      <c r="G78" s="448">
        <f>SUM(E78:F78)</f>
        <v>0</v>
      </c>
      <c r="H78" s="738">
        <f>G78</f>
        <v>0</v>
      </c>
      <c r="I78" s="1098"/>
      <c r="J78" s="1080">
        <f t="shared" si="2"/>
        <v>0</v>
      </c>
      <c r="K78" s="86"/>
      <c r="L78" s="1321"/>
      <c r="M78" s="1321"/>
    </row>
    <row r="79" spans="1:16" s="83" customFormat="1" ht="7.5" customHeight="1" thickBot="1" x14ac:dyDescent="0.25">
      <c r="A79" s="1165"/>
      <c r="B79" s="1161"/>
      <c r="C79" s="451"/>
      <c r="D79" s="1095"/>
      <c r="E79" s="838"/>
      <c r="F79" s="838"/>
      <c r="G79" s="839"/>
      <c r="H79" s="1096"/>
      <c r="I79" s="1099"/>
      <c r="J79" s="1080"/>
      <c r="K79" s="86"/>
      <c r="L79" s="1322"/>
      <c r="M79" s="1321"/>
    </row>
    <row r="80" spans="1:16" s="83" customFormat="1" ht="12.75" customHeight="1" thickBot="1" x14ac:dyDescent="0.25">
      <c r="A80" s="1165"/>
      <c r="B80" s="1161"/>
      <c r="C80" s="450" t="s">
        <v>173</v>
      </c>
      <c r="D80" s="454"/>
      <c r="E80" s="454">
        <f>SUM(E76:E79)</f>
        <v>12000</v>
      </c>
      <c r="F80" s="454">
        <f>SUM(F76:F79)</f>
        <v>3240</v>
      </c>
      <c r="G80" s="454">
        <f>SUM(G76:G79)</f>
        <v>15240</v>
      </c>
      <c r="H80" s="454">
        <f>SUM(H76:H79)</f>
        <v>0</v>
      </c>
      <c r="I80" s="740">
        <f>SUM(I76:I79)</f>
        <v>15240</v>
      </c>
      <c r="J80" s="753">
        <f>SUM(J76:J78)</f>
        <v>3971</v>
      </c>
      <c r="K80" s="753">
        <f t="shared" ref="K80:L80" si="22">SUM(K76:K78)</f>
        <v>0</v>
      </c>
      <c r="L80" s="1315">
        <f t="shared" si="22"/>
        <v>3971</v>
      </c>
      <c r="M80" s="1315">
        <f t="shared" ref="M80:M138" si="23">J80/G80*100</f>
        <v>26.056430446194224</v>
      </c>
      <c r="O80" s="1079"/>
      <c r="P80" s="1316"/>
    </row>
    <row r="81" spans="1:15" s="83" customFormat="1" ht="12.75" customHeight="1" x14ac:dyDescent="0.2">
      <c r="A81" s="1165"/>
      <c r="B81" s="1151"/>
      <c r="C81" s="87"/>
      <c r="D81" s="89"/>
      <c r="E81" s="89"/>
      <c r="F81" s="89"/>
      <c r="G81" s="89"/>
      <c r="H81" s="86"/>
      <c r="I81" s="126"/>
      <c r="J81" s="1080"/>
      <c r="K81" s="86"/>
      <c r="L81" s="1321"/>
      <c r="M81" s="1321"/>
      <c r="O81" s="1316"/>
    </row>
    <row r="82" spans="1:15" s="83" customFormat="1" ht="24" customHeight="1" x14ac:dyDescent="0.2">
      <c r="A82" s="1165"/>
      <c r="B82" s="1154" t="s">
        <v>89</v>
      </c>
      <c r="C82" s="87" t="s">
        <v>72</v>
      </c>
      <c r="D82" s="89"/>
      <c r="E82" s="89"/>
      <c r="F82" s="89"/>
      <c r="G82" s="89"/>
      <c r="H82" s="86"/>
      <c r="I82" s="126"/>
      <c r="J82" s="1080"/>
      <c r="K82" s="86"/>
      <c r="L82" s="1321"/>
      <c r="M82" s="1321"/>
    </row>
    <row r="83" spans="1:15" s="83" customFormat="1" ht="33.75" customHeight="1" x14ac:dyDescent="0.2">
      <c r="A83" s="1165"/>
      <c r="B83" s="1154" t="s">
        <v>478</v>
      </c>
      <c r="C83" s="107" t="s">
        <v>1279</v>
      </c>
      <c r="D83" s="89"/>
      <c r="E83" s="88">
        <v>12004</v>
      </c>
      <c r="F83" s="88"/>
      <c r="G83" s="89">
        <f>E83+F83</f>
        <v>12004</v>
      </c>
      <c r="H83" s="86">
        <f>G83</f>
        <v>12004</v>
      </c>
      <c r="I83" s="126"/>
      <c r="J83" s="1080">
        <f t="shared" ref="J83:J136" si="24">K83+L83</f>
        <v>0</v>
      </c>
      <c r="K83" s="86"/>
      <c r="L83" s="1321"/>
      <c r="M83" s="1321">
        <f t="shared" si="23"/>
        <v>0</v>
      </c>
    </row>
    <row r="84" spans="1:15" s="83" customFormat="1" ht="24" customHeight="1" x14ac:dyDescent="0.2">
      <c r="A84" s="1165"/>
      <c r="B84" s="1154" t="s">
        <v>486</v>
      </c>
      <c r="C84" s="107" t="s">
        <v>1280</v>
      </c>
      <c r="D84" s="89"/>
      <c r="E84" s="88">
        <v>78232</v>
      </c>
      <c r="F84" s="89"/>
      <c r="G84" s="89">
        <f>E84+F84</f>
        <v>78232</v>
      </c>
      <c r="H84" s="86"/>
      <c r="I84" s="126">
        <f>G84</f>
        <v>78232</v>
      </c>
      <c r="J84" s="1309">
        <f t="shared" si="24"/>
        <v>78232</v>
      </c>
      <c r="K84" s="86"/>
      <c r="L84" s="1321">
        <v>78232</v>
      </c>
      <c r="M84" s="1321">
        <f t="shared" si="23"/>
        <v>100</v>
      </c>
    </row>
    <row r="85" spans="1:15" s="83" customFormat="1" ht="8.25" customHeight="1" thickBot="1" x14ac:dyDescent="0.25">
      <c r="A85" s="1165"/>
      <c r="B85" s="1151"/>
      <c r="C85" s="107"/>
      <c r="D85" s="445"/>
      <c r="E85" s="446"/>
      <c r="F85" s="446"/>
      <c r="G85" s="448"/>
      <c r="H85" s="447"/>
      <c r="I85" s="738"/>
      <c r="J85" s="1080"/>
      <c r="K85" s="86"/>
      <c r="L85" s="1321"/>
      <c r="M85" s="1321"/>
    </row>
    <row r="86" spans="1:15" s="83" customFormat="1" ht="22.5" customHeight="1" thickBot="1" x14ac:dyDescent="0.25">
      <c r="A86" s="1165"/>
      <c r="B86" s="1162"/>
      <c r="C86" s="452" t="s">
        <v>502</v>
      </c>
      <c r="D86" s="456"/>
      <c r="E86" s="92">
        <f>SUM(E83:E84)</f>
        <v>90236</v>
      </c>
      <c r="F86" s="92">
        <f t="shared" ref="F86:I86" si="25">SUM(F83:F84)</f>
        <v>0</v>
      </c>
      <c r="G86" s="92">
        <f t="shared" si="25"/>
        <v>90236</v>
      </c>
      <c r="H86" s="92">
        <f t="shared" si="25"/>
        <v>12004</v>
      </c>
      <c r="I86" s="1337">
        <f t="shared" si="25"/>
        <v>78232</v>
      </c>
      <c r="J86" s="752">
        <f>SUM(J83:J84)</f>
        <v>78232</v>
      </c>
      <c r="K86" s="752">
        <f t="shared" ref="K86:L86" si="26">SUM(K83:K84)</f>
        <v>0</v>
      </c>
      <c r="L86" s="1311">
        <f t="shared" si="26"/>
        <v>78232</v>
      </c>
      <c r="M86" s="1315">
        <f t="shared" si="23"/>
        <v>86.697105368145756</v>
      </c>
    </row>
    <row r="87" spans="1:15" s="83" customFormat="1" ht="12.75" customHeight="1" x14ac:dyDescent="0.2">
      <c r="A87" s="1165"/>
      <c r="B87" s="1151"/>
      <c r="C87" s="108"/>
      <c r="D87" s="88"/>
      <c r="E87" s="89"/>
      <c r="F87" s="89"/>
      <c r="G87" s="89"/>
      <c r="H87" s="86"/>
      <c r="I87" s="126"/>
      <c r="J87" s="1080"/>
      <c r="K87" s="86"/>
      <c r="L87" s="1321"/>
      <c r="M87" s="1321"/>
    </row>
    <row r="88" spans="1:15" s="83" customFormat="1" ht="12" customHeight="1" x14ac:dyDescent="0.2">
      <c r="A88" s="1165"/>
      <c r="B88" s="1151"/>
      <c r="C88" s="107"/>
      <c r="D88" s="88"/>
      <c r="E88" s="88"/>
      <c r="F88" s="88"/>
      <c r="G88" s="89"/>
      <c r="H88" s="86"/>
      <c r="I88" s="126"/>
      <c r="J88" s="1080"/>
      <c r="K88" s="86"/>
      <c r="L88" s="1321"/>
      <c r="M88" s="1321"/>
    </row>
    <row r="89" spans="1:15" s="83" customFormat="1" ht="12.75" customHeight="1" x14ac:dyDescent="0.2">
      <c r="A89" s="1165"/>
      <c r="B89" s="1154" t="s">
        <v>90</v>
      </c>
      <c r="C89" s="87" t="s">
        <v>301</v>
      </c>
      <c r="D89" s="88"/>
      <c r="E89" s="88"/>
      <c r="F89" s="88"/>
      <c r="G89" s="89"/>
      <c r="H89" s="86"/>
      <c r="I89" s="126"/>
      <c r="J89" s="1080"/>
      <c r="K89" s="86"/>
      <c r="L89" s="1321"/>
      <c r="M89" s="1321"/>
    </row>
    <row r="90" spans="1:15" s="109" customFormat="1" ht="13.5" customHeight="1" x14ac:dyDescent="0.2">
      <c r="A90" s="1171"/>
      <c r="B90" s="1151" t="s">
        <v>478</v>
      </c>
      <c r="C90" s="107" t="s">
        <v>73</v>
      </c>
      <c r="D90" s="88"/>
      <c r="E90" s="1074">
        <v>49688</v>
      </c>
      <c r="F90" s="1074"/>
      <c r="G90" s="1075">
        <f>SUM(E90:F90)</f>
        <v>49688</v>
      </c>
      <c r="H90" s="1076">
        <f>G90</f>
        <v>49688</v>
      </c>
      <c r="I90" s="681"/>
      <c r="J90" s="1309">
        <f t="shared" si="24"/>
        <v>49687</v>
      </c>
      <c r="K90" s="86">
        <v>49687</v>
      </c>
      <c r="L90" s="1321"/>
      <c r="M90" s="1321">
        <f t="shared" si="23"/>
        <v>99.9979874416358</v>
      </c>
    </row>
    <row r="91" spans="1:15" s="109" customFormat="1" ht="13.5" customHeight="1" x14ac:dyDescent="0.2">
      <c r="A91" s="1171"/>
      <c r="B91" s="1151" t="s">
        <v>486</v>
      </c>
      <c r="C91" s="107" t="s">
        <v>1336</v>
      </c>
      <c r="D91" s="88"/>
      <c r="E91" s="1074">
        <v>4156</v>
      </c>
      <c r="F91" s="1074"/>
      <c r="G91" s="1075">
        <v>4156</v>
      </c>
      <c r="H91" s="1076">
        <f>G91</f>
        <v>4156</v>
      </c>
      <c r="I91" s="681"/>
      <c r="J91" s="1309">
        <f t="shared" si="24"/>
        <v>4156</v>
      </c>
      <c r="K91" s="86">
        <v>4156</v>
      </c>
      <c r="L91" s="1321"/>
      <c r="M91" s="1321">
        <f t="shared" si="23"/>
        <v>100</v>
      </c>
    </row>
    <row r="92" spans="1:15" s="109" customFormat="1" ht="24.75" customHeight="1" x14ac:dyDescent="0.2">
      <c r="A92" s="1171"/>
      <c r="B92" s="1151" t="s">
        <v>487</v>
      </c>
      <c r="C92" s="751" t="s">
        <v>1124</v>
      </c>
      <c r="D92" s="738"/>
      <c r="E92" s="738"/>
      <c r="F92" s="738"/>
      <c r="G92" s="739">
        <f>E92+F92</f>
        <v>0</v>
      </c>
      <c r="H92" s="447"/>
      <c r="I92" s="738">
        <f>G92</f>
        <v>0</v>
      </c>
      <c r="J92" s="1454">
        <f t="shared" si="24"/>
        <v>0</v>
      </c>
      <c r="K92" s="447"/>
      <c r="L92" s="1101"/>
      <c r="M92" s="1321"/>
    </row>
    <row r="93" spans="1:15" s="109" customFormat="1" ht="15.75" customHeight="1" x14ac:dyDescent="0.2">
      <c r="A93" s="1171"/>
      <c r="B93" s="1151" t="s">
        <v>488</v>
      </c>
      <c r="C93" s="751" t="s">
        <v>287</v>
      </c>
      <c r="D93" s="738"/>
      <c r="E93" s="738">
        <v>4350</v>
      </c>
      <c r="F93" s="738"/>
      <c r="G93" s="739">
        <f>E93+F93</f>
        <v>4350</v>
      </c>
      <c r="H93" s="447"/>
      <c r="I93" s="738">
        <f>G93</f>
        <v>4350</v>
      </c>
      <c r="J93" s="1309">
        <f t="shared" si="24"/>
        <v>4350</v>
      </c>
      <c r="K93" s="86"/>
      <c r="L93" s="1321">
        <v>4350</v>
      </c>
      <c r="M93" s="1321">
        <f t="shared" si="23"/>
        <v>100</v>
      </c>
    </row>
    <row r="94" spans="1:15" s="109" customFormat="1" ht="15.75" customHeight="1" x14ac:dyDescent="0.2">
      <c r="A94" s="1171"/>
      <c r="B94" s="1151" t="s">
        <v>489</v>
      </c>
      <c r="C94" s="751" t="s">
        <v>1350</v>
      </c>
      <c r="D94" s="738"/>
      <c r="E94" s="738">
        <v>9530</v>
      </c>
      <c r="F94" s="738"/>
      <c r="G94" s="739">
        <f>E94</f>
        <v>9530</v>
      </c>
      <c r="H94" s="447"/>
      <c r="I94" s="738">
        <f>G94</f>
        <v>9530</v>
      </c>
      <c r="J94" s="1309">
        <f t="shared" si="24"/>
        <v>9530</v>
      </c>
      <c r="K94" s="86"/>
      <c r="L94" s="1321">
        <v>9530</v>
      </c>
      <c r="M94" s="1321">
        <f t="shared" si="23"/>
        <v>100</v>
      </c>
    </row>
    <row r="95" spans="1:15" s="109" customFormat="1" ht="12" customHeight="1" thickBot="1" x14ac:dyDescent="0.25">
      <c r="A95" s="1171"/>
      <c r="B95" s="1151"/>
      <c r="C95" s="751"/>
      <c r="D95" s="738"/>
      <c r="E95" s="738"/>
      <c r="F95" s="738"/>
      <c r="G95" s="739"/>
      <c r="H95" s="447"/>
      <c r="I95" s="738"/>
      <c r="J95" s="1080"/>
      <c r="K95" s="86"/>
      <c r="L95" s="1321"/>
      <c r="M95" s="1322"/>
    </row>
    <row r="96" spans="1:15" s="83" customFormat="1" ht="13.5" customHeight="1" thickBot="1" x14ac:dyDescent="0.25">
      <c r="A96" s="1165"/>
      <c r="B96" s="1162"/>
      <c r="C96" s="106" t="s">
        <v>503</v>
      </c>
      <c r="D96" s="92"/>
      <c r="E96" s="92">
        <f t="shared" ref="E96:J96" si="27">SUM(E90:E95)</f>
        <v>67724</v>
      </c>
      <c r="F96" s="92">
        <f t="shared" si="27"/>
        <v>0</v>
      </c>
      <c r="G96" s="92">
        <f t="shared" si="27"/>
        <v>67724</v>
      </c>
      <c r="H96" s="92">
        <f t="shared" si="27"/>
        <v>53844</v>
      </c>
      <c r="I96" s="92">
        <f t="shared" si="27"/>
        <v>13880</v>
      </c>
      <c r="J96" s="1813">
        <f t="shared" si="27"/>
        <v>67723</v>
      </c>
      <c r="K96" s="752">
        <f t="shared" ref="K96:L96" si="28">SUM(K90:K95)</f>
        <v>53843</v>
      </c>
      <c r="L96" s="1311">
        <f t="shared" si="28"/>
        <v>13880</v>
      </c>
      <c r="M96" s="1100">
        <f t="shared" si="23"/>
        <v>99.9985234185813</v>
      </c>
    </row>
    <row r="97" spans="1:20" s="83" customFormat="1" ht="12.75" customHeight="1" x14ac:dyDescent="0.2">
      <c r="A97" s="1165"/>
      <c r="B97" s="1151"/>
      <c r="C97" s="87"/>
      <c r="D97" s="88"/>
      <c r="E97" s="88"/>
      <c r="F97" s="88"/>
      <c r="G97" s="89"/>
      <c r="H97" s="86"/>
      <c r="I97" s="126"/>
      <c r="J97" s="1080"/>
      <c r="K97" s="86"/>
      <c r="L97" s="1321"/>
      <c r="M97" s="1323"/>
    </row>
    <row r="98" spans="1:20" ht="12.75" customHeight="1" x14ac:dyDescent="0.2">
      <c r="A98" s="1167"/>
      <c r="B98" s="1154" t="s">
        <v>505</v>
      </c>
      <c r="C98" s="87" t="s">
        <v>1016</v>
      </c>
      <c r="D98" s="88"/>
      <c r="E98" s="88"/>
      <c r="F98" s="88"/>
      <c r="G98" s="89"/>
      <c r="I98" s="562"/>
      <c r="J98" s="1080"/>
      <c r="K98" s="86"/>
      <c r="L98" s="1321"/>
      <c r="M98" s="1321"/>
    </row>
    <row r="99" spans="1:20" s="109" customFormat="1" ht="15" customHeight="1" x14ac:dyDescent="0.2">
      <c r="A99" s="1171"/>
      <c r="B99" s="1151" t="s">
        <v>478</v>
      </c>
      <c r="C99" s="107" t="s">
        <v>1109</v>
      </c>
      <c r="D99" s="446"/>
      <c r="E99" s="446">
        <v>5000</v>
      </c>
      <c r="F99" s="446"/>
      <c r="G99" s="448">
        <f>E99</f>
        <v>5000</v>
      </c>
      <c r="H99" s="1016"/>
      <c r="I99" s="446">
        <f>G99</f>
        <v>5000</v>
      </c>
      <c r="J99" s="1454">
        <f t="shared" si="24"/>
        <v>4600</v>
      </c>
      <c r="K99" s="447"/>
      <c r="L99" s="1101">
        <v>4600</v>
      </c>
      <c r="M99" s="1317">
        <f t="shared" si="23"/>
        <v>92</v>
      </c>
      <c r="N99" s="955"/>
    </row>
    <row r="100" spans="1:20" s="109" customFormat="1" ht="12" customHeight="1" thickBot="1" x14ac:dyDescent="0.25">
      <c r="A100" s="1171"/>
      <c r="B100" s="1151"/>
      <c r="C100" s="107"/>
      <c r="D100" s="88"/>
      <c r="E100" s="88"/>
      <c r="F100" s="88"/>
      <c r="G100" s="89"/>
      <c r="H100" s="148"/>
      <c r="I100" s="88"/>
      <c r="J100" s="1080"/>
      <c r="K100" s="455"/>
      <c r="L100" s="1322"/>
      <c r="M100" s="1322"/>
    </row>
    <row r="101" spans="1:20" s="83" customFormat="1" ht="21.75" customHeight="1" thickBot="1" x14ac:dyDescent="0.25">
      <c r="A101" s="1165"/>
      <c r="B101" s="1162"/>
      <c r="C101" s="106" t="s">
        <v>504</v>
      </c>
      <c r="D101" s="475"/>
      <c r="E101" s="475">
        <f>SUM(E99:E99)</f>
        <v>5000</v>
      </c>
      <c r="F101" s="475">
        <f>SUM(F99:F99)</f>
        <v>0</v>
      </c>
      <c r="G101" s="475">
        <f>SUM(G99:G99)</f>
        <v>5000</v>
      </c>
      <c r="H101" s="475">
        <f>SUM(H99:H99)</f>
        <v>0</v>
      </c>
      <c r="I101" s="475">
        <f>SUM(I99:I99)</f>
        <v>5000</v>
      </c>
      <c r="J101" s="1319">
        <f>J99</f>
        <v>4600</v>
      </c>
      <c r="K101" s="1318">
        <f t="shared" ref="K101:L101" si="29">K99</f>
        <v>0</v>
      </c>
      <c r="L101" s="1318">
        <f t="shared" si="29"/>
        <v>4600</v>
      </c>
      <c r="M101" s="1334">
        <f t="shared" si="23"/>
        <v>92</v>
      </c>
    </row>
    <row r="102" spans="1:20" s="83" customFormat="1" ht="13.5" customHeight="1" x14ac:dyDescent="0.2">
      <c r="A102" s="1165"/>
      <c r="B102" s="1151"/>
      <c r="C102" s="87"/>
      <c r="D102" s="89"/>
      <c r="E102" s="89"/>
      <c r="F102" s="89"/>
      <c r="G102" s="89"/>
      <c r="H102" s="89"/>
      <c r="I102" s="89"/>
      <c r="J102" s="1080"/>
      <c r="K102" s="86"/>
      <c r="L102" s="86"/>
      <c r="M102" s="1335"/>
    </row>
    <row r="103" spans="1:20" s="83" customFormat="1" ht="13.5" customHeight="1" thickBot="1" x14ac:dyDescent="0.25">
      <c r="A103" s="1165"/>
      <c r="B103" s="1161"/>
      <c r="C103" s="450"/>
      <c r="D103" s="454"/>
      <c r="E103" s="454"/>
      <c r="F103" s="454"/>
      <c r="G103" s="454"/>
      <c r="H103" s="455"/>
      <c r="I103" s="455"/>
      <c r="J103" s="1080"/>
      <c r="K103" s="86"/>
      <c r="L103" s="86"/>
      <c r="M103" s="1335"/>
    </row>
    <row r="104" spans="1:20" s="83" customFormat="1" ht="13.5" customHeight="1" thickBot="1" x14ac:dyDescent="0.25">
      <c r="A104" s="1165"/>
      <c r="B104" s="1162"/>
      <c r="C104" s="449" t="s">
        <v>174</v>
      </c>
      <c r="D104" s="149"/>
      <c r="E104" s="149">
        <f t="shared" ref="E104:I104" si="30">E19+E27+E59+E68+E73+E80+E86+E96+E101</f>
        <v>1732148</v>
      </c>
      <c r="F104" s="149">
        <f t="shared" si="30"/>
        <v>324625</v>
      </c>
      <c r="G104" s="149">
        <f t="shared" si="30"/>
        <v>2056773</v>
      </c>
      <c r="H104" s="149">
        <f t="shared" si="30"/>
        <v>1800376</v>
      </c>
      <c r="I104" s="740">
        <f t="shared" si="30"/>
        <v>256397</v>
      </c>
      <c r="J104" s="753">
        <f>J19+J27+J59+J68+J73+J80+J86+J96+J101</f>
        <v>1065825</v>
      </c>
      <c r="K104" s="753">
        <f t="shared" ref="K104:L104" si="31">K19+K27+K59+K68+K73+K80+K86+K96+K101</f>
        <v>882318</v>
      </c>
      <c r="L104" s="753">
        <f t="shared" si="31"/>
        <v>183507</v>
      </c>
      <c r="M104" s="1336">
        <f t="shared" si="23"/>
        <v>51.820254349896658</v>
      </c>
    </row>
    <row r="105" spans="1:20" s="83" customFormat="1" ht="13.5" customHeight="1" x14ac:dyDescent="0.2">
      <c r="A105" s="1165"/>
      <c r="B105" s="1151"/>
      <c r="C105" s="87"/>
      <c r="D105" s="89"/>
      <c r="E105" s="89"/>
      <c r="F105" s="89"/>
      <c r="G105" s="89"/>
      <c r="H105" s="126"/>
      <c r="I105" s="126"/>
      <c r="J105" s="1080"/>
      <c r="K105" s="86"/>
      <c r="L105" s="1323"/>
      <c r="M105" s="1321"/>
    </row>
    <row r="106" spans="1:20" s="110" customFormat="1" ht="13.5" customHeight="1" x14ac:dyDescent="0.2">
      <c r="A106" s="1163"/>
      <c r="B106" s="1151"/>
      <c r="C106" s="87"/>
      <c r="D106" s="89"/>
      <c r="E106" s="89"/>
      <c r="F106" s="89"/>
      <c r="G106" s="89"/>
      <c r="H106" s="105"/>
      <c r="I106" s="105"/>
      <c r="J106" s="1080"/>
      <c r="K106" s="97"/>
      <c r="L106" s="1100"/>
      <c r="M106" s="1321"/>
    </row>
    <row r="107" spans="1:20" s="110" customFormat="1" ht="15.75" customHeight="1" x14ac:dyDescent="0.2">
      <c r="A107" s="1163"/>
      <c r="B107" s="1154" t="s">
        <v>508</v>
      </c>
      <c r="C107" s="87" t="s">
        <v>506</v>
      </c>
      <c r="D107" s="89"/>
      <c r="E107" s="89"/>
      <c r="F107" s="89"/>
      <c r="G107" s="89"/>
      <c r="H107" s="105"/>
      <c r="I107" s="1100"/>
      <c r="J107" s="1080"/>
      <c r="K107" s="97"/>
      <c r="L107" s="1100"/>
      <c r="M107" s="1321"/>
    </row>
    <row r="108" spans="1:20" s="837" customFormat="1" ht="21.75" customHeight="1" x14ac:dyDescent="0.2">
      <c r="A108" s="1164"/>
      <c r="B108" s="1151" t="s">
        <v>478</v>
      </c>
      <c r="C108" s="107" t="s">
        <v>1343</v>
      </c>
      <c r="D108" s="446" t="s">
        <v>306</v>
      </c>
      <c r="E108" s="738">
        <v>1500</v>
      </c>
      <c r="F108" s="738">
        <v>464</v>
      </c>
      <c r="G108" s="739">
        <f>SUM(E108:F108)</f>
        <v>1964</v>
      </c>
      <c r="H108" s="738"/>
      <c r="I108" s="1101">
        <v>1964</v>
      </c>
      <c r="J108" s="1454">
        <f t="shared" si="24"/>
        <v>387</v>
      </c>
      <c r="K108" s="447">
        <v>0</v>
      </c>
      <c r="L108" s="1101">
        <v>387</v>
      </c>
      <c r="M108" s="1101">
        <f t="shared" si="23"/>
        <v>19.704684317718939</v>
      </c>
    </row>
    <row r="109" spans="1:20" s="110" customFormat="1" ht="21.75" customHeight="1" x14ac:dyDescent="0.15">
      <c r="A109" s="1163"/>
      <c r="B109" s="1151" t="s">
        <v>486</v>
      </c>
      <c r="C109" s="107" t="s">
        <v>955</v>
      </c>
      <c r="D109" s="446" t="s">
        <v>306</v>
      </c>
      <c r="E109" s="446">
        <v>4717</v>
      </c>
      <c r="F109" s="446">
        <v>1493</v>
      </c>
      <c r="G109" s="448">
        <f>SUM(E109:F109)</f>
        <v>6210</v>
      </c>
      <c r="H109" s="738">
        <v>1839</v>
      </c>
      <c r="I109" s="1102">
        <v>4371</v>
      </c>
      <c r="J109" s="1454">
        <f t="shared" si="24"/>
        <v>306</v>
      </c>
      <c r="K109" s="447">
        <v>91</v>
      </c>
      <c r="L109" s="1101">
        <v>215</v>
      </c>
      <c r="M109" s="1101">
        <f t="shared" si="23"/>
        <v>4.9275362318840585</v>
      </c>
      <c r="P109" s="573"/>
      <c r="T109" s="573"/>
    </row>
    <row r="110" spans="1:20" s="110" customFormat="1" ht="21.75" customHeight="1" x14ac:dyDescent="0.15">
      <c r="A110" s="1163"/>
      <c r="B110" s="1151" t="s">
        <v>487</v>
      </c>
      <c r="C110" s="107" t="s">
        <v>477</v>
      </c>
      <c r="D110" s="446" t="s">
        <v>306</v>
      </c>
      <c r="E110" s="446">
        <v>783</v>
      </c>
      <c r="F110" s="446">
        <v>211</v>
      </c>
      <c r="G110" s="448">
        <f>SUM(E110:F110)</f>
        <v>994</v>
      </c>
      <c r="H110" s="738">
        <f>G110</f>
        <v>994</v>
      </c>
      <c r="I110" s="1180"/>
      <c r="J110" s="1454">
        <f>K110+L110</f>
        <v>994</v>
      </c>
      <c r="K110" s="447">
        <v>994</v>
      </c>
      <c r="L110" s="1101">
        <v>0</v>
      </c>
      <c r="M110" s="1101">
        <f t="shared" si="23"/>
        <v>100</v>
      </c>
      <c r="T110" s="573"/>
    </row>
    <row r="111" spans="1:20" s="110" customFormat="1" ht="12.75" customHeight="1" thickBot="1" x14ac:dyDescent="0.25">
      <c r="A111" s="1163"/>
      <c r="B111" s="1161"/>
      <c r="C111" s="107"/>
      <c r="D111" s="446"/>
      <c r="E111" s="446"/>
      <c r="F111" s="446"/>
      <c r="G111" s="448"/>
      <c r="H111" s="447"/>
      <c r="I111" s="738"/>
      <c r="J111" s="1080"/>
      <c r="K111" s="97"/>
      <c r="L111" s="1100"/>
      <c r="M111" s="1321"/>
    </row>
    <row r="112" spans="1:20" s="110" customFormat="1" ht="21.75" customHeight="1" thickBot="1" x14ac:dyDescent="0.2">
      <c r="A112" s="1163"/>
      <c r="B112" s="1162"/>
      <c r="C112" s="106" t="s">
        <v>507</v>
      </c>
      <c r="D112" s="92"/>
      <c r="E112" s="939">
        <f>SUM(E108:E110)</f>
        <v>7000</v>
      </c>
      <c r="F112" s="939">
        <f t="shared" ref="F112:I112" si="32">SUM(F108:F110)</f>
        <v>2168</v>
      </c>
      <c r="G112" s="939">
        <f t="shared" si="32"/>
        <v>9168</v>
      </c>
      <c r="H112" s="939">
        <f t="shared" si="32"/>
        <v>2833</v>
      </c>
      <c r="I112" s="939">
        <f t="shared" si="32"/>
        <v>6335</v>
      </c>
      <c r="J112" s="1333">
        <f>SUM(J108:J110)</f>
        <v>1687</v>
      </c>
      <c r="K112" s="939">
        <f t="shared" ref="K112:L112" si="33">SUM(K108:K110)</f>
        <v>1085</v>
      </c>
      <c r="L112" s="1332">
        <f t="shared" si="33"/>
        <v>602</v>
      </c>
      <c r="M112" s="1325">
        <f t="shared" si="23"/>
        <v>18.400959860383946</v>
      </c>
    </row>
    <row r="113" spans="1:16" s="110" customFormat="1" ht="13.5" customHeight="1" x14ac:dyDescent="0.2">
      <c r="A113" s="1163"/>
      <c r="B113" s="1151"/>
      <c r="C113" s="87"/>
      <c r="D113" s="89"/>
      <c r="E113" s="89"/>
      <c r="F113" s="89"/>
      <c r="G113" s="89"/>
      <c r="H113" s="97"/>
      <c r="I113" s="105"/>
      <c r="J113" s="1080"/>
      <c r="K113" s="97"/>
      <c r="L113" s="1100"/>
      <c r="M113" s="1321"/>
      <c r="P113" s="573"/>
    </row>
    <row r="114" spans="1:16" s="110" customFormat="1" ht="13.5" customHeight="1" x14ac:dyDescent="0.2">
      <c r="A114" s="1163"/>
      <c r="B114" s="1154" t="s">
        <v>175</v>
      </c>
      <c r="C114" s="87" t="s">
        <v>75</v>
      </c>
      <c r="D114" s="89"/>
      <c r="E114" s="105"/>
      <c r="F114" s="105"/>
      <c r="G114" s="105"/>
      <c r="H114" s="97"/>
      <c r="I114" s="105"/>
      <c r="J114" s="1080"/>
      <c r="K114" s="97"/>
      <c r="L114" s="1100"/>
      <c r="M114" s="1321"/>
    </row>
    <row r="115" spans="1:16" s="83" customFormat="1" ht="17.25" customHeight="1" x14ac:dyDescent="0.2">
      <c r="A115" s="1165"/>
      <c r="B115" s="1151" t="s">
        <v>478</v>
      </c>
      <c r="C115" s="107" t="s">
        <v>1190</v>
      </c>
      <c r="D115" s="446" t="s">
        <v>308</v>
      </c>
      <c r="E115" s="738">
        <v>23000</v>
      </c>
      <c r="F115" s="738">
        <v>6210</v>
      </c>
      <c r="G115" s="739">
        <f>E115+F115</f>
        <v>29210</v>
      </c>
      <c r="H115" s="447">
        <f>G115</f>
        <v>29210</v>
      </c>
      <c r="I115" s="738">
        <v>0</v>
      </c>
      <c r="J115" s="1454">
        <f t="shared" si="24"/>
        <v>29210</v>
      </c>
      <c r="K115" s="447">
        <v>29210</v>
      </c>
      <c r="L115" s="1101"/>
      <c r="M115" s="1101">
        <f t="shared" si="23"/>
        <v>100</v>
      </c>
    </row>
    <row r="116" spans="1:16" s="83" customFormat="1" ht="17.25" customHeight="1" x14ac:dyDescent="0.2">
      <c r="A116" s="1165"/>
      <c r="B116" s="1151" t="s">
        <v>486</v>
      </c>
      <c r="C116" s="107" t="s">
        <v>1247</v>
      </c>
      <c r="D116" s="446" t="s">
        <v>308</v>
      </c>
      <c r="E116" s="738">
        <v>4445</v>
      </c>
      <c r="F116" s="738">
        <v>1200</v>
      </c>
      <c r="G116" s="739">
        <f>E116+F116</f>
        <v>5645</v>
      </c>
      <c r="H116" s="447">
        <f>G116</f>
        <v>5645</v>
      </c>
      <c r="I116" s="738">
        <v>0</v>
      </c>
      <c r="J116" s="1454">
        <f t="shared" si="24"/>
        <v>5596</v>
      </c>
      <c r="K116" s="447">
        <v>5596</v>
      </c>
      <c r="L116" s="1101"/>
      <c r="M116" s="1101">
        <f t="shared" si="23"/>
        <v>99.131975199291418</v>
      </c>
    </row>
    <row r="117" spans="1:16" s="83" customFormat="1" ht="17.25" customHeight="1" x14ac:dyDescent="0.2">
      <c r="A117" s="1165"/>
      <c r="B117" s="1151" t="s">
        <v>487</v>
      </c>
      <c r="C117" s="107" t="s">
        <v>1337</v>
      </c>
      <c r="D117" s="446" t="s">
        <v>308</v>
      </c>
      <c r="E117" s="738">
        <v>913</v>
      </c>
      <c r="F117" s="738">
        <v>247</v>
      </c>
      <c r="G117" s="739">
        <f>E117+F117</f>
        <v>1160</v>
      </c>
      <c r="H117" s="447">
        <f>G117</f>
        <v>1160</v>
      </c>
      <c r="I117" s="738"/>
      <c r="J117" s="1454">
        <f t="shared" si="24"/>
        <v>1160</v>
      </c>
      <c r="K117" s="447">
        <v>1160</v>
      </c>
      <c r="L117" s="1101"/>
      <c r="M117" s="1101">
        <f t="shared" si="23"/>
        <v>100</v>
      </c>
    </row>
    <row r="118" spans="1:16" s="83" customFormat="1" ht="17.25" customHeight="1" x14ac:dyDescent="0.2">
      <c r="A118" s="1165"/>
      <c r="B118" s="1151" t="s">
        <v>488</v>
      </c>
      <c r="C118" s="107" t="s">
        <v>1351</v>
      </c>
      <c r="D118" s="446" t="s">
        <v>308</v>
      </c>
      <c r="E118" s="738">
        <v>3453</v>
      </c>
      <c r="F118" s="738">
        <v>932</v>
      </c>
      <c r="G118" s="739">
        <f>E118+F118</f>
        <v>4385</v>
      </c>
      <c r="H118" s="447">
        <f>G118</f>
        <v>4385</v>
      </c>
      <c r="I118" s="738"/>
      <c r="J118" s="1454">
        <f t="shared" si="24"/>
        <v>4385</v>
      </c>
      <c r="K118" s="447">
        <v>4385</v>
      </c>
      <c r="L118" s="1101"/>
      <c r="M118" s="1101">
        <f t="shared" si="23"/>
        <v>100</v>
      </c>
    </row>
    <row r="119" spans="1:16" s="83" customFormat="1" ht="10.5" customHeight="1" thickBot="1" x14ac:dyDescent="0.25">
      <c r="A119" s="1165"/>
      <c r="B119" s="1151"/>
      <c r="C119" s="107"/>
      <c r="D119" s="446"/>
      <c r="E119" s="1063"/>
      <c r="F119" s="1063"/>
      <c r="G119" s="1064"/>
      <c r="H119" s="1065"/>
      <c r="I119" s="1063"/>
      <c r="J119" s="1080"/>
      <c r="K119" s="86"/>
      <c r="L119" s="1321"/>
      <c r="M119" s="1321"/>
    </row>
    <row r="120" spans="1:16" s="83" customFormat="1" ht="21.75" customHeight="1" thickBot="1" x14ac:dyDescent="0.25">
      <c r="A120" s="1165"/>
      <c r="B120" s="1162"/>
      <c r="C120" s="449" t="s">
        <v>74</v>
      </c>
      <c r="D120" s="780"/>
      <c r="E120" s="780">
        <f>SUM(E115:E118)</f>
        <v>31811</v>
      </c>
      <c r="F120" s="780">
        <f t="shared" ref="F120:I120" si="34">SUM(F115:F118)</f>
        <v>8589</v>
      </c>
      <c r="G120" s="780">
        <f t="shared" si="34"/>
        <v>40400</v>
      </c>
      <c r="H120" s="780">
        <f t="shared" si="34"/>
        <v>40400</v>
      </c>
      <c r="I120" s="780">
        <f t="shared" si="34"/>
        <v>0</v>
      </c>
      <c r="J120" s="1814">
        <f>SUM(J115:J118)</f>
        <v>40351</v>
      </c>
      <c r="K120" s="1815">
        <f t="shared" ref="K120:L120" si="35">SUM(K115:K118)</f>
        <v>40351</v>
      </c>
      <c r="L120" s="1325">
        <f t="shared" si="35"/>
        <v>0</v>
      </c>
      <c r="M120" s="1325">
        <f t="shared" si="23"/>
        <v>99.878712871287135</v>
      </c>
    </row>
    <row r="121" spans="1:16" s="83" customFormat="1" ht="13.5" customHeight="1" x14ac:dyDescent="0.2">
      <c r="A121" s="1165"/>
      <c r="B121" s="1151"/>
      <c r="C121" s="107"/>
      <c r="D121" s="88"/>
      <c r="E121" s="88"/>
      <c r="F121" s="88"/>
      <c r="G121" s="88"/>
      <c r="H121" s="86"/>
      <c r="I121" s="126"/>
      <c r="J121" s="1080"/>
      <c r="K121" s="86"/>
      <c r="L121" s="1321"/>
      <c r="M121" s="1321"/>
    </row>
    <row r="122" spans="1:16" s="110" customFormat="1" ht="26.25" customHeight="1" x14ac:dyDescent="0.2">
      <c r="A122" s="1163"/>
      <c r="B122" s="1151"/>
      <c r="C122" s="87" t="s">
        <v>926</v>
      </c>
      <c r="D122" s="89"/>
      <c r="E122" s="88"/>
      <c r="F122" s="88"/>
      <c r="G122" s="89"/>
      <c r="H122" s="97"/>
      <c r="I122" s="105"/>
      <c r="J122" s="1080"/>
      <c r="K122" s="97"/>
      <c r="L122" s="1100"/>
      <c r="M122" s="1321"/>
    </row>
    <row r="123" spans="1:16" s="110" customFormat="1" ht="21.75" customHeight="1" x14ac:dyDescent="0.15">
      <c r="A123" s="1163"/>
      <c r="B123" s="1151" t="s">
        <v>478</v>
      </c>
      <c r="C123" s="741" t="s">
        <v>1105</v>
      </c>
      <c r="D123" s="446" t="s">
        <v>306</v>
      </c>
      <c r="E123" s="738">
        <v>1027</v>
      </c>
      <c r="F123" s="738">
        <v>277</v>
      </c>
      <c r="G123" s="739">
        <f>SUM(E123:F123)</f>
        <v>1304</v>
      </c>
      <c r="H123" s="474"/>
      <c r="I123" s="738">
        <f>G123</f>
        <v>1304</v>
      </c>
      <c r="J123" s="1454">
        <f t="shared" si="24"/>
        <v>1304</v>
      </c>
      <c r="K123" s="474"/>
      <c r="L123" s="1101">
        <v>1304</v>
      </c>
      <c r="M123" s="1101">
        <f t="shared" si="23"/>
        <v>100</v>
      </c>
    </row>
    <row r="124" spans="1:16" s="110" customFormat="1" ht="21.75" customHeight="1" x14ac:dyDescent="0.15">
      <c r="A124" s="1163"/>
      <c r="B124" s="1151" t="s">
        <v>486</v>
      </c>
      <c r="C124" s="741" t="s">
        <v>1248</v>
      </c>
      <c r="D124" s="446" t="s">
        <v>306</v>
      </c>
      <c r="E124" s="738">
        <v>1011</v>
      </c>
      <c r="F124" s="738">
        <v>273</v>
      </c>
      <c r="G124" s="739">
        <f>E124+F124</f>
        <v>1284</v>
      </c>
      <c r="H124" s="474"/>
      <c r="I124" s="738">
        <f>G124</f>
        <v>1284</v>
      </c>
      <c r="J124" s="1454">
        <f t="shared" si="24"/>
        <v>1284</v>
      </c>
      <c r="K124" s="474"/>
      <c r="L124" s="1101">
        <v>1284</v>
      </c>
      <c r="M124" s="1101">
        <f t="shared" si="23"/>
        <v>100</v>
      </c>
    </row>
    <row r="125" spans="1:16" s="110" customFormat="1" ht="21.75" customHeight="1" x14ac:dyDescent="0.15">
      <c r="A125" s="1163"/>
      <c r="B125" s="1151" t="s">
        <v>487</v>
      </c>
      <c r="C125" s="741" t="s">
        <v>1249</v>
      </c>
      <c r="D125" s="446" t="s">
        <v>306</v>
      </c>
      <c r="E125" s="738">
        <v>1121</v>
      </c>
      <c r="F125" s="738">
        <v>302</v>
      </c>
      <c r="G125" s="739">
        <f>E125+F125</f>
        <v>1423</v>
      </c>
      <c r="H125" s="474">
        <f>G125</f>
        <v>1423</v>
      </c>
      <c r="I125" s="738"/>
      <c r="J125" s="1454">
        <f t="shared" si="24"/>
        <v>1420</v>
      </c>
      <c r="K125" s="447">
        <v>1420</v>
      </c>
      <c r="L125" s="1101"/>
      <c r="M125" s="1101">
        <f t="shared" si="23"/>
        <v>99.789177793394231</v>
      </c>
    </row>
    <row r="126" spans="1:16" s="110" customFormat="1" ht="12" customHeight="1" thickBot="1" x14ac:dyDescent="0.25">
      <c r="A126" s="1163"/>
      <c r="B126" s="1151"/>
      <c r="C126" s="684"/>
      <c r="D126" s="681"/>
      <c r="E126" s="126"/>
      <c r="F126" s="126"/>
      <c r="G126" s="126"/>
      <c r="H126" s="97"/>
      <c r="I126" s="126"/>
      <c r="J126" s="1310"/>
      <c r="K126" s="474"/>
      <c r="L126" s="1330"/>
      <c r="M126" s="1101"/>
    </row>
    <row r="127" spans="1:16" s="110" customFormat="1" ht="21.75" customHeight="1" thickBot="1" x14ac:dyDescent="0.2">
      <c r="A127" s="1163"/>
      <c r="B127" s="1155"/>
      <c r="C127" s="453" t="s">
        <v>925</v>
      </c>
      <c r="D127" s="779"/>
      <c r="E127" s="780">
        <f t="shared" ref="E127:J127" si="36">SUM(E123:E126)</f>
        <v>3159</v>
      </c>
      <c r="F127" s="780">
        <f t="shared" si="36"/>
        <v>852</v>
      </c>
      <c r="G127" s="780">
        <f t="shared" si="36"/>
        <v>4011</v>
      </c>
      <c r="H127" s="780">
        <f t="shared" si="36"/>
        <v>1423</v>
      </c>
      <c r="I127" s="1327">
        <f t="shared" si="36"/>
        <v>2588</v>
      </c>
      <c r="J127" s="1815">
        <f t="shared" si="36"/>
        <v>4008</v>
      </c>
      <c r="K127" s="1815">
        <f t="shared" ref="K127:L127" si="37">SUM(K123:K126)</f>
        <v>1420</v>
      </c>
      <c r="L127" s="1325">
        <f t="shared" si="37"/>
        <v>2588</v>
      </c>
      <c r="M127" s="1325">
        <f t="shared" si="23"/>
        <v>99.925205684367995</v>
      </c>
    </row>
    <row r="128" spans="1:16" s="110" customFormat="1" ht="13.5" customHeight="1" x14ac:dyDescent="0.2">
      <c r="A128" s="1163"/>
      <c r="B128" s="1154"/>
      <c r="C128" s="87"/>
      <c r="D128" s="89"/>
      <c r="E128" s="89"/>
      <c r="F128" s="89"/>
      <c r="G128" s="89"/>
      <c r="H128" s="89"/>
      <c r="I128" s="89"/>
      <c r="J128" s="1080"/>
      <c r="K128" s="97"/>
      <c r="L128" s="1100"/>
      <c r="M128" s="1321"/>
    </row>
    <row r="129" spans="1:15" s="110" customFormat="1" ht="13.5" customHeight="1" x14ac:dyDescent="0.2">
      <c r="A129" s="1163"/>
      <c r="B129" s="1154"/>
      <c r="C129" s="87" t="s">
        <v>688</v>
      </c>
      <c r="D129" s="89"/>
      <c r="E129" s="89"/>
      <c r="F129" s="89"/>
      <c r="G129" s="89"/>
      <c r="H129" s="89"/>
      <c r="I129" s="89"/>
      <c r="J129" s="1080"/>
      <c r="K129" s="97"/>
      <c r="L129" s="1100"/>
      <c r="M129" s="1321"/>
    </row>
    <row r="130" spans="1:15" s="837" customFormat="1" ht="21.75" customHeight="1" x14ac:dyDescent="0.2">
      <c r="A130" s="1164"/>
      <c r="B130" s="1151" t="s">
        <v>478</v>
      </c>
      <c r="C130" s="107" t="s">
        <v>1105</v>
      </c>
      <c r="D130" s="446" t="s">
        <v>306</v>
      </c>
      <c r="E130" s="738">
        <v>1874</v>
      </c>
      <c r="F130" s="738">
        <v>506</v>
      </c>
      <c r="G130" s="739">
        <f>SUM(E130:F130)</f>
        <v>2380</v>
      </c>
      <c r="H130" s="738">
        <v>600</v>
      </c>
      <c r="I130" s="738">
        <f>G130-H130</f>
        <v>1780</v>
      </c>
      <c r="J130" s="1454">
        <f t="shared" si="24"/>
        <v>2162</v>
      </c>
      <c r="K130" s="447">
        <v>582</v>
      </c>
      <c r="L130" s="1101">
        <v>1580</v>
      </c>
      <c r="M130" s="1101">
        <f t="shared" si="23"/>
        <v>90.840336134453779</v>
      </c>
    </row>
    <row r="131" spans="1:15" s="837" customFormat="1" ht="12.75" customHeight="1" thickBot="1" x14ac:dyDescent="0.25">
      <c r="A131" s="1164"/>
      <c r="B131" s="1151"/>
      <c r="C131" s="107"/>
      <c r="D131" s="446"/>
      <c r="E131" s="446"/>
      <c r="F131" s="446"/>
      <c r="G131" s="448"/>
      <c r="H131" s="446"/>
      <c r="I131" s="446"/>
      <c r="J131" s="1080"/>
      <c r="K131" s="474"/>
      <c r="L131" s="1331"/>
      <c r="M131" s="1321"/>
    </row>
    <row r="132" spans="1:15" s="110" customFormat="1" ht="21.75" customHeight="1" thickBot="1" x14ac:dyDescent="0.2">
      <c r="A132" s="1163"/>
      <c r="B132" s="1155"/>
      <c r="C132" s="449" t="s">
        <v>16</v>
      </c>
      <c r="D132" s="780"/>
      <c r="E132" s="780">
        <f t="shared" ref="E132:J132" si="38">SUM(E130:E131)</f>
        <v>1874</v>
      </c>
      <c r="F132" s="780">
        <f t="shared" si="38"/>
        <v>506</v>
      </c>
      <c r="G132" s="780">
        <f t="shared" si="38"/>
        <v>2380</v>
      </c>
      <c r="H132" s="780">
        <f t="shared" si="38"/>
        <v>600</v>
      </c>
      <c r="I132" s="780">
        <f t="shared" si="38"/>
        <v>1780</v>
      </c>
      <c r="J132" s="1814">
        <f t="shared" si="38"/>
        <v>2162</v>
      </c>
      <c r="K132" s="1815">
        <f t="shared" ref="K132:L132" si="39">SUM(K130:K131)</f>
        <v>582</v>
      </c>
      <c r="L132" s="1815">
        <f t="shared" si="39"/>
        <v>1580</v>
      </c>
      <c r="M132" s="1315">
        <f t="shared" si="23"/>
        <v>90.840336134453779</v>
      </c>
    </row>
    <row r="133" spans="1:15" s="110" customFormat="1" ht="13.5" customHeight="1" x14ac:dyDescent="0.2">
      <c r="A133" s="1163"/>
      <c r="B133" s="1154"/>
      <c r="C133" s="87"/>
      <c r="D133" s="89"/>
      <c r="E133" s="89"/>
      <c r="F133" s="89"/>
      <c r="G133" s="89"/>
      <c r="H133" s="89"/>
      <c r="I133" s="89"/>
      <c r="J133" s="1080"/>
      <c r="K133" s="97"/>
      <c r="L133" s="1324"/>
      <c r="M133" s="1323"/>
    </row>
    <row r="134" spans="1:15" s="110" customFormat="1" ht="13.5" customHeight="1" x14ac:dyDescent="0.2">
      <c r="A134" s="1163"/>
      <c r="B134" s="1154"/>
      <c r="C134" s="87" t="s">
        <v>1080</v>
      </c>
      <c r="D134" s="89"/>
      <c r="E134" s="89"/>
      <c r="F134" s="89"/>
      <c r="G134" s="89"/>
      <c r="H134" s="89"/>
      <c r="I134" s="89"/>
      <c r="J134" s="1080"/>
      <c r="K134" s="97"/>
      <c r="L134" s="1100"/>
      <c r="M134" s="1321"/>
    </row>
    <row r="135" spans="1:15" s="837" customFormat="1" ht="21.75" customHeight="1" x14ac:dyDescent="0.2">
      <c r="A135" s="1164"/>
      <c r="B135" s="1151" t="s">
        <v>478</v>
      </c>
      <c r="C135" s="107" t="s">
        <v>184</v>
      </c>
      <c r="D135" s="446" t="s">
        <v>306</v>
      </c>
      <c r="E135" s="738">
        <v>621</v>
      </c>
      <c r="F135" s="738">
        <v>168</v>
      </c>
      <c r="G135" s="739">
        <f>E135+F135</f>
        <v>789</v>
      </c>
      <c r="H135" s="738">
        <f>G135</f>
        <v>789</v>
      </c>
      <c r="I135" s="874"/>
      <c r="J135" s="1309">
        <f t="shared" si="24"/>
        <v>787</v>
      </c>
      <c r="K135" s="447">
        <v>787</v>
      </c>
      <c r="L135" s="1101"/>
      <c r="M135" s="1321">
        <f t="shared" si="23"/>
        <v>99.746514575411922</v>
      </c>
    </row>
    <row r="136" spans="1:15" s="837" customFormat="1" ht="21.75" customHeight="1" x14ac:dyDescent="0.2">
      <c r="A136" s="1164"/>
      <c r="B136" s="1151" t="s">
        <v>486</v>
      </c>
      <c r="C136" s="107" t="s">
        <v>1106</v>
      </c>
      <c r="D136" s="446" t="s">
        <v>306</v>
      </c>
      <c r="E136" s="738">
        <v>1099</v>
      </c>
      <c r="F136" s="738">
        <v>297</v>
      </c>
      <c r="G136" s="739">
        <f>SUM(E136:F136)</f>
        <v>1396</v>
      </c>
      <c r="H136" s="738">
        <f>G136</f>
        <v>1396</v>
      </c>
      <c r="I136" s="874"/>
      <c r="J136" s="1309">
        <f t="shared" si="24"/>
        <v>1396</v>
      </c>
      <c r="K136" s="447">
        <v>1396</v>
      </c>
      <c r="L136" s="1101"/>
      <c r="M136" s="1321">
        <f t="shared" si="23"/>
        <v>100</v>
      </c>
    </row>
    <row r="137" spans="1:15" s="837" customFormat="1" ht="12" customHeight="1" thickBot="1" x14ac:dyDescent="0.25">
      <c r="A137" s="1164"/>
      <c r="B137" s="1161"/>
      <c r="C137" s="451"/>
      <c r="D137" s="838"/>
      <c r="E137" s="838"/>
      <c r="F137" s="838"/>
      <c r="G137" s="839"/>
      <c r="H137" s="838"/>
      <c r="I137" s="839"/>
      <c r="J137" s="1080"/>
      <c r="K137" s="474"/>
      <c r="L137" s="1331"/>
      <c r="M137" s="1321"/>
    </row>
    <row r="138" spans="1:15" s="837" customFormat="1" ht="21.75" customHeight="1" thickBot="1" x14ac:dyDescent="0.25">
      <c r="A138" s="1164"/>
      <c r="B138" s="1155"/>
      <c r="C138" s="449" t="s">
        <v>185</v>
      </c>
      <c r="D138" s="780"/>
      <c r="E138" s="780">
        <f>SUM(E135:E136)</f>
        <v>1720</v>
      </c>
      <c r="F138" s="780">
        <f>SUM(F135:F136)</f>
        <v>465</v>
      </c>
      <c r="G138" s="780">
        <f>SUM(G135:G136)</f>
        <v>2185</v>
      </c>
      <c r="H138" s="780">
        <f>SUM(H135:H136)</f>
        <v>2185</v>
      </c>
      <c r="I138" s="1327"/>
      <c r="J138" s="1815">
        <f t="shared" ref="J138:L138" si="40">SUM(J135:J136)</f>
        <v>2183</v>
      </c>
      <c r="K138" s="1815">
        <f t="shared" si="40"/>
        <v>2183</v>
      </c>
      <c r="L138" s="1325">
        <f t="shared" si="40"/>
        <v>0</v>
      </c>
      <c r="M138" s="1325">
        <f t="shared" si="23"/>
        <v>99.908466819221957</v>
      </c>
    </row>
    <row r="139" spans="1:15" s="110" customFormat="1" ht="13.5" customHeight="1" x14ac:dyDescent="0.2">
      <c r="A139" s="1163"/>
      <c r="B139" s="1151"/>
      <c r="C139" s="107"/>
      <c r="D139" s="88"/>
      <c r="E139" s="88"/>
      <c r="F139" s="88"/>
      <c r="G139" s="89"/>
      <c r="H139" s="97"/>
      <c r="I139" s="105"/>
      <c r="J139" s="1080"/>
      <c r="K139" s="97"/>
      <c r="L139" s="1100"/>
      <c r="M139" s="1323"/>
      <c r="O139" s="573"/>
    </row>
    <row r="140" spans="1:15" s="110" customFormat="1" ht="13.5" customHeight="1" x14ac:dyDescent="0.2">
      <c r="A140" s="1163"/>
      <c r="B140" s="1154" t="s">
        <v>509</v>
      </c>
      <c r="C140" s="87" t="s">
        <v>510</v>
      </c>
      <c r="D140" s="89"/>
      <c r="E140" s="89"/>
      <c r="F140" s="89"/>
      <c r="G140" s="89"/>
      <c r="H140" s="97"/>
      <c r="I140" s="105"/>
      <c r="J140" s="1080"/>
      <c r="K140" s="97"/>
      <c r="L140" s="1100"/>
      <c r="M140" s="1321"/>
    </row>
    <row r="141" spans="1:15" s="110" customFormat="1" ht="11.25" customHeight="1" thickBot="1" x14ac:dyDescent="0.25">
      <c r="A141" s="1163"/>
      <c r="B141" s="1161"/>
      <c r="C141" s="107"/>
      <c r="D141" s="88"/>
      <c r="E141" s="88"/>
      <c r="F141" s="88"/>
      <c r="G141" s="89"/>
      <c r="H141" s="86"/>
      <c r="I141" s="564"/>
      <c r="J141" s="1080"/>
      <c r="K141" s="97"/>
      <c r="L141" s="1100"/>
      <c r="M141" s="1321"/>
    </row>
    <row r="142" spans="1:15" s="110" customFormat="1" ht="21.75" customHeight="1" thickBot="1" x14ac:dyDescent="0.25">
      <c r="A142" s="1163"/>
      <c r="B142" s="1162"/>
      <c r="C142" s="106" t="s">
        <v>511</v>
      </c>
      <c r="D142" s="111"/>
      <c r="E142" s="475">
        <f>E140</f>
        <v>0</v>
      </c>
      <c r="F142" s="475">
        <f t="shared" ref="F142:H142" si="41">F140</f>
        <v>0</v>
      </c>
      <c r="G142" s="475">
        <f t="shared" si="41"/>
        <v>0</v>
      </c>
      <c r="H142" s="475">
        <f t="shared" si="41"/>
        <v>0</v>
      </c>
      <c r="I142" s="1328"/>
      <c r="J142" s="939">
        <f>J140</f>
        <v>0</v>
      </c>
      <c r="K142" s="939">
        <f t="shared" ref="K142:L142" si="42">K140</f>
        <v>0</v>
      </c>
      <c r="L142" s="1332">
        <f t="shared" si="42"/>
        <v>0</v>
      </c>
      <c r="M142" s="1325"/>
    </row>
    <row r="143" spans="1:15" s="83" customFormat="1" ht="13.5" customHeight="1" thickBot="1" x14ac:dyDescent="0.25">
      <c r="A143" s="1165"/>
      <c r="B143" s="1151"/>
      <c r="C143" s="107"/>
      <c r="D143" s="88"/>
      <c r="E143" s="88"/>
      <c r="F143" s="88"/>
      <c r="G143" s="89"/>
      <c r="H143" s="86"/>
      <c r="I143" s="1329"/>
      <c r="J143" s="126"/>
      <c r="K143" s="86"/>
      <c r="L143" s="1321"/>
      <c r="M143" s="1326"/>
    </row>
    <row r="144" spans="1:15" s="110" customFormat="1" ht="20.25" customHeight="1" thickBot="1" x14ac:dyDescent="0.2">
      <c r="A144" s="1163"/>
      <c r="B144" s="1162"/>
      <c r="C144" s="106" t="s">
        <v>512</v>
      </c>
      <c r="D144" s="475"/>
      <c r="E144" s="475">
        <f>E19+E27+E59+E68+E73+E80+E86+E96+E101+E112+E120+E127+E132+E142+E138</f>
        <v>1777712</v>
      </c>
      <c r="F144" s="475">
        <f t="shared" ref="F144:I144" si="43">F19+F27+F59+F68+F73+F80+F86+F96+F101+F112+F120+F127+F132+F142+F138</f>
        <v>337205</v>
      </c>
      <c r="G144" s="475">
        <f t="shared" si="43"/>
        <v>2114917</v>
      </c>
      <c r="H144" s="475">
        <f t="shared" si="43"/>
        <v>1847817</v>
      </c>
      <c r="I144" s="475">
        <f t="shared" si="43"/>
        <v>267100</v>
      </c>
      <c r="J144" s="939">
        <f>J19+J27+J59+J68+J73+J80+J86+J96+J101+J112+J120+J127+J132+J142+J138</f>
        <v>1116216</v>
      </c>
      <c r="K144" s="939">
        <f t="shared" ref="K144:L144" si="44">K19+K27+K59+K68+K73+K80+K86+K96+K101+K112+K120+K127+K132+K142+K138</f>
        <v>927939</v>
      </c>
      <c r="L144" s="1332">
        <f t="shared" si="44"/>
        <v>188277</v>
      </c>
      <c r="M144" s="1325">
        <f t="shared" ref="M144" si="45">J144/G144*100</f>
        <v>52.778241415620563</v>
      </c>
    </row>
    <row r="145" spans="6:13" ht="14.1" customHeight="1" x14ac:dyDescent="0.2">
      <c r="M145" s="1320"/>
    </row>
    <row r="146" spans="6:13" ht="14.1" customHeight="1" x14ac:dyDescent="0.2">
      <c r="L146" s="1314"/>
    </row>
    <row r="147" spans="6:13" ht="14.1" customHeight="1" x14ac:dyDescent="0.2">
      <c r="F147" s="112"/>
      <c r="G147" s="113"/>
    </row>
  </sheetData>
  <sheetProtection selectLockedCells="1" selectUnlockedCells="1"/>
  <mergeCells count="20">
    <mergeCell ref="J8:M8"/>
    <mergeCell ref="B6:B10"/>
    <mergeCell ref="C9:C10"/>
    <mergeCell ref="D9:D10"/>
    <mergeCell ref="E8:G8"/>
    <mergeCell ref="F9:F10"/>
    <mergeCell ref="G9:G10"/>
    <mergeCell ref="E9:E10"/>
    <mergeCell ref="B1:M1"/>
    <mergeCell ref="J9:J10"/>
    <mergeCell ref="K9:K10"/>
    <mergeCell ref="L9:L10"/>
    <mergeCell ref="M9:M10"/>
    <mergeCell ref="H8:I8"/>
    <mergeCell ref="H9:H10"/>
    <mergeCell ref="I9:I10"/>
    <mergeCell ref="B5:M5"/>
    <mergeCell ref="B2:M2"/>
    <mergeCell ref="C3:M3"/>
    <mergeCell ref="C4:M4"/>
  </mergeCells>
  <phoneticPr fontId="33" type="noConversion"/>
  <pageMargins left="0" right="0" top="0.39370078740157483" bottom="0.39370078740157483" header="0.51181102362204722" footer="0.51181102362204722"/>
  <pageSetup paperSize="9" scale="76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948" t="s">
        <v>2069</v>
      </c>
      <c r="B2" s="1948"/>
      <c r="C2" s="1948"/>
      <c r="D2" s="1948"/>
      <c r="E2" s="1948"/>
    </row>
    <row r="3" spans="1:8" x14ac:dyDescent="0.25">
      <c r="B3" s="18"/>
      <c r="C3" s="316"/>
    </row>
    <row r="4" spans="1:8" ht="15" customHeight="1" x14ac:dyDescent="0.25">
      <c r="A4" s="1949" t="s">
        <v>77</v>
      </c>
      <c r="B4" s="1949"/>
      <c r="C4" s="1949"/>
      <c r="D4" s="1949"/>
      <c r="E4" s="1949"/>
    </row>
    <row r="5" spans="1:8" ht="15" customHeight="1" x14ac:dyDescent="0.25">
      <c r="A5" s="1950" t="s">
        <v>1121</v>
      </c>
      <c r="B5" s="1950"/>
      <c r="C5" s="1950"/>
      <c r="D5" s="1950"/>
      <c r="E5" s="1950"/>
    </row>
    <row r="6" spans="1:8" ht="15" customHeight="1" x14ac:dyDescent="0.25">
      <c r="A6" s="1950" t="s">
        <v>518</v>
      </c>
      <c r="B6" s="1950"/>
      <c r="C6" s="1950"/>
      <c r="D6" s="1950"/>
      <c r="E6" s="1950"/>
    </row>
    <row r="7" spans="1:8" ht="15" customHeight="1" x14ac:dyDescent="0.25">
      <c r="B7" s="1950"/>
      <c r="C7" s="1950"/>
    </row>
    <row r="8" spans="1:8" s="19" customFormat="1" ht="20.100000000000001" customHeight="1" x14ac:dyDescent="0.25">
      <c r="A8" s="1951" t="s">
        <v>302</v>
      </c>
      <c r="B8" s="1952"/>
      <c r="C8" s="1952"/>
      <c r="D8" s="1952"/>
      <c r="E8" s="1952"/>
    </row>
    <row r="9" spans="1:8" s="19" customFormat="1" ht="20.100000000000001" customHeight="1" x14ac:dyDescent="0.25">
      <c r="A9" s="1955" t="s">
        <v>76</v>
      </c>
      <c r="B9" s="458" t="s">
        <v>57</v>
      </c>
      <c r="C9" s="1954" t="s">
        <v>58</v>
      </c>
      <c r="D9" s="1954"/>
      <c r="E9" s="1954"/>
    </row>
    <row r="10" spans="1:8" ht="46.5" customHeight="1" x14ac:dyDescent="0.25">
      <c r="A10" s="1955"/>
      <c r="B10" s="1947" t="s">
        <v>85</v>
      </c>
      <c r="C10" s="1953" t="s">
        <v>1164</v>
      </c>
      <c r="D10" s="1953"/>
      <c r="E10" s="1953"/>
    </row>
    <row r="11" spans="1:8" ht="20.100000000000001" customHeight="1" x14ac:dyDescent="0.25">
      <c r="A11" s="1955"/>
      <c r="B11" s="1947"/>
      <c r="C11" s="457" t="s">
        <v>176</v>
      </c>
      <c r="D11" s="1172" t="s">
        <v>177</v>
      </c>
      <c r="E11" s="1173" t="s">
        <v>178</v>
      </c>
    </row>
    <row r="12" spans="1:8" ht="20.100000000000001" customHeight="1" x14ac:dyDescent="0.25">
      <c r="A12" s="21" t="s">
        <v>478</v>
      </c>
      <c r="B12" s="22" t="s">
        <v>519</v>
      </c>
      <c r="C12" s="565"/>
      <c r="D12" s="566"/>
      <c r="E12" s="567"/>
    </row>
    <row r="13" spans="1:8" ht="20.100000000000001" customHeight="1" x14ac:dyDescent="0.25">
      <c r="A13" s="21" t="s">
        <v>486</v>
      </c>
      <c r="B13" s="23" t="s">
        <v>628</v>
      </c>
      <c r="C13" s="568"/>
      <c r="D13" s="569"/>
      <c r="E13" s="570"/>
    </row>
    <row r="14" spans="1:8" ht="24.6" customHeight="1" x14ac:dyDescent="0.25">
      <c r="A14" s="21" t="s">
        <v>487</v>
      </c>
      <c r="B14" s="956" t="s">
        <v>637</v>
      </c>
      <c r="C14" s="572">
        <v>22391</v>
      </c>
      <c r="D14" s="572">
        <v>733</v>
      </c>
      <c r="E14" s="960">
        <f t="shared" ref="E14:E17" si="0">C14+D14</f>
        <v>23124</v>
      </c>
    </row>
    <row r="15" spans="1:8" ht="36" customHeight="1" x14ac:dyDescent="0.25">
      <c r="A15" s="21" t="s">
        <v>488</v>
      </c>
      <c r="B15" s="1066" t="s">
        <v>1054</v>
      </c>
      <c r="C15" s="959">
        <v>0</v>
      </c>
      <c r="D15" s="572">
        <v>0</v>
      </c>
      <c r="E15" s="960">
        <f t="shared" si="0"/>
        <v>0</v>
      </c>
      <c r="G15" s="470"/>
      <c r="H15" s="470"/>
    </row>
    <row r="16" spans="1:8" ht="24" customHeight="1" x14ac:dyDescent="0.25">
      <c r="A16" s="21" t="s">
        <v>489</v>
      </c>
      <c r="B16" s="723" t="s">
        <v>1053</v>
      </c>
      <c r="C16" s="823">
        <v>0</v>
      </c>
      <c r="D16" s="572">
        <v>0</v>
      </c>
      <c r="E16" s="960">
        <f t="shared" si="0"/>
        <v>0</v>
      </c>
    </row>
    <row r="17" spans="1:15" ht="31.5" customHeight="1" thickBot="1" x14ac:dyDescent="0.3">
      <c r="A17" s="21" t="s">
        <v>490</v>
      </c>
      <c r="B17" s="996" t="s">
        <v>1127</v>
      </c>
      <c r="C17" s="823">
        <v>0</v>
      </c>
      <c r="D17" s="572">
        <v>0</v>
      </c>
      <c r="E17" s="960">
        <f t="shared" si="0"/>
        <v>0</v>
      </c>
    </row>
    <row r="18" spans="1:15" s="15" customFormat="1" ht="19.5" customHeight="1" thickBot="1" x14ac:dyDescent="0.3">
      <c r="A18" s="21" t="s">
        <v>491</v>
      </c>
      <c r="B18" s="1002" t="s">
        <v>49</v>
      </c>
      <c r="C18" s="1003">
        <f>SUM(C14:C17)</f>
        <v>22391</v>
      </c>
      <c r="D18" s="1003">
        <f>SUM(D14:D17)</f>
        <v>733</v>
      </c>
      <c r="E18" s="1073">
        <f>SUM(E14:E17)</f>
        <v>23124</v>
      </c>
    </row>
    <row r="19" spans="1:15" s="15" customFormat="1" ht="20.25" customHeight="1" x14ac:dyDescent="0.25">
      <c r="A19" s="21" t="s">
        <v>492</v>
      </c>
      <c r="B19" s="26"/>
      <c r="C19" s="961"/>
      <c r="D19" s="962"/>
      <c r="E19" s="963"/>
    </row>
    <row r="20" spans="1:15" ht="19.5" customHeight="1" x14ac:dyDescent="0.25">
      <c r="A20" s="21" t="s">
        <v>493</v>
      </c>
      <c r="B20" s="26" t="s">
        <v>629</v>
      </c>
      <c r="C20" s="958"/>
      <c r="D20" s="964"/>
      <c r="E20" s="965"/>
    </row>
    <row r="21" spans="1:15" ht="21" customHeight="1" x14ac:dyDescent="0.25">
      <c r="A21" s="21" t="s">
        <v>529</v>
      </c>
      <c r="B21" s="17" t="s">
        <v>520</v>
      </c>
      <c r="C21" s="958"/>
      <c r="D21" s="959">
        <v>0</v>
      </c>
      <c r="E21" s="960">
        <f>C21+D21</f>
        <v>0</v>
      </c>
    </row>
    <row r="22" spans="1:15" ht="21.75" customHeight="1" x14ac:dyDescent="0.25">
      <c r="A22" s="21" t="s">
        <v>530</v>
      </c>
      <c r="B22" s="24" t="s">
        <v>521</v>
      </c>
      <c r="C22" s="958"/>
      <c r="D22" s="959">
        <v>2469</v>
      </c>
      <c r="E22" s="960">
        <f>C22+D22</f>
        <v>2469</v>
      </c>
    </row>
    <row r="23" spans="1:15" ht="41.25" customHeight="1" thickBot="1" x14ac:dyDescent="0.3">
      <c r="A23" s="21" t="s">
        <v>531</v>
      </c>
      <c r="B23" s="835" t="s">
        <v>947</v>
      </c>
      <c r="C23" s="832"/>
      <c r="D23" s="833">
        <v>0</v>
      </c>
      <c r="E23" s="834">
        <f>C23+D23</f>
        <v>0</v>
      </c>
    </row>
    <row r="24" spans="1:15" s="15" customFormat="1" ht="21" customHeight="1" thickBot="1" x14ac:dyDescent="0.3">
      <c r="A24" s="21" t="s">
        <v>532</v>
      </c>
      <c r="B24" s="1002" t="s">
        <v>630</v>
      </c>
      <c r="C24" s="1003">
        <f>SUM(C21:C22)</f>
        <v>0</v>
      </c>
      <c r="D24" s="1004">
        <f>SUM(D21:D23)</f>
        <v>2469</v>
      </c>
      <c r="E24" s="1000">
        <f>C24+D24</f>
        <v>2469</v>
      </c>
    </row>
    <row r="25" spans="1:15" s="15" customFormat="1" ht="22.5" customHeight="1" thickBot="1" x14ac:dyDescent="0.3">
      <c r="A25" s="21" t="s">
        <v>533</v>
      </c>
      <c r="B25" s="292" t="s">
        <v>522</v>
      </c>
      <c r="C25" s="998">
        <f>C18+C24</f>
        <v>22391</v>
      </c>
      <c r="D25" s="999">
        <f>D18+D24</f>
        <v>3202</v>
      </c>
      <c r="E25" s="1000">
        <f>C25+D25</f>
        <v>25593</v>
      </c>
    </row>
    <row r="26" spans="1:15" ht="20.100000000000001" customHeight="1" x14ac:dyDescent="0.25">
      <c r="A26" s="21" t="s">
        <v>534</v>
      </c>
      <c r="B26" s="24"/>
      <c r="C26" s="823"/>
      <c r="D26" s="572"/>
      <c r="E26" s="965"/>
    </row>
    <row r="27" spans="1:15" ht="20.100000000000001" customHeight="1" x14ac:dyDescent="0.25">
      <c r="A27" s="21" t="s">
        <v>535</v>
      </c>
      <c r="B27" s="22" t="s">
        <v>523</v>
      </c>
      <c r="C27" s="823"/>
      <c r="D27" s="572"/>
      <c r="E27" s="965"/>
    </row>
    <row r="28" spans="1:15" ht="20.100000000000001" customHeight="1" x14ac:dyDescent="0.25">
      <c r="A28" s="21" t="s">
        <v>536</v>
      </c>
      <c r="B28" s="17" t="s">
        <v>524</v>
      </c>
      <c r="C28" s="823">
        <v>127845</v>
      </c>
      <c r="D28" s="572">
        <v>1789</v>
      </c>
      <c r="E28" s="960">
        <f>C28+D28</f>
        <v>129634</v>
      </c>
    </row>
    <row r="29" spans="1:15" ht="20.100000000000001" customHeight="1" x14ac:dyDescent="0.25">
      <c r="A29" s="21" t="s">
        <v>538</v>
      </c>
      <c r="B29" s="28" t="s">
        <v>186</v>
      </c>
      <c r="C29" s="823"/>
      <c r="D29" s="572"/>
      <c r="E29" s="960"/>
    </row>
    <row r="30" spans="1:15" ht="32.25" customHeight="1" x14ac:dyDescent="0.25">
      <c r="A30" s="21" t="s">
        <v>539</v>
      </c>
      <c r="B30" s="723" t="s">
        <v>1055</v>
      </c>
      <c r="C30" s="823">
        <v>0</v>
      </c>
      <c r="D30" s="572">
        <v>0</v>
      </c>
      <c r="E30" s="960">
        <f>SUM(C30:D30)</f>
        <v>0</v>
      </c>
    </row>
    <row r="31" spans="1:15" ht="32.25" customHeight="1" thickBot="1" x14ac:dyDescent="0.3">
      <c r="A31" s="21" t="s">
        <v>540</v>
      </c>
      <c r="B31" s="956" t="s">
        <v>1056</v>
      </c>
      <c r="C31" s="572">
        <v>2223</v>
      </c>
      <c r="D31" s="572"/>
      <c r="E31" s="960">
        <f>SUM(C31:D31)</f>
        <v>2223</v>
      </c>
    </row>
    <row r="32" spans="1:15" s="15" customFormat="1" ht="20.100000000000001" customHeight="1" thickBot="1" x14ac:dyDescent="0.3">
      <c r="A32" s="21" t="s">
        <v>541</v>
      </c>
      <c r="B32" s="1001" t="s">
        <v>525</v>
      </c>
      <c r="C32" s="999">
        <f>C28+C30+C31</f>
        <v>130068</v>
      </c>
      <c r="D32" s="999">
        <f t="shared" ref="D32:E32" si="1">D28+D30+D31</f>
        <v>1789</v>
      </c>
      <c r="E32" s="1000">
        <f t="shared" si="1"/>
        <v>131857</v>
      </c>
      <c r="O32" s="957"/>
    </row>
    <row r="33" spans="1:15" s="15" customFormat="1" ht="20.100000000000001" customHeight="1" thickBot="1" x14ac:dyDescent="0.3">
      <c r="A33" s="21" t="s">
        <v>542</v>
      </c>
      <c r="B33" s="997" t="s">
        <v>303</v>
      </c>
      <c r="C33" s="998">
        <f>C25+C32</f>
        <v>152459</v>
      </c>
      <c r="D33" s="999">
        <f>D25+D32</f>
        <v>4991</v>
      </c>
      <c r="E33" s="1000">
        <f>E25+E32</f>
        <v>157450</v>
      </c>
      <c r="O33" s="957"/>
    </row>
    <row r="34" spans="1:15" s="15" customFormat="1" ht="20.100000000000001" customHeight="1" x14ac:dyDescent="0.25">
      <c r="A34" s="16"/>
      <c r="B34" s="29"/>
      <c r="C34" s="27"/>
      <c r="D34" s="341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470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63"/>
  <sheetViews>
    <sheetView topLeftCell="C1" zoomScale="120" workbookViewId="0">
      <selection activeCell="C1" sqref="C1:Q1"/>
    </sheetView>
  </sheetViews>
  <sheetFormatPr defaultColWidth="9.140625" defaultRowHeight="11.25" x14ac:dyDescent="0.2"/>
  <cols>
    <col min="1" max="1" width="3.7109375" style="152" customWidth="1"/>
    <col min="2" max="2" width="37.28515625" style="152" customWidth="1"/>
    <col min="3" max="3" width="12" style="153" customWidth="1"/>
    <col min="4" max="8" width="12.140625" style="153" customWidth="1"/>
    <col min="9" max="9" width="7.42578125" style="153" customWidth="1"/>
    <col min="10" max="10" width="40.42578125" style="153" customWidth="1"/>
    <col min="11" max="13" width="12.140625" style="153" customWidth="1"/>
    <col min="14" max="14" width="12.140625" style="10" customWidth="1"/>
    <col min="15" max="16" width="11.5703125" style="10" customWidth="1"/>
    <col min="17" max="17" width="7.28515625" style="10" customWidth="1"/>
    <col min="18" max="16384" width="9.140625" style="10"/>
  </cols>
  <sheetData>
    <row r="1" spans="1:17" ht="12.75" customHeight="1" x14ac:dyDescent="0.2">
      <c r="C1" s="1816" t="s">
        <v>2070</v>
      </c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17" ht="12.75" customHeight="1" x14ac:dyDescent="0.2">
      <c r="B2" s="1891" t="s">
        <v>77</v>
      </c>
      <c r="C2" s="1891"/>
      <c r="D2" s="1891"/>
      <c r="E2" s="1891"/>
      <c r="F2" s="1891"/>
      <c r="G2" s="1891"/>
      <c r="H2" s="1891"/>
      <c r="I2" s="1891"/>
      <c r="J2" s="1891"/>
      <c r="K2" s="1891"/>
      <c r="L2" s="1891"/>
      <c r="M2" s="1891"/>
      <c r="N2" s="1891"/>
      <c r="O2" s="1891"/>
      <c r="P2" s="1891"/>
      <c r="Q2" s="1891"/>
    </row>
    <row r="3" spans="1:17" x14ac:dyDescent="0.2">
      <c r="B3" s="1957" t="s">
        <v>1359</v>
      </c>
      <c r="C3" s="1957"/>
      <c r="D3" s="1957"/>
      <c r="E3" s="1957"/>
      <c r="F3" s="1957"/>
      <c r="G3" s="1957"/>
      <c r="H3" s="1957"/>
      <c r="I3" s="1957"/>
      <c r="J3" s="1957"/>
      <c r="K3" s="1957"/>
      <c r="L3" s="1957"/>
      <c r="M3" s="1957"/>
      <c r="N3" s="1957"/>
      <c r="O3" s="1957"/>
      <c r="P3" s="1957"/>
      <c r="Q3" s="1957"/>
    </row>
    <row r="4" spans="1:17" s="120" customFormat="1" x14ac:dyDescent="0.2">
      <c r="A4" s="155"/>
      <c r="B4" s="1823" t="s">
        <v>77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</row>
    <row r="5" spans="1:17" s="120" customFormat="1" x14ac:dyDescent="0.2">
      <c r="A5" s="155"/>
      <c r="B5" s="1958" t="s">
        <v>1122</v>
      </c>
      <c r="C5" s="1958"/>
      <c r="D5" s="1958"/>
      <c r="E5" s="1958"/>
      <c r="F5" s="1958"/>
      <c r="G5" s="1958"/>
      <c r="H5" s="1958"/>
      <c r="I5" s="1958"/>
      <c r="J5" s="1958"/>
      <c r="K5" s="1958"/>
      <c r="L5" s="1958"/>
      <c r="M5" s="1958"/>
      <c r="N5" s="1958"/>
      <c r="O5" s="1958"/>
      <c r="P5" s="1958"/>
      <c r="Q5" s="1958"/>
    </row>
    <row r="6" spans="1:17" s="120" customFormat="1" ht="12.75" customHeight="1" x14ac:dyDescent="0.2">
      <c r="A6" s="1824" t="s">
        <v>302</v>
      </c>
      <c r="B6" s="1824"/>
      <c r="C6" s="1824"/>
      <c r="D6" s="1824"/>
      <c r="E6" s="1824"/>
      <c r="F6" s="1824"/>
      <c r="G6" s="1824"/>
      <c r="H6" s="1824"/>
      <c r="I6" s="1824"/>
      <c r="J6" s="1824"/>
      <c r="K6" s="1824"/>
      <c r="L6" s="1824"/>
      <c r="M6" s="1824"/>
      <c r="N6" s="1824"/>
      <c r="O6" s="1824"/>
      <c r="P6" s="1824"/>
      <c r="Q6" s="1824"/>
    </row>
    <row r="7" spans="1:17" s="120" customFormat="1" ht="12.75" customHeight="1" x14ac:dyDescent="0.2">
      <c r="A7" s="1829" t="s">
        <v>56</v>
      </c>
      <c r="B7" s="1828" t="s">
        <v>57</v>
      </c>
      <c r="C7" s="1850" t="s">
        <v>58</v>
      </c>
      <c r="D7" s="1850"/>
      <c r="E7" s="1827"/>
      <c r="F7" s="1834" t="s">
        <v>59</v>
      </c>
      <c r="G7" s="1834"/>
      <c r="H7" s="1834"/>
      <c r="I7" s="1835"/>
      <c r="J7" s="1962" t="s">
        <v>60</v>
      </c>
      <c r="K7" s="1959" t="s">
        <v>469</v>
      </c>
      <c r="L7" s="1960"/>
      <c r="M7" s="1961"/>
      <c r="N7" s="1822" t="s">
        <v>470</v>
      </c>
      <c r="O7" s="1822"/>
      <c r="P7" s="1822"/>
      <c r="Q7" s="1822"/>
    </row>
    <row r="8" spans="1:17" s="120" customFormat="1" ht="12.75" customHeight="1" x14ac:dyDescent="0.2">
      <c r="A8" s="1829"/>
      <c r="B8" s="1828"/>
      <c r="C8" s="1825" t="s">
        <v>1103</v>
      </c>
      <c r="D8" s="1825"/>
      <c r="E8" s="1826"/>
      <c r="F8" s="1817" t="s">
        <v>1355</v>
      </c>
      <c r="G8" s="1818"/>
      <c r="H8" s="1819"/>
      <c r="I8" s="1820" t="s">
        <v>1357</v>
      </c>
      <c r="J8" s="1962"/>
      <c r="K8" s="1825" t="s">
        <v>1103</v>
      </c>
      <c r="L8" s="1825"/>
      <c r="M8" s="1825"/>
      <c r="N8" s="1817" t="s">
        <v>1355</v>
      </c>
      <c r="O8" s="1818"/>
      <c r="P8" s="1819"/>
      <c r="Q8" s="1820" t="s">
        <v>1357</v>
      </c>
    </row>
    <row r="9" spans="1:17" s="121" customFormat="1" ht="36.6" customHeight="1" x14ac:dyDescent="0.2">
      <c r="A9" s="1829"/>
      <c r="B9" s="156" t="s">
        <v>61</v>
      </c>
      <c r="C9" s="132" t="s">
        <v>62</v>
      </c>
      <c r="D9" s="132" t="s">
        <v>63</v>
      </c>
      <c r="E9" s="157" t="s">
        <v>64</v>
      </c>
      <c r="F9" s="132" t="s">
        <v>62</v>
      </c>
      <c r="G9" s="132" t="s">
        <v>63</v>
      </c>
      <c r="H9" s="157" t="s">
        <v>1356</v>
      </c>
      <c r="I9" s="1821"/>
      <c r="J9" s="158" t="s">
        <v>65</v>
      </c>
      <c r="K9" s="132" t="s">
        <v>62</v>
      </c>
      <c r="L9" s="132" t="s">
        <v>63</v>
      </c>
      <c r="M9" s="132" t="s">
        <v>64</v>
      </c>
      <c r="N9" s="132" t="s">
        <v>62</v>
      </c>
      <c r="O9" s="1348" t="s">
        <v>63</v>
      </c>
      <c r="P9" s="157" t="s">
        <v>1356</v>
      </c>
      <c r="Q9" s="1821"/>
    </row>
    <row r="10" spans="1:17" ht="11.45" customHeight="1" x14ac:dyDescent="0.2">
      <c r="A10" s="159">
        <v>1</v>
      </c>
      <c r="B10" s="160" t="s">
        <v>24</v>
      </c>
      <c r="C10" s="161"/>
      <c r="D10" s="161"/>
      <c r="E10" s="1190"/>
      <c r="F10" s="161"/>
      <c r="G10" s="161"/>
      <c r="H10" s="1190"/>
      <c r="I10" s="161"/>
      <c r="J10" s="135" t="s">
        <v>25</v>
      </c>
      <c r="K10" s="161"/>
      <c r="L10" s="161"/>
      <c r="M10" s="424"/>
      <c r="N10" s="185"/>
      <c r="P10" s="1350"/>
      <c r="Q10" s="1251"/>
    </row>
    <row r="11" spans="1:17" x14ac:dyDescent="0.2">
      <c r="A11" s="159">
        <f t="shared" ref="A11:A56" si="0">A10+1</f>
        <v>2</v>
      </c>
      <c r="B11" s="162" t="s">
        <v>35</v>
      </c>
      <c r="C11" s="287"/>
      <c r="D11" s="287"/>
      <c r="E11" s="436"/>
      <c r="F11" s="275"/>
      <c r="G11" s="275"/>
      <c r="H11" s="436"/>
      <c r="I11" s="275"/>
      <c r="J11" s="461" t="s">
        <v>215</v>
      </c>
      <c r="K11" s="275">
        <f>'műk. kiad. szakf Önkorm. '!D75</f>
        <v>64325</v>
      </c>
      <c r="L11" s="275">
        <f>'műk. kiad. szakf Önkorm. '!E75</f>
        <v>37793</v>
      </c>
      <c r="M11" s="435">
        <f>SUM(K11:L11)</f>
        <v>102118</v>
      </c>
      <c r="N11" s="553">
        <f>'műk. kiad. szakf Önkorm. '!F75</f>
        <v>55075</v>
      </c>
      <c r="O11" s="282">
        <f>'műk. kiad. szakf Önkorm. '!G75</f>
        <v>28516</v>
      </c>
      <c r="P11" s="437">
        <f>N11+O11</f>
        <v>83591</v>
      </c>
      <c r="Q11" s="437">
        <f>P11/M11*100</f>
        <v>81.857263166141124</v>
      </c>
    </row>
    <row r="12" spans="1:17" x14ac:dyDescent="0.2">
      <c r="A12" s="159">
        <f t="shared" si="0"/>
        <v>3</v>
      </c>
      <c r="B12" s="162" t="s">
        <v>191</v>
      </c>
      <c r="C12" s="287">
        <f>'tám, végl. pe.átv  '!C11+'tám, végl. pe.átv  '!C17+'tám, végl. pe.átv  '!C18</f>
        <v>812195</v>
      </c>
      <c r="D12" s="287">
        <f>'tám, végl. pe.átv  '!D11+'tám, végl. pe.átv  '!D17+'tám, végl. pe.átv  '!D18</f>
        <v>129474</v>
      </c>
      <c r="E12" s="436">
        <f>'tám, végl. pe.átv  '!E11+'tám, végl. pe.átv  '!E17+'tám, végl. pe.átv  '!E18</f>
        <v>941669</v>
      </c>
      <c r="F12" s="287">
        <f>'tám, végl. pe.átv  '!F11+'tám, végl. pe.átv  '!F16+'tám, végl. pe.átv  '!F17+'tám, végl. pe.átv  '!F18</f>
        <v>812194</v>
      </c>
      <c r="G12" s="287">
        <f>'tám, végl. pe.átv  '!G11+'tám, végl. pe.átv  '!G16+'tám, végl. pe.átv  '!G17+'tám, végl. pe.átv  '!G18</f>
        <v>129474</v>
      </c>
      <c r="H12" s="436">
        <f>F12+G12</f>
        <v>941668</v>
      </c>
      <c r="I12" s="287">
        <f>H12/E12*100</f>
        <v>99.999893805572867</v>
      </c>
      <c r="J12" s="461" t="s">
        <v>216</v>
      </c>
      <c r="K12" s="275">
        <f>'műk. kiad. szakf Önkorm. '!H75</f>
        <v>12271</v>
      </c>
      <c r="L12" s="275">
        <f>'műk. kiad. szakf Önkorm. '!I75</f>
        <v>13590</v>
      </c>
      <c r="M12" s="435">
        <f>SUM(K12:L12)</f>
        <v>25861</v>
      </c>
      <c r="N12" s="553">
        <f>'műk. kiad. szakf Önkorm. '!J75</f>
        <v>9974</v>
      </c>
      <c r="O12" s="282">
        <f>'műk. kiad. szakf Önkorm. '!K75</f>
        <v>10129</v>
      </c>
      <c r="P12" s="437">
        <f t="shared" ref="P12:P22" si="1">N12+O12</f>
        <v>20103</v>
      </c>
      <c r="Q12" s="437">
        <f t="shared" ref="Q12:Q56" si="2">P12/M12*100</f>
        <v>77.734813038938938</v>
      </c>
    </row>
    <row r="13" spans="1:17" x14ac:dyDescent="0.2">
      <c r="A13" s="159">
        <f t="shared" si="0"/>
        <v>4</v>
      </c>
      <c r="B13" s="162" t="s">
        <v>188</v>
      </c>
      <c r="C13" s="287"/>
      <c r="D13" s="287">
        <v>0</v>
      </c>
      <c r="E13" s="436">
        <f>C13+D13</f>
        <v>0</v>
      </c>
      <c r="F13" s="287"/>
      <c r="G13" s="287"/>
      <c r="H13" s="436">
        <f t="shared" ref="H13:H31" si="3">F13+G13</f>
        <v>0</v>
      </c>
      <c r="I13" s="287"/>
      <c r="J13" s="461" t="s">
        <v>217</v>
      </c>
      <c r="K13" s="275">
        <f>'műk. kiad. szakf Önkorm. '!L75</f>
        <v>356883</v>
      </c>
      <c r="L13" s="275">
        <f>'műk. kiad. szakf Önkorm. '!M75</f>
        <v>290375</v>
      </c>
      <c r="M13" s="435">
        <f>SUM(K13:L13)</f>
        <v>647258</v>
      </c>
      <c r="N13" s="553">
        <f>'műk. kiad. szakf Önkorm. '!N75</f>
        <v>289598</v>
      </c>
      <c r="O13" s="282">
        <f>'műk. kiad. szakf Önkorm. '!O75</f>
        <v>223104</v>
      </c>
      <c r="P13" s="437">
        <f t="shared" si="1"/>
        <v>512702</v>
      </c>
      <c r="Q13" s="437">
        <f t="shared" si="2"/>
        <v>79.211380933105502</v>
      </c>
    </row>
    <row r="14" spans="1:17" ht="12" customHeight="1" x14ac:dyDescent="0.2">
      <c r="A14" s="159">
        <f t="shared" si="0"/>
        <v>5</v>
      </c>
      <c r="B14" s="497" t="s">
        <v>192</v>
      </c>
      <c r="C14" s="287">
        <f>'tám, végl. pe.átv  '!C39</f>
        <v>56629</v>
      </c>
      <c r="D14" s="287">
        <f>'tám, végl. pe.átv  '!D39</f>
        <v>2776</v>
      </c>
      <c r="E14" s="436">
        <f>'tám, végl. pe.átv  '!E39</f>
        <v>59405</v>
      </c>
      <c r="F14" s="287">
        <f>'tám, végl. pe.átv  '!F39</f>
        <v>55349</v>
      </c>
      <c r="G14" s="287">
        <f>'tám, végl. pe.átv  '!G39</f>
        <v>2776</v>
      </c>
      <c r="H14" s="436">
        <f t="shared" si="3"/>
        <v>58125</v>
      </c>
      <c r="I14" s="287">
        <f t="shared" ref="I14:I56" si="4">H14/E14*100</f>
        <v>97.845299217237596</v>
      </c>
      <c r="J14" s="461"/>
      <c r="K14" s="287"/>
      <c r="L14" s="287"/>
      <c r="M14" s="435"/>
      <c r="N14" s="553"/>
      <c r="O14" s="280"/>
      <c r="P14" s="437"/>
      <c r="Q14" s="437"/>
    </row>
    <row r="15" spans="1:17" x14ac:dyDescent="0.2">
      <c r="A15" s="159">
        <f>A14+1</f>
        <v>6</v>
      </c>
      <c r="B15" s="162" t="s">
        <v>1083</v>
      </c>
      <c r="C15" s="287"/>
      <c r="D15" s="287"/>
      <c r="E15" s="436"/>
      <c r="F15" s="275"/>
      <c r="G15" s="275"/>
      <c r="H15" s="436">
        <f t="shared" si="3"/>
        <v>0</v>
      </c>
      <c r="I15" s="287"/>
      <c r="J15" s="461" t="s">
        <v>218</v>
      </c>
      <c r="K15" s="282">
        <f>'ellátottak önk.'!E30</f>
        <v>2526</v>
      </c>
      <c r="L15" s="282">
        <f>'ellátottak önk.'!F30</f>
        <v>11113</v>
      </c>
      <c r="M15" s="435">
        <f>SUM(K15:L15)</f>
        <v>13639</v>
      </c>
      <c r="N15" s="553">
        <f>'ellátottak önk.'!K30</f>
        <v>1546</v>
      </c>
      <c r="O15" s="282">
        <f>'ellátottak önk.'!L30</f>
        <v>8755</v>
      </c>
      <c r="P15" s="437">
        <f t="shared" si="1"/>
        <v>10301</v>
      </c>
      <c r="Q15" s="437">
        <f t="shared" si="2"/>
        <v>75.526064960774249</v>
      </c>
    </row>
    <row r="16" spans="1:17" x14ac:dyDescent="0.2">
      <c r="A16" s="159">
        <f t="shared" ref="A16:A27" si="5">A15+1</f>
        <v>7</v>
      </c>
      <c r="B16" s="162" t="s">
        <v>1081</v>
      </c>
      <c r="C16" s="287">
        <f>'felh. bev.  '!D25</f>
        <v>0</v>
      </c>
      <c r="D16" s="287"/>
      <c r="E16" s="436">
        <f>SUM(C16:D16)</f>
        <v>0</v>
      </c>
      <c r="F16" s="275"/>
      <c r="G16" s="275"/>
      <c r="H16" s="436">
        <f t="shared" si="3"/>
        <v>0</v>
      </c>
      <c r="I16" s="287"/>
      <c r="J16" s="461"/>
      <c r="K16" s="282"/>
      <c r="L16" s="282"/>
      <c r="M16" s="435"/>
      <c r="N16" s="553"/>
      <c r="O16" s="280"/>
      <c r="P16" s="437"/>
      <c r="Q16" s="437"/>
    </row>
    <row r="17" spans="1:18" x14ac:dyDescent="0.2">
      <c r="A17" s="159">
        <f t="shared" si="5"/>
        <v>8</v>
      </c>
      <c r="B17" s="1005" t="s">
        <v>1082</v>
      </c>
      <c r="C17" s="287">
        <f>'felh. bev.  '!D30</f>
        <v>621278</v>
      </c>
      <c r="D17" s="287">
        <f>'felh. bev.  '!E30</f>
        <v>14540</v>
      </c>
      <c r="E17" s="436">
        <f>SUM(C17:D17)</f>
        <v>635818</v>
      </c>
      <c r="F17" s="275">
        <f>'felh. bev.  '!J30</f>
        <v>621277</v>
      </c>
      <c r="G17" s="275">
        <f>'felh. bev.  '!K30</f>
        <v>14540</v>
      </c>
      <c r="H17" s="436">
        <f t="shared" si="3"/>
        <v>635817</v>
      </c>
      <c r="I17" s="287">
        <f t="shared" si="4"/>
        <v>99.999842722288463</v>
      </c>
      <c r="J17" s="461" t="s">
        <v>219</v>
      </c>
      <c r="K17" s="282"/>
      <c r="L17" s="282"/>
      <c r="M17" s="435"/>
      <c r="N17" s="553"/>
      <c r="O17" s="280"/>
      <c r="P17" s="437"/>
      <c r="Q17" s="437"/>
    </row>
    <row r="18" spans="1:18" x14ac:dyDescent="0.2">
      <c r="A18" s="159">
        <f t="shared" si="5"/>
        <v>9</v>
      </c>
      <c r="B18" s="162" t="s">
        <v>193</v>
      </c>
      <c r="C18" s="287">
        <f>'közhatalmi bevételek'!D31</f>
        <v>527224</v>
      </c>
      <c r="D18" s="287">
        <f>'közhatalmi bevételek'!E31</f>
        <v>876260</v>
      </c>
      <c r="E18" s="436">
        <f>'közhatalmi bevételek'!F31</f>
        <v>1403484</v>
      </c>
      <c r="F18" s="287">
        <f>'közhatalmi bevételek'!J31</f>
        <v>527303</v>
      </c>
      <c r="G18" s="287">
        <f>'közhatalmi bevételek'!K31</f>
        <v>876370</v>
      </c>
      <c r="H18" s="436">
        <f t="shared" si="3"/>
        <v>1403673</v>
      </c>
      <c r="I18" s="287">
        <f t="shared" si="4"/>
        <v>100.0134664876835</v>
      </c>
      <c r="J18" s="461" t="s">
        <v>220</v>
      </c>
      <c r="K18" s="282">
        <f>mc.pe.átad!E24</f>
        <v>9763</v>
      </c>
      <c r="L18" s="282">
        <f>mc.pe.átad!F24</f>
        <v>58149</v>
      </c>
      <c r="M18" s="282">
        <f>mc.pe.átad!G24</f>
        <v>67912</v>
      </c>
      <c r="N18" s="553">
        <f>mc.pe.átad!H24</f>
        <v>9762</v>
      </c>
      <c r="O18" s="282">
        <f>mc.pe.átad!I24</f>
        <v>47305</v>
      </c>
      <c r="P18" s="437">
        <f t="shared" si="1"/>
        <v>57067</v>
      </c>
      <c r="Q18" s="437">
        <f t="shared" si="2"/>
        <v>84.030804570620802</v>
      </c>
    </row>
    <row r="19" spans="1:18" x14ac:dyDescent="0.2">
      <c r="A19" s="159">
        <f t="shared" si="5"/>
        <v>10</v>
      </c>
      <c r="B19" s="165" t="s">
        <v>40</v>
      </c>
      <c r="C19" s="336"/>
      <c r="D19" s="336"/>
      <c r="E19" s="435"/>
      <c r="F19" s="336"/>
      <c r="G19" s="336"/>
      <c r="H19" s="436"/>
      <c r="I19" s="287"/>
      <c r="J19" s="461" t="s">
        <v>221</v>
      </c>
      <c r="K19" s="282">
        <f>mc.pe.átad!E68</f>
        <v>159080</v>
      </c>
      <c r="L19" s="282">
        <f>mc.pe.átad!F68</f>
        <v>175035</v>
      </c>
      <c r="M19" s="282">
        <f>mc.pe.átad!G68</f>
        <v>334115</v>
      </c>
      <c r="N19" s="553">
        <f>mc.pe.átad!H68</f>
        <v>159079</v>
      </c>
      <c r="O19" s="282">
        <f>mc.pe.átad!I68</f>
        <v>172124</v>
      </c>
      <c r="P19" s="437">
        <f t="shared" si="1"/>
        <v>331203</v>
      </c>
      <c r="Q19" s="437">
        <f t="shared" si="2"/>
        <v>99.128443799290665</v>
      </c>
    </row>
    <row r="20" spans="1:18" x14ac:dyDescent="0.2">
      <c r="A20" s="159">
        <f t="shared" si="5"/>
        <v>11</v>
      </c>
      <c r="B20" s="165"/>
      <c r="C20" s="336"/>
      <c r="D20" s="336"/>
      <c r="E20" s="435"/>
      <c r="F20" s="336"/>
      <c r="G20" s="336"/>
      <c r="H20" s="436"/>
      <c r="I20" s="287"/>
      <c r="J20" s="461" t="s">
        <v>268</v>
      </c>
      <c r="K20" s="282">
        <f>'műk. kiad. szakf Önkorm. '!X75</f>
        <v>0</v>
      </c>
      <c r="L20" s="282">
        <f>'műk. kiad. szakf Önkorm. '!Y75</f>
        <v>0</v>
      </c>
      <c r="M20" s="282">
        <f>K20+L20</f>
        <v>0</v>
      </c>
      <c r="N20" s="553"/>
      <c r="O20" s="280"/>
      <c r="P20" s="437">
        <f t="shared" si="1"/>
        <v>0</v>
      </c>
      <c r="Q20" s="437"/>
    </row>
    <row r="21" spans="1:18" x14ac:dyDescent="0.2">
      <c r="A21" s="159">
        <f>A20+1</f>
        <v>12</v>
      </c>
      <c r="B21" s="114" t="s">
        <v>194</v>
      </c>
      <c r="C21" s="336">
        <v>106519</v>
      </c>
      <c r="D21" s="336">
        <v>81500</v>
      </c>
      <c r="E21" s="435">
        <f>SUM(C21:D21)</f>
        <v>188019</v>
      </c>
      <c r="F21" s="336">
        <v>103705</v>
      </c>
      <c r="G21" s="336">
        <v>79346</v>
      </c>
      <c r="H21" s="436">
        <f t="shared" si="3"/>
        <v>183051</v>
      </c>
      <c r="I21" s="287">
        <f t="shared" si="4"/>
        <v>97.357713848068556</v>
      </c>
      <c r="J21" s="461" t="s">
        <v>223</v>
      </c>
      <c r="K21" s="282">
        <f>tartalék!C24</f>
        <v>0</v>
      </c>
      <c r="L21" s="282">
        <f>tartalék!D24</f>
        <v>2469</v>
      </c>
      <c r="M21" s="824">
        <f>SUM(K21:L21)</f>
        <v>2469</v>
      </c>
      <c r="N21" s="553"/>
      <c r="O21" s="280"/>
      <c r="P21" s="437">
        <f t="shared" si="1"/>
        <v>0</v>
      </c>
      <c r="Q21" s="437">
        <f t="shared" si="2"/>
        <v>0</v>
      </c>
    </row>
    <row r="22" spans="1:18" x14ac:dyDescent="0.2">
      <c r="A22" s="159">
        <f t="shared" si="5"/>
        <v>13</v>
      </c>
      <c r="C22" s="336"/>
      <c r="D22" s="336"/>
      <c r="E22" s="435"/>
      <c r="F22" s="336"/>
      <c r="G22" s="336"/>
      <c r="H22" s="436"/>
      <c r="I22" s="287"/>
      <c r="J22" s="461" t="s">
        <v>269</v>
      </c>
      <c r="K22" s="282">
        <f>tartalék!C32</f>
        <v>130068</v>
      </c>
      <c r="L22" s="282">
        <f>tartalék!D32</f>
        <v>1789</v>
      </c>
      <c r="M22" s="282">
        <f>tartalék!E32</f>
        <v>131857</v>
      </c>
      <c r="N22" s="553"/>
      <c r="O22" s="280"/>
      <c r="P22" s="437">
        <f t="shared" si="1"/>
        <v>0</v>
      </c>
      <c r="Q22" s="437">
        <f t="shared" si="2"/>
        <v>0</v>
      </c>
    </row>
    <row r="23" spans="1:18" s="122" customFormat="1" x14ac:dyDescent="0.2">
      <c r="A23" s="159">
        <f t="shared" si="5"/>
        <v>14</v>
      </c>
      <c r="B23" s="152" t="s">
        <v>42</v>
      </c>
      <c r="C23" s="336"/>
      <c r="D23" s="336"/>
      <c r="E23" s="435"/>
      <c r="F23" s="336"/>
      <c r="G23" s="336"/>
      <c r="H23" s="436"/>
      <c r="I23" s="287"/>
      <c r="J23" s="553"/>
      <c r="K23" s="282"/>
      <c r="L23" s="282"/>
      <c r="M23" s="437"/>
      <c r="N23" s="1266"/>
      <c r="O23" s="1267"/>
      <c r="P23" s="439"/>
      <c r="Q23" s="437"/>
    </row>
    <row r="24" spans="1:18" s="122" customFormat="1" x14ac:dyDescent="0.2">
      <c r="A24" s="159">
        <f t="shared" si="5"/>
        <v>15</v>
      </c>
      <c r="B24" s="152" t="s">
        <v>195</v>
      </c>
      <c r="C24" s="336"/>
      <c r="D24" s="336"/>
      <c r="E24" s="435"/>
      <c r="F24" s="336"/>
      <c r="G24" s="336"/>
      <c r="H24" s="436">
        <f t="shared" si="3"/>
        <v>0</v>
      </c>
      <c r="I24" s="287"/>
      <c r="J24" s="553"/>
      <c r="K24" s="282"/>
      <c r="L24" s="282"/>
      <c r="M24" s="437"/>
      <c r="N24" s="1266"/>
      <c r="O24" s="1267"/>
      <c r="P24" s="439"/>
      <c r="Q24" s="437"/>
    </row>
    <row r="25" spans="1:18" x14ac:dyDescent="0.2">
      <c r="A25" s="159">
        <f t="shared" si="5"/>
        <v>16</v>
      </c>
      <c r="B25" s="175" t="s">
        <v>198</v>
      </c>
      <c r="C25" s="275">
        <f>'felh. bev.  '!D13</f>
        <v>19447</v>
      </c>
      <c r="D25" s="275">
        <f>'felh. bev.  '!E13</f>
        <v>40800</v>
      </c>
      <c r="E25" s="435">
        <f>SUM(C25:D25)</f>
        <v>60247</v>
      </c>
      <c r="F25" s="336">
        <f>'felh. bev.  '!J13</f>
        <v>19447</v>
      </c>
      <c r="G25" s="336">
        <f>'felh. bev.  '!K13</f>
        <v>40800</v>
      </c>
      <c r="H25" s="436">
        <f t="shared" si="3"/>
        <v>60247</v>
      </c>
      <c r="I25" s="287">
        <f t="shared" si="4"/>
        <v>100</v>
      </c>
      <c r="J25" s="794" t="s">
        <v>66</v>
      </c>
      <c r="K25" s="337">
        <f t="shared" ref="K25:P25" si="6">SUM(K11:K23)</f>
        <v>734916</v>
      </c>
      <c r="L25" s="337">
        <f t="shared" si="6"/>
        <v>590313</v>
      </c>
      <c r="M25" s="438">
        <f t="shared" si="6"/>
        <v>1325229</v>
      </c>
      <c r="N25" s="337">
        <f t="shared" si="6"/>
        <v>525034</v>
      </c>
      <c r="O25" s="337">
        <f t="shared" si="6"/>
        <v>489933</v>
      </c>
      <c r="P25" s="438">
        <f t="shared" si="6"/>
        <v>1014967</v>
      </c>
      <c r="Q25" s="437">
        <f t="shared" si="2"/>
        <v>76.588046292376646</v>
      </c>
      <c r="R25" s="185"/>
    </row>
    <row r="26" spans="1:18" x14ac:dyDescent="0.2">
      <c r="A26" s="159">
        <f t="shared" si="5"/>
        <v>17</v>
      </c>
      <c r="B26" s="175" t="s">
        <v>199</v>
      </c>
      <c r="C26" s="336">
        <f>'felh. bev.  '!D14+'felh. bev.  '!D15</f>
        <v>0</v>
      </c>
      <c r="D26" s="336">
        <f>'felh. bev.  '!E14+'felh. bev.  '!E15</f>
        <v>24</v>
      </c>
      <c r="E26" s="435">
        <f>SUM(C26:D26)</f>
        <v>24</v>
      </c>
      <c r="F26" s="336">
        <f>'felh. bev.  '!J14+'felh. bev.  '!J15</f>
        <v>0</v>
      </c>
      <c r="G26" s="336">
        <f>'felh. bev.  '!K14+'felh. bev.  '!K15</f>
        <v>23</v>
      </c>
      <c r="H26" s="436">
        <f t="shared" si="3"/>
        <v>23</v>
      </c>
      <c r="I26" s="287">
        <f t="shared" si="4"/>
        <v>95.833333333333343</v>
      </c>
      <c r="J26" s="553"/>
      <c r="K26" s="282"/>
      <c r="L26" s="282"/>
      <c r="M26" s="437"/>
      <c r="N26" s="553"/>
      <c r="O26" s="280"/>
      <c r="P26" s="437"/>
      <c r="Q26" s="437"/>
    </row>
    <row r="27" spans="1:18" x14ac:dyDescent="0.2">
      <c r="A27" s="159">
        <f t="shared" si="5"/>
        <v>18</v>
      </c>
      <c r="B27" s="152" t="s">
        <v>200</v>
      </c>
      <c r="C27" s="275">
        <f>'felh. bev.  '!D22</f>
        <v>0</v>
      </c>
      <c r="D27" s="275">
        <f>'felh. bev.  '!E22</f>
        <v>180</v>
      </c>
      <c r="E27" s="436">
        <f>'felh. bev.  '!F22</f>
        <v>180</v>
      </c>
      <c r="F27" s="275">
        <f>'felh. bev.  '!J22</f>
        <v>0</v>
      </c>
      <c r="G27" s="275">
        <f>'felh. bev.  '!K22</f>
        <v>180</v>
      </c>
      <c r="H27" s="436">
        <f t="shared" si="3"/>
        <v>180</v>
      </c>
      <c r="I27" s="287">
        <f t="shared" si="4"/>
        <v>100</v>
      </c>
      <c r="J27" s="795" t="s">
        <v>34</v>
      </c>
      <c r="K27" s="339"/>
      <c r="L27" s="339"/>
      <c r="M27" s="437"/>
      <c r="N27" s="553"/>
      <c r="O27" s="280"/>
      <c r="P27" s="437"/>
      <c r="Q27" s="437"/>
    </row>
    <row r="28" spans="1:18" x14ac:dyDescent="0.2">
      <c r="A28" s="159">
        <f t="shared" si="0"/>
        <v>19</v>
      </c>
      <c r="B28" s="162" t="s">
        <v>201</v>
      </c>
      <c r="C28" s="275"/>
      <c r="D28" s="275"/>
      <c r="E28" s="436"/>
      <c r="F28" s="275"/>
      <c r="G28" s="275"/>
      <c r="H28" s="436">
        <f t="shared" si="3"/>
        <v>0</v>
      </c>
      <c r="I28" s="287"/>
      <c r="J28" s="461" t="s">
        <v>270</v>
      </c>
      <c r="K28" s="282">
        <f>'felhalm. kiad.  '!H19+'felhalm. kiad.  '!H59+'felhalm. kiad.  '!H68+'felhalm. kiad.  '!H73+'felhalm. kiad.  '!H80</f>
        <v>1684813</v>
      </c>
      <c r="L28" s="282">
        <f>'felhalm. kiad.  '!I19+'felhalm. kiad.  '!I59+'felhalm. kiad.  '!I68+'felhalm. kiad.  '!I73+'felhalm. kiad.  '!I80+'felhalm. kiad.  '!I142</f>
        <v>159285</v>
      </c>
      <c r="M28" s="437">
        <f t="shared" ref="M28:M33" si="7">SUM(K28:L28)</f>
        <v>1844098</v>
      </c>
      <c r="N28" s="553">
        <f>'felhalm. kiad.  '!K19+'felhalm. kiad.  '!K59+'felhalm. kiad.  '!K68+'felhalm. kiad.  '!K80</f>
        <v>791770</v>
      </c>
      <c r="O28" s="282">
        <f>'felhalm. kiad.  '!L19+'felhalm. kiad.  '!L59+'felhalm. kiad.  '!L68+'felhalm. kiad.  '!L80</f>
        <v>86795</v>
      </c>
      <c r="P28" s="437">
        <f>N28+O28</f>
        <v>878565</v>
      </c>
      <c r="Q28" s="437">
        <f t="shared" si="2"/>
        <v>47.641990826951712</v>
      </c>
    </row>
    <row r="29" spans="1:18" x14ac:dyDescent="0.2">
      <c r="A29" s="159">
        <f t="shared" si="0"/>
        <v>20</v>
      </c>
      <c r="B29" s="162"/>
      <c r="C29" s="275"/>
      <c r="D29" s="275"/>
      <c r="E29" s="436"/>
      <c r="F29" s="275"/>
      <c r="G29" s="275"/>
      <c r="H29" s="436"/>
      <c r="I29" s="287"/>
      <c r="J29" s="461" t="s">
        <v>227</v>
      </c>
      <c r="K29" s="282">
        <f>'felhalm. kiad.  '!H27</f>
        <v>49715</v>
      </c>
      <c r="L29" s="282">
        <f>'felhalm. kiad.  '!I27</f>
        <v>0</v>
      </c>
      <c r="M29" s="437">
        <f t="shared" si="7"/>
        <v>49715</v>
      </c>
      <c r="N29" s="553">
        <f>'felhalm. kiad.  '!K27</f>
        <v>36705</v>
      </c>
      <c r="O29" s="282">
        <f>'felhalm. kiad.  '!L27</f>
        <v>0</v>
      </c>
      <c r="P29" s="437">
        <f>N29+O29</f>
        <v>36705</v>
      </c>
      <c r="Q29" s="437">
        <f t="shared" si="2"/>
        <v>73.830835763853969</v>
      </c>
    </row>
    <row r="30" spans="1:18" x14ac:dyDescent="0.2">
      <c r="A30" s="159">
        <f t="shared" si="0"/>
        <v>21</v>
      </c>
      <c r="B30" s="152" t="s">
        <v>202</v>
      </c>
      <c r="C30" s="275">
        <f>'tám, végl. pe.átv  '!C43</f>
        <v>0</v>
      </c>
      <c r="D30" s="275">
        <f>'tám, végl. pe.átv  '!D43</f>
        <v>19610</v>
      </c>
      <c r="E30" s="436">
        <f>'tám, végl. pe.átv  '!E43</f>
        <v>19610</v>
      </c>
      <c r="F30" s="275">
        <f>'tám, végl. pe.átv  '!F43</f>
        <v>0</v>
      </c>
      <c r="G30" s="275">
        <f>'tám, végl. pe.átv  '!G43</f>
        <v>19610</v>
      </c>
      <c r="H30" s="436">
        <f t="shared" si="3"/>
        <v>19610</v>
      </c>
      <c r="I30" s="287">
        <f t="shared" si="4"/>
        <v>100</v>
      </c>
      <c r="J30" s="461" t="s">
        <v>228</v>
      </c>
      <c r="K30" s="282"/>
      <c r="L30" s="282"/>
      <c r="M30" s="437"/>
      <c r="N30" s="553"/>
      <c r="O30" s="280"/>
      <c r="P30" s="437">
        <f>N30+O30</f>
        <v>0</v>
      </c>
      <c r="Q30" s="437"/>
    </row>
    <row r="31" spans="1:18" s="122" customFormat="1" x14ac:dyDescent="0.2">
      <c r="A31" s="159">
        <f t="shared" si="0"/>
        <v>22</v>
      </c>
      <c r="B31" s="152" t="s">
        <v>267</v>
      </c>
      <c r="C31" s="275">
        <f>'felh. bev.  '!D35+'felh. bev.  '!D39</f>
        <v>9900</v>
      </c>
      <c r="D31" s="275">
        <f>'felh. bev.  '!E35+'felh. bev.  '!E39</f>
        <v>4232</v>
      </c>
      <c r="E31" s="436">
        <f>'felh. bev.  '!F35+'felh. bev.  '!F39</f>
        <v>14132</v>
      </c>
      <c r="F31" s="275">
        <f>'felh. bev.  '!J35+'felh. bev.  '!J39</f>
        <v>9900</v>
      </c>
      <c r="G31" s="275">
        <f>'felh. bev.  '!K35+'felh. bev.  '!K39</f>
        <v>4232</v>
      </c>
      <c r="H31" s="436">
        <f t="shared" si="3"/>
        <v>14132</v>
      </c>
      <c r="I31" s="287">
        <f t="shared" si="4"/>
        <v>100</v>
      </c>
      <c r="J31" s="461" t="s">
        <v>229</v>
      </c>
      <c r="K31" s="282">
        <f>'felhalm. kiad.  '!H86</f>
        <v>12004</v>
      </c>
      <c r="L31" s="282">
        <f>'felhalm. kiad.  '!I86</f>
        <v>78232</v>
      </c>
      <c r="M31" s="437">
        <f t="shared" si="7"/>
        <v>90236</v>
      </c>
      <c r="N31" s="553">
        <f>'felhalm. kiad.  '!K86</f>
        <v>0</v>
      </c>
      <c r="O31" s="282">
        <f>'felhalm. kiad.  '!L86</f>
        <v>78232</v>
      </c>
      <c r="P31" s="437">
        <f t="shared" ref="P31:P34" si="8">N31+O31</f>
        <v>78232</v>
      </c>
      <c r="Q31" s="437">
        <f t="shared" si="2"/>
        <v>86.697105368145756</v>
      </c>
    </row>
    <row r="32" spans="1:18" s="122" customFormat="1" x14ac:dyDescent="0.2">
      <c r="A32" s="159">
        <f t="shared" si="0"/>
        <v>23</v>
      </c>
      <c r="B32" s="152"/>
      <c r="C32" s="275"/>
      <c r="D32" s="275"/>
      <c r="E32" s="436"/>
      <c r="F32" s="275"/>
      <c r="G32" s="275"/>
      <c r="H32" s="436"/>
      <c r="I32" s="287"/>
      <c r="J32" s="461" t="s">
        <v>1097</v>
      </c>
      <c r="K32" s="282">
        <f>'felhalm. kiad.  '!H101</f>
        <v>0</v>
      </c>
      <c r="L32" s="282">
        <f>'felhalm. kiad.  '!I101</f>
        <v>5000</v>
      </c>
      <c r="M32" s="437">
        <f t="shared" si="7"/>
        <v>5000</v>
      </c>
      <c r="N32" s="553">
        <f>'felhalm. kiad.  '!K101</f>
        <v>0</v>
      </c>
      <c r="O32" s="282">
        <f>'felhalm. kiad.  '!L101</f>
        <v>4600</v>
      </c>
      <c r="P32" s="437">
        <f t="shared" si="8"/>
        <v>4600</v>
      </c>
      <c r="Q32" s="437">
        <f t="shared" si="2"/>
        <v>92</v>
      </c>
    </row>
    <row r="33" spans="1:17" x14ac:dyDescent="0.2">
      <c r="A33" s="159">
        <f t="shared" si="0"/>
        <v>24</v>
      </c>
      <c r="C33" s="275"/>
      <c r="D33" s="275"/>
      <c r="E33" s="436"/>
      <c r="F33" s="275"/>
      <c r="G33" s="275"/>
      <c r="H33" s="436"/>
      <c r="I33" s="287"/>
      <c r="J33" s="461" t="s">
        <v>1095</v>
      </c>
      <c r="K33" s="282">
        <f>'felhalm. kiad.  '!H96</f>
        <v>53844</v>
      </c>
      <c r="L33" s="282">
        <f>'felhalm. kiad.  '!I96</f>
        <v>13880</v>
      </c>
      <c r="M33" s="437">
        <f t="shared" si="7"/>
        <v>67724</v>
      </c>
      <c r="N33" s="553">
        <f>'felhalm. kiad.  '!K96</f>
        <v>53843</v>
      </c>
      <c r="O33" s="282">
        <f>'felhalm. kiad.  '!L96</f>
        <v>13880</v>
      </c>
      <c r="P33" s="437">
        <f t="shared" si="8"/>
        <v>67723</v>
      </c>
      <c r="Q33" s="437">
        <f t="shared" si="2"/>
        <v>99.9985234185813</v>
      </c>
    </row>
    <row r="34" spans="1:17" s="11" customFormat="1" x14ac:dyDescent="0.2">
      <c r="A34" s="159">
        <f t="shared" si="0"/>
        <v>25</v>
      </c>
      <c r="B34" s="169" t="s">
        <v>52</v>
      </c>
      <c r="C34" s="825">
        <f>C13+C21+C12+C18+C14+C30</f>
        <v>1502567</v>
      </c>
      <c r="D34" s="825">
        <f>D13+D21+D12+D18+D14+D30</f>
        <v>1109620</v>
      </c>
      <c r="E34" s="1191">
        <f>E13+E21+E12+E18+E14+E30</f>
        <v>2612187</v>
      </c>
      <c r="F34" s="825">
        <f>F13+F21+F12+F18+F14+F30</f>
        <v>1498551</v>
      </c>
      <c r="G34" s="825">
        <f t="shared" ref="G34:H34" si="9">G13+G21+G12+G18+G14+G30</f>
        <v>1107576</v>
      </c>
      <c r="H34" s="1191">
        <f t="shared" si="9"/>
        <v>2606127</v>
      </c>
      <c r="I34" s="287">
        <f t="shared" si="4"/>
        <v>99.768010483169846</v>
      </c>
      <c r="J34" s="461" t="s">
        <v>1096</v>
      </c>
      <c r="K34" s="280">
        <f>tartalék!C18</f>
        <v>22391</v>
      </c>
      <c r="L34" s="280">
        <f>tartalék!D18</f>
        <v>733</v>
      </c>
      <c r="M34" s="280">
        <f>tartalék!E18</f>
        <v>23124</v>
      </c>
      <c r="N34" s="553"/>
      <c r="O34" s="280"/>
      <c r="P34" s="437">
        <f t="shared" si="8"/>
        <v>0</v>
      </c>
      <c r="Q34" s="437">
        <f t="shared" si="2"/>
        <v>0</v>
      </c>
    </row>
    <row r="35" spans="1:17" x14ac:dyDescent="0.2">
      <c r="A35" s="159">
        <f t="shared" si="0"/>
        <v>26</v>
      </c>
      <c r="B35" s="170" t="s">
        <v>67</v>
      </c>
      <c r="C35" s="337">
        <f>C16+C17+C25+C26+C27+C28+C31</f>
        <v>650625</v>
      </c>
      <c r="D35" s="337">
        <f t="shared" ref="D35:E35" si="10">D16+D17+D25+D26+D27+D28+D31</f>
        <v>59776</v>
      </c>
      <c r="E35" s="438">
        <f t="shared" si="10"/>
        <v>710401</v>
      </c>
      <c r="F35" s="337">
        <f>F16+F17+F25+F26+F27+F28+F31</f>
        <v>650624</v>
      </c>
      <c r="G35" s="337">
        <f t="shared" ref="G35:H35" si="11">G16+G17+G25+G26+G27+G28+G31</f>
        <v>59775</v>
      </c>
      <c r="H35" s="438">
        <f t="shared" si="11"/>
        <v>710399</v>
      </c>
      <c r="I35" s="287">
        <f t="shared" si="4"/>
        <v>99.999718468864771</v>
      </c>
      <c r="J35" s="771" t="s">
        <v>68</v>
      </c>
      <c r="K35" s="337">
        <f>SUM(K28:K34)</f>
        <v>1822767</v>
      </c>
      <c r="L35" s="337">
        <f>SUM(L28:L34)</f>
        <v>257130</v>
      </c>
      <c r="M35" s="438">
        <f>SUM(M28:M34)</f>
        <v>2079897</v>
      </c>
      <c r="N35" s="337">
        <f>SUM(N28:N34)</f>
        <v>882318</v>
      </c>
      <c r="O35" s="337">
        <f t="shared" ref="O35:P35" si="12">SUM(O28:O34)</f>
        <v>183507</v>
      </c>
      <c r="P35" s="438">
        <f t="shared" si="12"/>
        <v>1065825</v>
      </c>
      <c r="Q35" s="438">
        <f t="shared" si="2"/>
        <v>51.24412410806881</v>
      </c>
    </row>
    <row r="36" spans="1:17" x14ac:dyDescent="0.2">
      <c r="A36" s="159">
        <f t="shared" si="0"/>
        <v>27</v>
      </c>
      <c r="B36" s="173" t="s">
        <v>51</v>
      </c>
      <c r="C36" s="339">
        <f>SUM(C34:C35)</f>
        <v>2153192</v>
      </c>
      <c r="D36" s="339">
        <f>SUM(D34:D35)</f>
        <v>1169396</v>
      </c>
      <c r="E36" s="420">
        <f>SUM(C36:D36)</f>
        <v>3322588</v>
      </c>
      <c r="F36" s="339">
        <f>SUM(F34:F35)</f>
        <v>2149175</v>
      </c>
      <c r="G36" s="339">
        <f t="shared" ref="G36:H36" si="13">SUM(G34:G35)</f>
        <v>1167351</v>
      </c>
      <c r="H36" s="420">
        <f t="shared" si="13"/>
        <v>3316526</v>
      </c>
      <c r="I36" s="287">
        <f t="shared" si="4"/>
        <v>99.817551860176465</v>
      </c>
      <c r="J36" s="796" t="s">
        <v>69</v>
      </c>
      <c r="K36" s="339">
        <f t="shared" ref="K36:P36" si="14">K25+K35</f>
        <v>2557683</v>
      </c>
      <c r="L36" s="339">
        <f t="shared" si="14"/>
        <v>847443</v>
      </c>
      <c r="M36" s="420">
        <f t="shared" si="14"/>
        <v>3405126</v>
      </c>
      <c r="N36" s="339">
        <f t="shared" si="14"/>
        <v>1407352</v>
      </c>
      <c r="O36" s="339">
        <f t="shared" si="14"/>
        <v>673440</v>
      </c>
      <c r="P36" s="420">
        <f t="shared" si="14"/>
        <v>2080792</v>
      </c>
      <c r="Q36" s="437">
        <f t="shared" si="2"/>
        <v>61.107635958258221</v>
      </c>
    </row>
    <row r="37" spans="1:17" x14ac:dyDescent="0.2">
      <c r="A37" s="159">
        <f t="shared" si="0"/>
        <v>28</v>
      </c>
      <c r="B37" s="175"/>
      <c r="C37" s="282"/>
      <c r="D37" s="282"/>
      <c r="E37" s="437"/>
      <c r="F37" s="282"/>
      <c r="G37" s="282"/>
      <c r="H37" s="437"/>
      <c r="I37" s="287"/>
      <c r="J37" s="553"/>
      <c r="K37" s="282"/>
      <c r="L37" s="282"/>
      <c r="M37" s="437"/>
      <c r="N37" s="553"/>
      <c r="O37" s="280"/>
      <c r="P37" s="437"/>
      <c r="Q37" s="437"/>
    </row>
    <row r="38" spans="1:17" x14ac:dyDescent="0.2">
      <c r="A38" s="159">
        <f t="shared" si="0"/>
        <v>29</v>
      </c>
      <c r="B38" s="173" t="s">
        <v>23</v>
      </c>
      <c r="C38" s="339">
        <f>C36-K36</f>
        <v>-404491</v>
      </c>
      <c r="D38" s="339">
        <f>D36-L36</f>
        <v>321953</v>
      </c>
      <c r="E38" s="420">
        <f t="shared" ref="E38" si="15">E36-M36</f>
        <v>-82538</v>
      </c>
      <c r="F38" s="339">
        <f>F36-N36</f>
        <v>741823</v>
      </c>
      <c r="G38" s="339">
        <f t="shared" ref="G38:H38" si="16">G36-O36</f>
        <v>493911</v>
      </c>
      <c r="H38" s="420">
        <f t="shared" si="16"/>
        <v>1235734</v>
      </c>
      <c r="I38" s="287">
        <f t="shared" si="4"/>
        <v>-1497.1697884610726</v>
      </c>
      <c r="J38" s="794"/>
      <c r="K38" s="337"/>
      <c r="L38" s="337"/>
      <c r="M38" s="438"/>
      <c r="N38" s="553"/>
      <c r="O38" s="280"/>
      <c r="P38" s="437"/>
      <c r="Q38" s="437"/>
    </row>
    <row r="39" spans="1:17" s="11" customFormat="1" x14ac:dyDescent="0.2">
      <c r="A39" s="159">
        <f t="shared" si="0"/>
        <v>30</v>
      </c>
      <c r="B39" s="175"/>
      <c r="C39" s="282"/>
      <c r="D39" s="282"/>
      <c r="E39" s="437"/>
      <c r="F39" s="282"/>
      <c r="G39" s="282"/>
      <c r="H39" s="437"/>
      <c r="I39" s="287"/>
      <c r="J39" s="553"/>
      <c r="K39" s="282"/>
      <c r="L39" s="282"/>
      <c r="M39" s="437"/>
      <c r="N39" s="796"/>
      <c r="O39" s="184"/>
      <c r="P39" s="420"/>
      <c r="Q39" s="437"/>
    </row>
    <row r="40" spans="1:17" s="11" customFormat="1" x14ac:dyDescent="0.2">
      <c r="A40" s="159">
        <f t="shared" si="0"/>
        <v>31</v>
      </c>
      <c r="B40" s="124" t="s">
        <v>53</v>
      </c>
      <c r="C40" s="577"/>
      <c r="D40" s="577"/>
      <c r="E40" s="483"/>
      <c r="F40" s="577"/>
      <c r="G40" s="577"/>
      <c r="H40" s="483"/>
      <c r="I40" s="287"/>
      <c r="J40" s="795" t="s">
        <v>33</v>
      </c>
      <c r="K40" s="339"/>
      <c r="L40" s="339"/>
      <c r="M40" s="420"/>
      <c r="N40" s="796"/>
      <c r="O40" s="184"/>
      <c r="P40" s="420"/>
      <c r="Q40" s="437"/>
    </row>
    <row r="41" spans="1:17" s="11" customFormat="1" x14ac:dyDescent="0.2">
      <c r="A41" s="159">
        <f t="shared" si="0"/>
        <v>32</v>
      </c>
      <c r="B41" s="133" t="s">
        <v>680</v>
      </c>
      <c r="C41" s="577"/>
      <c r="D41" s="577"/>
      <c r="E41" s="483"/>
      <c r="F41" s="577"/>
      <c r="G41" s="577"/>
      <c r="H41" s="483"/>
      <c r="I41" s="287"/>
      <c r="J41" s="797" t="s">
        <v>4</v>
      </c>
      <c r="K41" s="184"/>
      <c r="M41" s="440"/>
      <c r="N41" s="796"/>
      <c r="O41" s="339"/>
      <c r="P41" s="420"/>
      <c r="Q41" s="437"/>
    </row>
    <row r="42" spans="1:17" s="11" customFormat="1" ht="22.5" customHeight="1" x14ac:dyDescent="0.2">
      <c r="A42" s="315">
        <f t="shared" si="0"/>
        <v>33</v>
      </c>
      <c r="B42" s="1019" t="s">
        <v>971</v>
      </c>
      <c r="C42" s="748">
        <v>588859</v>
      </c>
      <c r="D42" s="1020"/>
      <c r="E42" s="1351">
        <f>SUM(C42:D42)</f>
        <v>588859</v>
      </c>
      <c r="F42" s="1021">
        <v>588859</v>
      </c>
      <c r="G42" s="1021" t="s">
        <v>1377</v>
      </c>
      <c r="H42" s="1351">
        <f>SUM(F42:G42)</f>
        <v>588859</v>
      </c>
      <c r="I42" s="287">
        <f t="shared" si="4"/>
        <v>100</v>
      </c>
      <c r="J42" s="826" t="s">
        <v>3</v>
      </c>
      <c r="K42" s="339"/>
      <c r="L42" s="339"/>
      <c r="M42" s="420"/>
      <c r="N42" s="796"/>
      <c r="O42" s="184"/>
      <c r="P42" s="420"/>
      <c r="Q42" s="437"/>
    </row>
    <row r="43" spans="1:17" x14ac:dyDescent="0.2">
      <c r="A43" s="159">
        <f t="shared" si="0"/>
        <v>34</v>
      </c>
      <c r="B43" s="116" t="s">
        <v>682</v>
      </c>
      <c r="C43" s="798"/>
      <c r="D43" s="799"/>
      <c r="E43" s="1198">
        <f>SUM(C43:D43)</f>
        <v>0</v>
      </c>
      <c r="F43" s="799"/>
      <c r="G43" s="799"/>
      <c r="H43" s="1351">
        <f t="shared" ref="H43:H52" si="17">F43+G43</f>
        <v>0</v>
      </c>
      <c r="I43" s="287"/>
      <c r="J43" s="461" t="s">
        <v>5</v>
      </c>
      <c r="K43" s="339"/>
      <c r="L43" s="339"/>
      <c r="M43" s="420"/>
      <c r="N43" s="553"/>
      <c r="O43" s="280"/>
      <c r="P43" s="437"/>
      <c r="Q43" s="437"/>
    </row>
    <row r="44" spans="1:17" x14ac:dyDescent="0.2">
      <c r="A44" s="159">
        <f t="shared" si="0"/>
        <v>35</v>
      </c>
      <c r="B44" s="116" t="s">
        <v>207</v>
      </c>
      <c r="C44" s="275"/>
      <c r="D44" s="275"/>
      <c r="E44" s="436"/>
      <c r="F44" s="275"/>
      <c r="G44" s="275"/>
      <c r="H44" s="1351">
        <f>F44+G44</f>
        <v>0</v>
      </c>
      <c r="I44" s="287"/>
      <c r="J44" s="461" t="s">
        <v>6</v>
      </c>
      <c r="K44" s="184"/>
      <c r="L44" s="184"/>
      <c r="M44" s="420"/>
      <c r="N44" s="553"/>
      <c r="O44" s="280"/>
      <c r="P44" s="437"/>
      <c r="Q44" s="437"/>
    </row>
    <row r="45" spans="1:17" x14ac:dyDescent="0.2">
      <c r="A45" s="159">
        <f t="shared" si="0"/>
        <v>36</v>
      </c>
      <c r="B45" s="494" t="s">
        <v>208</v>
      </c>
      <c r="C45" s="275">
        <v>610610</v>
      </c>
      <c r="D45" s="275">
        <v>248353</v>
      </c>
      <c r="E45" s="436">
        <f>C45+D45</f>
        <v>858963</v>
      </c>
      <c r="F45" s="275">
        <v>610610</v>
      </c>
      <c r="G45" s="275">
        <v>248353</v>
      </c>
      <c r="H45" s="1351">
        <f t="shared" si="17"/>
        <v>858963</v>
      </c>
      <c r="I45" s="287">
        <f t="shared" si="4"/>
        <v>100</v>
      </c>
      <c r="J45" s="461" t="s">
        <v>7</v>
      </c>
      <c r="K45" s="184"/>
      <c r="L45" s="184"/>
      <c r="M45" s="420"/>
      <c r="N45" s="553"/>
      <c r="O45" s="280"/>
      <c r="P45" s="437"/>
      <c r="Q45" s="437"/>
    </row>
    <row r="46" spans="1:17" x14ac:dyDescent="0.2">
      <c r="A46" s="159">
        <f t="shared" si="0"/>
        <v>37</v>
      </c>
      <c r="B46" s="494" t="s">
        <v>935</v>
      </c>
      <c r="C46" s="275"/>
      <c r="D46" s="275"/>
      <c r="E46" s="436"/>
      <c r="F46" s="275"/>
      <c r="G46" s="275"/>
      <c r="H46" s="1351">
        <f t="shared" si="17"/>
        <v>0</v>
      </c>
      <c r="I46" s="287"/>
      <c r="J46" s="461"/>
      <c r="K46" s="184"/>
      <c r="L46" s="184"/>
      <c r="M46" s="420"/>
      <c r="N46" s="553"/>
      <c r="O46" s="280"/>
      <c r="P46" s="437"/>
      <c r="Q46" s="437"/>
    </row>
    <row r="47" spans="1:17" x14ac:dyDescent="0.2">
      <c r="A47" s="159">
        <f t="shared" si="0"/>
        <v>38</v>
      </c>
      <c r="B47" s="117" t="s">
        <v>209</v>
      </c>
      <c r="C47" s="275">
        <v>33212</v>
      </c>
      <c r="D47" s="275">
        <v>4730</v>
      </c>
      <c r="E47" s="436">
        <f>C47+D47</f>
        <v>37942</v>
      </c>
      <c r="F47" s="275">
        <v>33212</v>
      </c>
      <c r="G47" s="275">
        <v>4730</v>
      </c>
      <c r="H47" s="1351">
        <f t="shared" si="17"/>
        <v>37942</v>
      </c>
      <c r="I47" s="287">
        <f t="shared" si="4"/>
        <v>100</v>
      </c>
      <c r="J47" s="461" t="s">
        <v>8</v>
      </c>
      <c r="K47" s="339"/>
      <c r="L47" s="339"/>
      <c r="M47" s="437"/>
      <c r="N47" s="553"/>
      <c r="O47" s="280"/>
      <c r="P47" s="437"/>
      <c r="Q47" s="437"/>
    </row>
    <row r="48" spans="1:17" x14ac:dyDescent="0.2">
      <c r="A48" s="159">
        <f t="shared" si="0"/>
        <v>39</v>
      </c>
      <c r="B48" s="117" t="s">
        <v>684</v>
      </c>
      <c r="C48" s="577"/>
      <c r="D48" s="577"/>
      <c r="E48" s="483"/>
      <c r="F48" s="577"/>
      <c r="G48" s="577"/>
      <c r="H48" s="1351">
        <f t="shared" si="17"/>
        <v>0</v>
      </c>
      <c r="I48" s="287"/>
      <c r="J48" s="461" t="s">
        <v>271</v>
      </c>
      <c r="K48" s="282">
        <v>32439</v>
      </c>
      <c r="L48" s="282">
        <v>4260</v>
      </c>
      <c r="M48" s="437">
        <f>SUM(K48:L48)</f>
        <v>36699</v>
      </c>
      <c r="N48" s="553">
        <v>32439</v>
      </c>
      <c r="O48" s="280">
        <v>4260</v>
      </c>
      <c r="P48" s="437">
        <f>N48+O48</f>
        <v>36699</v>
      </c>
      <c r="Q48" s="437">
        <f t="shared" si="2"/>
        <v>100</v>
      </c>
    </row>
    <row r="49" spans="1:20" x14ac:dyDescent="0.2">
      <c r="A49" s="159">
        <f t="shared" si="0"/>
        <v>40</v>
      </c>
      <c r="B49" s="116" t="s">
        <v>685</v>
      </c>
      <c r="C49" s="275"/>
      <c r="D49" s="275"/>
      <c r="E49" s="436"/>
      <c r="F49" s="275"/>
      <c r="G49" s="275"/>
      <c r="H49" s="1351">
        <f t="shared" si="17"/>
        <v>0</v>
      </c>
      <c r="I49" s="287"/>
      <c r="J49" s="461" t="s">
        <v>237</v>
      </c>
      <c r="K49" s="282"/>
      <c r="L49" s="282"/>
      <c r="M49" s="437"/>
      <c r="N49" s="553"/>
      <c r="O49" s="280"/>
      <c r="P49" s="437">
        <f t="shared" ref="P49:P51" si="18">N49+O49</f>
        <v>0</v>
      </c>
      <c r="Q49" s="437"/>
    </row>
    <row r="50" spans="1:20" ht="10.15" customHeight="1" x14ac:dyDescent="0.2">
      <c r="A50" s="159">
        <f t="shared" si="0"/>
        <v>41</v>
      </c>
      <c r="B50" s="116" t="s">
        <v>686</v>
      </c>
      <c r="C50" s="275"/>
      <c r="D50" s="275"/>
      <c r="E50" s="436"/>
      <c r="F50" s="275"/>
      <c r="G50" s="275"/>
      <c r="H50" s="1351">
        <f t="shared" si="17"/>
        <v>0</v>
      </c>
      <c r="I50" s="287"/>
      <c r="J50" s="792" t="s">
        <v>238</v>
      </c>
      <c r="K50" s="282">
        <f>'pü.mérleg Hivatal'!D50+'püm. GAMESZ. '!C49+'püm-TASZII.'!C49+püm.Brunszvik!C49+'püm Festetics'!C49</f>
        <v>749595</v>
      </c>
      <c r="L50" s="282">
        <f>'pü.mérleg Hivatal'!E50+'püm. GAMESZ. '!D49+'püm-TASZII.'!D49+püm.Brunszvik!D49+'püm Festetics'!D49</f>
        <v>560126</v>
      </c>
      <c r="M50" s="437">
        <f>SUM(K50:L50)</f>
        <v>1309721</v>
      </c>
      <c r="N50" s="553">
        <v>752695</v>
      </c>
      <c r="O50" s="280">
        <v>561640</v>
      </c>
      <c r="P50" s="437">
        <f t="shared" si="18"/>
        <v>1314335</v>
      </c>
      <c r="Q50" s="437">
        <f t="shared" si="2"/>
        <v>100.35228876989832</v>
      </c>
      <c r="S50" s="1956"/>
      <c r="T50" s="1956"/>
    </row>
    <row r="51" spans="1:20" x14ac:dyDescent="0.2">
      <c r="A51" s="159">
        <f t="shared" si="0"/>
        <v>42</v>
      </c>
      <c r="B51" s="116" t="s">
        <v>0</v>
      </c>
      <c r="C51" s="275"/>
      <c r="D51" s="275"/>
      <c r="E51" s="436"/>
      <c r="F51" s="275"/>
      <c r="G51" s="275"/>
      <c r="H51" s="1351">
        <f t="shared" si="17"/>
        <v>0</v>
      </c>
      <c r="I51" s="287"/>
      <c r="J51" s="792" t="s">
        <v>239</v>
      </c>
      <c r="K51" s="282">
        <f>'pü.mérleg Hivatal'!D51+'püm. GAMESZ. '!C50+'püm-TASZII.'!C50+püm.Brunszvik!C50+'püm Festetics'!C50</f>
        <v>46156</v>
      </c>
      <c r="L51" s="282">
        <f>'pü.mérleg Hivatal'!E51+'püm. GAMESZ. '!D50+püm.Brunszvik!D50+'püm Festetics'!D50+'püm-TASZII.'!D50</f>
        <v>10650</v>
      </c>
      <c r="M51" s="282">
        <f>'pü.mérleg Hivatal'!F51+'püm. GAMESZ. '!E50+'püm-TASZII.'!E50+püm.Brunszvik!E50+'püm Festetics'!E50</f>
        <v>56806</v>
      </c>
      <c r="N51" s="553">
        <v>44336</v>
      </c>
      <c r="O51" s="280">
        <v>4717</v>
      </c>
      <c r="P51" s="437">
        <f t="shared" si="18"/>
        <v>49053</v>
      </c>
      <c r="Q51" s="437">
        <f t="shared" si="2"/>
        <v>86.351793824595987</v>
      </c>
      <c r="S51" s="1956"/>
      <c r="T51" s="1956"/>
    </row>
    <row r="52" spans="1:20" x14ac:dyDescent="0.2">
      <c r="A52" s="159">
        <f t="shared" si="0"/>
        <v>43</v>
      </c>
      <c r="B52" s="116" t="s">
        <v>1</v>
      </c>
      <c r="C52" s="275"/>
      <c r="D52" s="275"/>
      <c r="E52" s="436">
        <f>SUM(C52:D52)</f>
        <v>0</v>
      </c>
      <c r="F52" s="275"/>
      <c r="G52" s="275"/>
      <c r="H52" s="1351">
        <f t="shared" si="17"/>
        <v>0</v>
      </c>
      <c r="I52" s="287"/>
      <c r="J52" s="461" t="s">
        <v>13</v>
      </c>
      <c r="K52" s="966"/>
      <c r="L52" s="966"/>
      <c r="M52" s="967"/>
      <c r="N52" s="553"/>
      <c r="O52" s="280"/>
      <c r="P52" s="437"/>
      <c r="Q52" s="437"/>
    </row>
    <row r="53" spans="1:20" x14ac:dyDescent="0.2">
      <c r="A53" s="159">
        <f t="shared" si="0"/>
        <v>44</v>
      </c>
      <c r="B53" s="116"/>
      <c r="C53" s="275"/>
      <c r="D53" s="275"/>
      <c r="E53" s="436"/>
      <c r="F53" s="275"/>
      <c r="G53" s="275"/>
      <c r="H53" s="436"/>
      <c r="I53" s="287"/>
      <c r="J53" s="461" t="s">
        <v>14</v>
      </c>
      <c r="K53" s="282"/>
      <c r="L53" s="282"/>
      <c r="M53" s="437"/>
      <c r="N53" s="553"/>
      <c r="O53" s="280"/>
      <c r="P53" s="437"/>
      <c r="Q53" s="437"/>
    </row>
    <row r="54" spans="1:20" x14ac:dyDescent="0.2">
      <c r="A54" s="159">
        <f t="shared" si="0"/>
        <v>45</v>
      </c>
      <c r="B54" s="116"/>
      <c r="C54" s="275"/>
      <c r="D54" s="275"/>
      <c r="E54" s="436"/>
      <c r="F54" s="275"/>
      <c r="G54" s="275"/>
      <c r="H54" s="436"/>
      <c r="I54" s="287"/>
      <c r="J54" s="461" t="s">
        <v>15</v>
      </c>
      <c r="K54" s="282"/>
      <c r="L54" s="282"/>
      <c r="M54" s="437"/>
      <c r="N54" s="553"/>
      <c r="O54" s="280"/>
      <c r="P54" s="437"/>
      <c r="Q54" s="437"/>
    </row>
    <row r="55" spans="1:20" ht="12" thickBot="1" x14ac:dyDescent="0.25">
      <c r="A55" s="159">
        <f t="shared" si="0"/>
        <v>46</v>
      </c>
      <c r="B55" s="173" t="s">
        <v>447</v>
      </c>
      <c r="C55" s="577">
        <f>SUM(C41:C53)</f>
        <v>1232681</v>
      </c>
      <c r="D55" s="577">
        <f>SUM(D41:D53)</f>
        <v>253083</v>
      </c>
      <c r="E55" s="483">
        <f>SUM(E41:E53)</f>
        <v>1485764</v>
      </c>
      <c r="F55" s="577">
        <f>SUM(F41:F53)</f>
        <v>1232681</v>
      </c>
      <c r="G55" s="577">
        <f t="shared" ref="G55:H55" si="19">SUM(G41:G53)</f>
        <v>253083</v>
      </c>
      <c r="H55" s="1194">
        <f t="shared" si="19"/>
        <v>1485764</v>
      </c>
      <c r="I55" s="1192">
        <f t="shared" si="4"/>
        <v>100</v>
      </c>
      <c r="J55" s="795" t="s">
        <v>440</v>
      </c>
      <c r="K55" s="339">
        <f t="shared" ref="K55:P55" si="20">SUM(K41:K54)</f>
        <v>828190</v>
      </c>
      <c r="L55" s="339">
        <f t="shared" si="20"/>
        <v>575036</v>
      </c>
      <c r="M55" s="420">
        <f t="shared" si="20"/>
        <v>1403226</v>
      </c>
      <c r="N55" s="339">
        <f t="shared" si="20"/>
        <v>829470</v>
      </c>
      <c r="O55" s="339">
        <f t="shared" si="20"/>
        <v>570617</v>
      </c>
      <c r="P55" s="1203">
        <f t="shared" si="20"/>
        <v>1400087</v>
      </c>
      <c r="Q55" s="420">
        <f t="shared" si="2"/>
        <v>99.776301180280299</v>
      </c>
    </row>
    <row r="56" spans="1:20" ht="12" thickBot="1" x14ac:dyDescent="0.25">
      <c r="A56" s="846">
        <f t="shared" si="0"/>
        <v>47</v>
      </c>
      <c r="B56" s="1008" t="s">
        <v>442</v>
      </c>
      <c r="C56" s="972">
        <f>C36+C55</f>
        <v>3385873</v>
      </c>
      <c r="D56" s="827">
        <f>D36+D55</f>
        <v>1422479</v>
      </c>
      <c r="E56" s="828">
        <f>E36+E55</f>
        <v>4808352</v>
      </c>
      <c r="F56" s="827">
        <f t="shared" ref="F56:H56" si="21">F36+F55</f>
        <v>3381856</v>
      </c>
      <c r="G56" s="972">
        <f t="shared" si="21"/>
        <v>1420434</v>
      </c>
      <c r="H56" s="972">
        <f t="shared" si="21"/>
        <v>4802290</v>
      </c>
      <c r="I56" s="287">
        <f t="shared" si="4"/>
        <v>99.873927699136829</v>
      </c>
      <c r="J56" s="1013" t="s">
        <v>441</v>
      </c>
      <c r="K56" s="1007">
        <f t="shared" ref="K56:P56" si="22">K36+K55</f>
        <v>3385873</v>
      </c>
      <c r="L56" s="1007">
        <f t="shared" si="22"/>
        <v>1422479</v>
      </c>
      <c r="M56" s="1121">
        <f t="shared" si="22"/>
        <v>4808352</v>
      </c>
      <c r="N56" s="1007">
        <f t="shared" si="22"/>
        <v>2236822</v>
      </c>
      <c r="O56" s="1007">
        <f t="shared" si="22"/>
        <v>1244057</v>
      </c>
      <c r="P56" s="1007">
        <f t="shared" si="22"/>
        <v>3480879</v>
      </c>
      <c r="Q56" s="1349">
        <f t="shared" si="2"/>
        <v>72.392349811328288</v>
      </c>
    </row>
    <row r="57" spans="1:20" x14ac:dyDescent="0.2">
      <c r="B57" s="178"/>
      <c r="C57" s="177"/>
      <c r="D57" s="177"/>
      <c r="E57" s="177"/>
      <c r="F57" s="177"/>
      <c r="G57" s="177"/>
      <c r="H57" s="177"/>
      <c r="I57" s="1226"/>
      <c r="J57" s="168"/>
      <c r="K57" s="177"/>
      <c r="L57" s="177"/>
      <c r="M57" s="177"/>
      <c r="Q57" s="1288"/>
    </row>
    <row r="63" spans="1:20" x14ac:dyDescent="0.2">
      <c r="L63" s="164"/>
    </row>
  </sheetData>
  <sheetProtection selectLockedCells="1" selectUnlockedCells="1"/>
  <mergeCells count="20">
    <mergeCell ref="A7:A9"/>
    <mergeCell ref="K8:M8"/>
    <mergeCell ref="K7:M7"/>
    <mergeCell ref="B7:B8"/>
    <mergeCell ref="J7:J8"/>
    <mergeCell ref="C8:E8"/>
    <mergeCell ref="C7:E7"/>
    <mergeCell ref="F7:I7"/>
    <mergeCell ref="F8:H8"/>
    <mergeCell ref="C1:Q1"/>
    <mergeCell ref="A6:Q6"/>
    <mergeCell ref="B2:Q2"/>
    <mergeCell ref="B3:Q3"/>
    <mergeCell ref="B4:Q4"/>
    <mergeCell ref="B5:Q5"/>
    <mergeCell ref="I8:I9"/>
    <mergeCell ref="N7:Q7"/>
    <mergeCell ref="N8:P8"/>
    <mergeCell ref="Q8:Q9"/>
    <mergeCell ref="S50:T51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54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R57"/>
  <sheetViews>
    <sheetView topLeftCell="D1" zoomScale="120" workbookViewId="0">
      <selection activeCell="D1" sqref="D1:R1"/>
    </sheetView>
  </sheetViews>
  <sheetFormatPr defaultColWidth="9.140625" defaultRowHeight="11.25" x14ac:dyDescent="0.2"/>
  <cols>
    <col min="1" max="1" width="9.140625" style="10"/>
    <col min="2" max="2" width="3.7109375" style="152" customWidth="1"/>
    <col min="3" max="3" width="36.140625" style="152" customWidth="1"/>
    <col min="4" max="5" width="10.28515625" style="153" customWidth="1"/>
    <col min="6" max="9" width="10.140625" style="153" customWidth="1"/>
    <col min="10" max="10" width="7.28515625" style="153" customWidth="1"/>
    <col min="11" max="11" width="36.140625" style="153" customWidth="1"/>
    <col min="12" max="14" width="10.28515625" style="153" customWidth="1"/>
    <col min="15" max="17" width="10.28515625" style="10" customWidth="1"/>
    <col min="18" max="18" width="7.28515625" style="10" customWidth="1"/>
    <col min="19" max="16384" width="9.140625" style="10"/>
  </cols>
  <sheetData>
    <row r="1" spans="2:18" ht="12.75" customHeight="1" x14ac:dyDescent="0.2">
      <c r="D1" s="1816" t="s">
        <v>2071</v>
      </c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  <c r="R1" s="1816"/>
    </row>
    <row r="2" spans="2:18" x14ac:dyDescent="0.2">
      <c r="K2" s="154"/>
      <c r="L2" s="154"/>
      <c r="M2" s="154"/>
      <c r="N2" s="154"/>
    </row>
    <row r="3" spans="2:18" x14ac:dyDescent="0.2">
      <c r="C3" s="1963"/>
      <c r="D3" s="1963"/>
      <c r="E3" s="1963"/>
      <c r="F3" s="1963"/>
      <c r="G3" s="1963"/>
      <c r="H3" s="1963"/>
      <c r="I3" s="1963"/>
      <c r="J3" s="1963"/>
      <c r="K3" s="1963"/>
      <c r="L3" s="1963"/>
      <c r="M3" s="1963"/>
      <c r="N3" s="1963"/>
      <c r="O3" s="1963"/>
      <c r="P3" s="1963"/>
      <c r="Q3" s="1963"/>
      <c r="R3" s="1963"/>
    </row>
    <row r="4" spans="2:18" x14ac:dyDescent="0.2"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</row>
    <row r="5" spans="2:18" s="120" customFormat="1" x14ac:dyDescent="0.2">
      <c r="B5" s="155"/>
      <c r="C5" s="1823" t="s">
        <v>77</v>
      </c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  <c r="R5" s="1823"/>
    </row>
    <row r="6" spans="2:18" s="120" customFormat="1" x14ac:dyDescent="0.2">
      <c r="B6" s="155"/>
      <c r="C6" s="1823" t="s">
        <v>1359</v>
      </c>
      <c r="D6" s="1823"/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3"/>
      <c r="P6" s="1823"/>
      <c r="Q6" s="1823"/>
      <c r="R6" s="1823"/>
    </row>
    <row r="7" spans="2:18" s="120" customFormat="1" x14ac:dyDescent="0.2">
      <c r="B7" s="155"/>
      <c r="C7" s="1964" t="s">
        <v>181</v>
      </c>
      <c r="D7" s="1964"/>
      <c r="E7" s="1964"/>
      <c r="F7" s="1964"/>
      <c r="G7" s="1964"/>
      <c r="H7" s="1964"/>
      <c r="I7" s="1964"/>
      <c r="J7" s="1964"/>
      <c r="K7" s="1964"/>
      <c r="L7" s="1964"/>
      <c r="M7" s="1964"/>
      <c r="N7" s="1964"/>
      <c r="O7" s="1964"/>
      <c r="P7" s="1964"/>
      <c r="Q7" s="1964"/>
      <c r="R7" s="1964"/>
    </row>
    <row r="8" spans="2:18" s="120" customFormat="1" x14ac:dyDescent="0.2">
      <c r="B8" s="155"/>
      <c r="C8" s="1823" t="s">
        <v>1102</v>
      </c>
      <c r="D8" s="1823"/>
      <c r="E8" s="1823"/>
      <c r="F8" s="1823"/>
      <c r="G8" s="1823"/>
      <c r="H8" s="1823"/>
      <c r="I8" s="1823"/>
      <c r="J8" s="1823"/>
      <c r="K8" s="1823"/>
      <c r="L8" s="1823"/>
      <c r="M8" s="1823"/>
      <c r="N8" s="1823"/>
      <c r="O8" s="1823"/>
      <c r="P8" s="1823"/>
      <c r="Q8" s="1823"/>
      <c r="R8" s="1823"/>
    </row>
    <row r="9" spans="2:18" s="120" customFormat="1" ht="12.75" customHeight="1" x14ac:dyDescent="0.2">
      <c r="B9" s="1824" t="s">
        <v>302</v>
      </c>
      <c r="C9" s="1824"/>
      <c r="D9" s="1824"/>
      <c r="E9" s="1824"/>
      <c r="F9" s="1824"/>
      <c r="G9" s="1824"/>
      <c r="H9" s="1824"/>
      <c r="I9" s="1824"/>
      <c r="J9" s="1824"/>
      <c r="K9" s="1824"/>
      <c r="L9" s="1824"/>
      <c r="M9" s="1824"/>
      <c r="N9" s="1824"/>
      <c r="O9" s="1824"/>
      <c r="P9" s="1824"/>
      <c r="Q9" s="1824"/>
      <c r="R9" s="1824"/>
    </row>
    <row r="10" spans="2:18" s="120" customFormat="1" ht="12.75" customHeight="1" x14ac:dyDescent="0.2">
      <c r="B10" s="1829" t="s">
        <v>56</v>
      </c>
      <c r="C10" s="1828" t="s">
        <v>57</v>
      </c>
      <c r="D10" s="1850" t="s">
        <v>58</v>
      </c>
      <c r="E10" s="1850"/>
      <c r="F10" s="1827"/>
      <c r="G10" s="1834" t="s">
        <v>59</v>
      </c>
      <c r="H10" s="1834"/>
      <c r="I10" s="1834"/>
      <c r="J10" s="1835"/>
      <c r="K10" s="1962" t="s">
        <v>59</v>
      </c>
      <c r="L10" s="1959" t="s">
        <v>60</v>
      </c>
      <c r="M10" s="1960"/>
      <c r="N10" s="1960"/>
      <c r="O10" s="1822" t="s">
        <v>470</v>
      </c>
      <c r="P10" s="1822"/>
      <c r="Q10" s="1822"/>
      <c r="R10" s="1822"/>
    </row>
    <row r="11" spans="2:18" s="120" customFormat="1" ht="12.75" customHeight="1" x14ac:dyDescent="0.2">
      <c r="B11" s="1829"/>
      <c r="C11" s="1828"/>
      <c r="D11" s="1825" t="s">
        <v>1103</v>
      </c>
      <c r="E11" s="1825"/>
      <c r="F11" s="1826"/>
      <c r="G11" s="1817" t="s">
        <v>1355</v>
      </c>
      <c r="H11" s="1818"/>
      <c r="I11" s="1819"/>
      <c r="J11" s="1820" t="s">
        <v>1357</v>
      </c>
      <c r="K11" s="1966"/>
      <c r="L11" s="1825" t="s">
        <v>1103</v>
      </c>
      <c r="M11" s="1825"/>
      <c r="N11" s="1825"/>
      <c r="O11" s="1817" t="s">
        <v>1355</v>
      </c>
      <c r="P11" s="1818"/>
      <c r="Q11" s="1819"/>
      <c r="R11" s="1820" t="s">
        <v>1357</v>
      </c>
    </row>
    <row r="12" spans="2:18" s="121" customFormat="1" ht="36.6" customHeight="1" x14ac:dyDescent="0.2">
      <c r="B12" s="1829"/>
      <c r="C12" s="156" t="s">
        <v>61</v>
      </c>
      <c r="D12" s="132" t="s">
        <v>62</v>
      </c>
      <c r="E12" s="132" t="s">
        <v>63</v>
      </c>
      <c r="F12" s="157" t="s">
        <v>64</v>
      </c>
      <c r="G12" s="132" t="s">
        <v>62</v>
      </c>
      <c r="H12" s="132" t="s">
        <v>63</v>
      </c>
      <c r="I12" s="1352" t="s">
        <v>1356</v>
      </c>
      <c r="J12" s="1965"/>
      <c r="K12" s="158" t="s">
        <v>65</v>
      </c>
      <c r="L12" s="132" t="s">
        <v>62</v>
      </c>
      <c r="M12" s="132" t="s">
        <v>63</v>
      </c>
      <c r="N12" s="132" t="s">
        <v>64</v>
      </c>
      <c r="O12" s="132" t="s">
        <v>62</v>
      </c>
      <c r="P12" s="1348" t="s">
        <v>63</v>
      </c>
      <c r="Q12" s="1352" t="s">
        <v>1356</v>
      </c>
      <c r="R12" s="1965"/>
    </row>
    <row r="13" spans="2:18" ht="11.45" customHeight="1" x14ac:dyDescent="0.2">
      <c r="B13" s="159">
        <v>1</v>
      </c>
      <c r="C13" s="160" t="s">
        <v>24</v>
      </c>
      <c r="D13" s="161"/>
      <c r="E13" s="161"/>
      <c r="F13" s="1190"/>
      <c r="G13" s="161"/>
      <c r="H13" s="161"/>
      <c r="I13" s="1190"/>
      <c r="J13" s="161"/>
      <c r="K13" s="135" t="s">
        <v>25</v>
      </c>
      <c r="L13" s="161"/>
      <c r="M13" s="161"/>
      <c r="N13" s="424"/>
      <c r="O13" s="185"/>
      <c r="Q13" s="1127"/>
      <c r="R13" s="1354"/>
    </row>
    <row r="14" spans="2:18" x14ac:dyDescent="0.2">
      <c r="B14" s="159">
        <f t="shared" ref="B14:B56" si="0">B13+1</f>
        <v>2</v>
      </c>
      <c r="C14" s="162" t="s">
        <v>35</v>
      </c>
      <c r="D14" s="116"/>
      <c r="E14" s="116"/>
      <c r="F14" s="425">
        <f>SUM(D14:E14)</f>
        <v>0</v>
      </c>
      <c r="G14" s="117"/>
      <c r="H14" s="117"/>
      <c r="I14" s="425"/>
      <c r="J14" s="117"/>
      <c r="K14" s="136" t="s">
        <v>215</v>
      </c>
      <c r="L14" s="117">
        <v>95099</v>
      </c>
      <c r="M14" s="117">
        <v>98067</v>
      </c>
      <c r="N14" s="417">
        <f>SUM(L14:M14)</f>
        <v>193166</v>
      </c>
      <c r="O14" s="461">
        <v>93757</v>
      </c>
      <c r="P14" s="287">
        <v>96684</v>
      </c>
      <c r="Q14" s="436">
        <f>O14+P14</f>
        <v>190441</v>
      </c>
      <c r="R14" s="1271">
        <f>Q14/N14*100</f>
        <v>98.589296252963777</v>
      </c>
    </row>
    <row r="15" spans="2:18" x14ac:dyDescent="0.2">
      <c r="B15" s="159">
        <f t="shared" si="0"/>
        <v>3</v>
      </c>
      <c r="C15" s="162" t="s">
        <v>36</v>
      </c>
      <c r="D15" s="116"/>
      <c r="E15" s="116"/>
      <c r="F15" s="425">
        <f>SUM(D15:E15)</f>
        <v>0</v>
      </c>
      <c r="G15" s="117"/>
      <c r="H15" s="117"/>
      <c r="I15" s="425">
        <f t="shared" ref="I15:I32" si="1">G15+H15</f>
        <v>0</v>
      </c>
      <c r="J15" s="117"/>
      <c r="K15" s="495" t="s">
        <v>216</v>
      </c>
      <c r="L15" s="117">
        <v>20088</v>
      </c>
      <c r="M15" s="117">
        <v>19206</v>
      </c>
      <c r="N15" s="417">
        <f>SUM(L15:M15)</f>
        <v>39294</v>
      </c>
      <c r="O15" s="461">
        <v>19705</v>
      </c>
      <c r="P15" s="287">
        <v>18840</v>
      </c>
      <c r="Q15" s="436">
        <f t="shared" ref="Q15:Q21" si="2">O15+P15</f>
        <v>38545</v>
      </c>
      <c r="R15" s="1271">
        <f t="shared" ref="R15:R56" si="3">Q15/N15*100</f>
        <v>98.093856568432841</v>
      </c>
    </row>
    <row r="16" spans="2:18" x14ac:dyDescent="0.2">
      <c r="B16" s="159">
        <f t="shared" si="0"/>
        <v>4</v>
      </c>
      <c r="C16" s="162" t="s">
        <v>37</v>
      </c>
      <c r="D16" s="116">
        <f>'tám, végl. pe.átv  '!C50</f>
        <v>2847</v>
      </c>
      <c r="E16" s="116"/>
      <c r="F16" s="425">
        <f>SUM(D16:E16)</f>
        <v>2847</v>
      </c>
      <c r="G16" s="275">
        <f>'tám, végl. pe.átv  '!F49</f>
        <v>2846</v>
      </c>
      <c r="H16" s="275">
        <f>'tám, végl. pe.átv  '!G49</f>
        <v>0</v>
      </c>
      <c r="I16" s="436">
        <f>G16+H16</f>
        <v>2846</v>
      </c>
      <c r="J16" s="117">
        <f t="shared" ref="J16:J56" si="4">I16/F16*100</f>
        <v>99.96487530734106</v>
      </c>
      <c r="K16" s="136" t="s">
        <v>217</v>
      </c>
      <c r="L16" s="117">
        <v>4961</v>
      </c>
      <c r="M16" s="117">
        <v>57091</v>
      </c>
      <c r="N16" s="417">
        <f>SUM(L16:M16)</f>
        <v>62052</v>
      </c>
      <c r="O16" s="461">
        <v>4419</v>
      </c>
      <c r="P16" s="287">
        <v>50854</v>
      </c>
      <c r="Q16" s="436">
        <f t="shared" si="2"/>
        <v>55273</v>
      </c>
      <c r="R16" s="1271">
        <f t="shared" si="3"/>
        <v>89.075291690839947</v>
      </c>
    </row>
    <row r="17" spans="2:18" ht="12" customHeight="1" x14ac:dyDescent="0.2">
      <c r="B17" s="159">
        <f t="shared" si="0"/>
        <v>5</v>
      </c>
      <c r="C17" s="125"/>
      <c r="D17" s="116"/>
      <c r="E17" s="116"/>
      <c r="F17" s="425"/>
      <c r="G17" s="117"/>
      <c r="H17" s="117"/>
      <c r="I17" s="425">
        <f t="shared" si="1"/>
        <v>0</v>
      </c>
      <c r="J17" s="117"/>
      <c r="K17" s="136"/>
      <c r="L17" s="116"/>
      <c r="M17" s="116"/>
      <c r="N17" s="417"/>
      <c r="O17" s="461"/>
      <c r="P17" s="287"/>
      <c r="Q17" s="436"/>
      <c r="R17" s="1271"/>
    </row>
    <row r="18" spans="2:18" x14ac:dyDescent="0.2">
      <c r="B18" s="159">
        <f t="shared" si="0"/>
        <v>6</v>
      </c>
      <c r="C18" s="162" t="s">
        <v>38</v>
      </c>
      <c r="D18" s="116"/>
      <c r="E18" s="116"/>
      <c r="F18" s="425">
        <f>SUM(D18:E18)</f>
        <v>0</v>
      </c>
      <c r="G18" s="117"/>
      <c r="H18" s="117"/>
      <c r="I18" s="425">
        <f t="shared" si="1"/>
        <v>0</v>
      </c>
      <c r="J18" s="117"/>
      <c r="K18" s="136" t="s">
        <v>28</v>
      </c>
      <c r="L18" s="164">
        <v>0</v>
      </c>
      <c r="M18" s="164">
        <f>'ellátottak hivatal'!F18</f>
        <v>0</v>
      </c>
      <c r="N18" s="417">
        <f>SUM(L18:M18)</f>
        <v>0</v>
      </c>
      <c r="O18" s="461"/>
      <c r="P18" s="287"/>
      <c r="Q18" s="436">
        <f t="shared" si="2"/>
        <v>0</v>
      </c>
      <c r="R18" s="1271"/>
    </row>
    <row r="19" spans="2:18" x14ac:dyDescent="0.2">
      <c r="B19" s="159">
        <f t="shared" si="0"/>
        <v>7</v>
      </c>
      <c r="C19" s="162"/>
      <c r="D19" s="116"/>
      <c r="E19" s="116"/>
      <c r="F19" s="425"/>
      <c r="G19" s="117"/>
      <c r="H19" s="117"/>
      <c r="I19" s="425">
        <f t="shared" si="1"/>
        <v>0</v>
      </c>
      <c r="J19" s="117"/>
      <c r="K19" s="136" t="s">
        <v>30</v>
      </c>
      <c r="L19" s="164"/>
      <c r="M19" s="164"/>
      <c r="N19" s="417"/>
      <c r="O19" s="461"/>
      <c r="P19" s="287"/>
      <c r="Q19" s="436"/>
      <c r="R19" s="1271"/>
    </row>
    <row r="20" spans="2:18" x14ac:dyDescent="0.2">
      <c r="B20" s="159">
        <f t="shared" si="0"/>
        <v>8</v>
      </c>
      <c r="C20" s="162" t="s">
        <v>39</v>
      </c>
      <c r="D20" s="116"/>
      <c r="E20" s="116"/>
      <c r="F20" s="425">
        <f>SUM(D20:E20)</f>
        <v>0</v>
      </c>
      <c r="G20" s="117"/>
      <c r="H20" s="117"/>
      <c r="I20" s="425">
        <f t="shared" si="1"/>
        <v>0</v>
      </c>
      <c r="J20" s="117"/>
      <c r="K20" s="136" t="s">
        <v>445</v>
      </c>
      <c r="L20" s="164">
        <f>mc.pe.átad!E75</f>
        <v>26</v>
      </c>
      <c r="M20" s="164">
        <f>mc.pe.átad!F75</f>
        <v>0</v>
      </c>
      <c r="N20" s="164">
        <f>mc.pe.átad!G75</f>
        <v>26</v>
      </c>
      <c r="O20" s="461">
        <f>mc.pe.átad!H75</f>
        <v>25</v>
      </c>
      <c r="P20" s="275">
        <f>mc.pe.átad!I75</f>
        <v>0</v>
      </c>
      <c r="Q20" s="436">
        <f t="shared" si="2"/>
        <v>25</v>
      </c>
      <c r="R20" s="1271">
        <f t="shared" si="3"/>
        <v>96.15384615384616</v>
      </c>
    </row>
    <row r="21" spans="2:18" x14ac:dyDescent="0.2">
      <c r="B21" s="159">
        <f t="shared" si="0"/>
        <v>9</v>
      </c>
      <c r="C21" s="165" t="s">
        <v>40</v>
      </c>
      <c r="D21" s="163"/>
      <c r="E21" s="163"/>
      <c r="F21" s="417"/>
      <c r="G21" s="163"/>
      <c r="H21" s="163"/>
      <c r="I21" s="425">
        <f t="shared" si="1"/>
        <v>0</v>
      </c>
      <c r="J21" s="117"/>
      <c r="K21" s="136" t="s">
        <v>444</v>
      </c>
      <c r="L21" s="164">
        <f>mc.pe.átad!E79</f>
        <v>18</v>
      </c>
      <c r="M21" s="164">
        <f>mc.pe.átad!F79</f>
        <v>0</v>
      </c>
      <c r="N21" s="164">
        <f>mc.pe.átad!G79</f>
        <v>18</v>
      </c>
      <c r="O21" s="461">
        <f>mc.pe.átad!H79</f>
        <v>9</v>
      </c>
      <c r="P21" s="275">
        <f>mc.pe.átad!I79</f>
        <v>0</v>
      </c>
      <c r="Q21" s="436">
        <f t="shared" si="2"/>
        <v>9</v>
      </c>
      <c r="R21" s="1271">
        <f t="shared" si="3"/>
        <v>50</v>
      </c>
    </row>
    <row r="22" spans="2:18" x14ac:dyDescent="0.2">
      <c r="B22" s="159">
        <f t="shared" si="0"/>
        <v>10</v>
      </c>
      <c r="C22" s="114" t="s">
        <v>194</v>
      </c>
      <c r="D22" s="336">
        <f>'mük. bev.Önkor és Hivatal '!C80</f>
        <v>15</v>
      </c>
      <c r="E22" s="336">
        <v>786</v>
      </c>
      <c r="F22" s="435">
        <f>SUM(D22:E22)</f>
        <v>801</v>
      </c>
      <c r="G22" s="336">
        <v>15</v>
      </c>
      <c r="H22" s="336">
        <v>784</v>
      </c>
      <c r="I22" s="436">
        <f t="shared" si="1"/>
        <v>799</v>
      </c>
      <c r="J22" s="117">
        <f t="shared" si="4"/>
        <v>99.750312109862676</v>
      </c>
      <c r="K22" s="136" t="s">
        <v>222</v>
      </c>
      <c r="L22" s="164"/>
      <c r="M22" s="164"/>
      <c r="N22" s="419"/>
      <c r="O22" s="461"/>
      <c r="P22" s="287"/>
      <c r="Q22" s="436"/>
      <c r="R22" s="1271"/>
    </row>
    <row r="23" spans="2:18" x14ac:dyDescent="0.2">
      <c r="B23" s="159">
        <f t="shared" si="0"/>
        <v>11</v>
      </c>
      <c r="D23" s="163"/>
      <c r="E23" s="163"/>
      <c r="F23" s="417"/>
      <c r="G23" s="163"/>
      <c r="H23" s="163"/>
      <c r="I23" s="425">
        <f t="shared" si="1"/>
        <v>0</v>
      </c>
      <c r="J23" s="117"/>
      <c r="K23" s="136" t="s">
        <v>437</v>
      </c>
      <c r="L23" s="164"/>
      <c r="M23" s="164"/>
      <c r="N23" s="419"/>
      <c r="O23" s="553"/>
      <c r="P23" s="280"/>
      <c r="Q23" s="437"/>
      <c r="R23" s="1271"/>
    </row>
    <row r="24" spans="2:18" s="122" customFormat="1" x14ac:dyDescent="0.2">
      <c r="B24" s="159">
        <f t="shared" si="0"/>
        <v>12</v>
      </c>
      <c r="C24" s="152" t="s">
        <v>42</v>
      </c>
      <c r="D24" s="163"/>
      <c r="E24" s="163"/>
      <c r="F24" s="417"/>
      <c r="G24" s="163"/>
      <c r="H24" s="163"/>
      <c r="I24" s="425">
        <f t="shared" si="1"/>
        <v>0</v>
      </c>
      <c r="J24" s="117"/>
      <c r="K24" s="136" t="s">
        <v>438</v>
      </c>
      <c r="L24" s="164"/>
      <c r="M24" s="164"/>
      <c r="N24" s="419"/>
      <c r="O24" s="1266"/>
      <c r="P24" s="1267"/>
      <c r="Q24" s="439"/>
      <c r="R24" s="1271"/>
    </row>
    <row r="25" spans="2:18" s="122" customFormat="1" x14ac:dyDescent="0.2">
      <c r="B25" s="159">
        <f t="shared" si="0"/>
        <v>13</v>
      </c>
      <c r="C25" s="152" t="s">
        <v>43</v>
      </c>
      <c r="D25" s="163"/>
      <c r="E25" s="163"/>
      <c r="F25" s="417"/>
      <c r="G25" s="163"/>
      <c r="H25" s="163"/>
      <c r="I25" s="425">
        <f t="shared" si="1"/>
        <v>0</v>
      </c>
      <c r="J25" s="117"/>
      <c r="K25" s="166"/>
      <c r="L25" s="164"/>
      <c r="M25" s="164"/>
      <c r="N25" s="419"/>
      <c r="O25" s="1266"/>
      <c r="P25" s="1267"/>
      <c r="Q25" s="439"/>
      <c r="R25" s="1271"/>
    </row>
    <row r="26" spans="2:18" x14ac:dyDescent="0.2">
      <c r="B26" s="159">
        <f t="shared" si="0"/>
        <v>14</v>
      </c>
      <c r="C26" s="162" t="s">
        <v>44</v>
      </c>
      <c r="D26" s="127"/>
      <c r="E26" s="127"/>
      <c r="F26" s="1412"/>
      <c r="G26" s="127"/>
      <c r="H26" s="127"/>
      <c r="I26" s="425">
        <f t="shared" si="1"/>
        <v>0</v>
      </c>
      <c r="J26" s="117"/>
      <c r="K26" s="167" t="s">
        <v>66</v>
      </c>
      <c r="L26" s="123">
        <f>SUM(L14:L24)</f>
        <v>120192</v>
      </c>
      <c r="M26" s="123">
        <f>SUM(M14:M24)</f>
        <v>174364</v>
      </c>
      <c r="N26" s="418">
        <f>SUM(N14:N24)</f>
        <v>294556</v>
      </c>
      <c r="O26" s="123">
        <f>SUM(O14:O24)</f>
        <v>117915</v>
      </c>
      <c r="P26" s="123">
        <f t="shared" ref="P26:Q26" si="5">SUM(P14:P24)</f>
        <v>166378</v>
      </c>
      <c r="Q26" s="418">
        <f t="shared" si="5"/>
        <v>284293</v>
      </c>
      <c r="R26" s="1355">
        <f t="shared" si="3"/>
        <v>96.515772892081642</v>
      </c>
    </row>
    <row r="27" spans="2:18" x14ac:dyDescent="0.2">
      <c r="B27" s="159">
        <f t="shared" si="0"/>
        <v>15</v>
      </c>
      <c r="C27" s="162" t="s">
        <v>45</v>
      </c>
      <c r="D27" s="163"/>
      <c r="E27" s="163">
        <v>53</v>
      </c>
      <c r="F27" s="417">
        <f>D27+E27</f>
        <v>53</v>
      </c>
      <c r="G27" s="163">
        <f>'felh. bev.  '!J47</f>
        <v>0</v>
      </c>
      <c r="H27" s="163">
        <f>'felh. bev.  '!K47</f>
        <v>53</v>
      </c>
      <c r="I27" s="425">
        <f t="shared" si="1"/>
        <v>53</v>
      </c>
      <c r="J27" s="117">
        <f t="shared" si="4"/>
        <v>100</v>
      </c>
      <c r="K27" s="166"/>
      <c r="L27" s="164"/>
      <c r="M27" s="164"/>
      <c r="N27" s="419"/>
      <c r="O27" s="553"/>
      <c r="P27" s="280"/>
      <c r="Q27" s="437"/>
      <c r="R27" s="1271"/>
    </row>
    <row r="28" spans="2:18" x14ac:dyDescent="0.2">
      <c r="B28" s="159">
        <f t="shared" si="0"/>
        <v>16</v>
      </c>
      <c r="C28" s="114" t="s">
        <v>46</v>
      </c>
      <c r="D28" s="124"/>
      <c r="E28" s="124"/>
      <c r="F28" s="482"/>
      <c r="G28" s="124"/>
      <c r="H28" s="124"/>
      <c r="I28" s="425">
        <f t="shared" si="1"/>
        <v>0</v>
      </c>
      <c r="J28" s="117"/>
      <c r="K28" s="137" t="s">
        <v>34</v>
      </c>
      <c r="L28" s="168"/>
      <c r="M28" s="168"/>
      <c r="N28" s="419"/>
      <c r="O28" s="553"/>
      <c r="P28" s="280"/>
      <c r="Q28" s="437"/>
      <c r="R28" s="1271"/>
    </row>
    <row r="29" spans="2:18" x14ac:dyDescent="0.2">
      <c r="B29" s="159">
        <f t="shared" si="0"/>
        <v>17</v>
      </c>
      <c r="C29" s="162" t="s">
        <v>47</v>
      </c>
      <c r="D29" s="117"/>
      <c r="E29" s="117"/>
      <c r="F29" s="425"/>
      <c r="G29" s="117"/>
      <c r="H29" s="117"/>
      <c r="I29" s="425">
        <f t="shared" si="1"/>
        <v>0</v>
      </c>
      <c r="J29" s="117"/>
      <c r="K29" s="136" t="s">
        <v>226</v>
      </c>
      <c r="L29" s="164">
        <f>'felhalm. kiad.  '!H112</f>
        <v>2833</v>
      </c>
      <c r="M29" s="164">
        <f>'felhalm. kiad.  '!I112</f>
        <v>6335</v>
      </c>
      <c r="N29" s="419">
        <f>SUM(L29:M29)</f>
        <v>9168</v>
      </c>
      <c r="O29" s="553">
        <f>'felhalm. kiad.  '!K112</f>
        <v>1085</v>
      </c>
      <c r="P29" s="282">
        <f>'felhalm. kiad.  '!L112</f>
        <v>602</v>
      </c>
      <c r="Q29" s="437">
        <f>O29+P29</f>
        <v>1687</v>
      </c>
      <c r="R29" s="1271">
        <f t="shared" si="3"/>
        <v>18.400959860383946</v>
      </c>
    </row>
    <row r="30" spans="2:18" x14ac:dyDescent="0.2">
      <c r="B30" s="159">
        <f t="shared" si="0"/>
        <v>18</v>
      </c>
      <c r="C30" s="162"/>
      <c r="D30" s="117"/>
      <c r="E30" s="117"/>
      <c r="F30" s="425"/>
      <c r="G30" s="117"/>
      <c r="H30" s="117"/>
      <c r="I30" s="425">
        <f t="shared" si="1"/>
        <v>0</v>
      </c>
      <c r="J30" s="117"/>
      <c r="K30" s="136" t="s">
        <v>31</v>
      </c>
      <c r="L30" s="164"/>
      <c r="M30" s="164"/>
      <c r="N30" s="419"/>
      <c r="O30" s="553"/>
      <c r="P30" s="280"/>
      <c r="Q30" s="437"/>
      <c r="R30" s="1271"/>
    </row>
    <row r="31" spans="2:18" x14ac:dyDescent="0.2">
      <c r="B31" s="159">
        <f t="shared" si="0"/>
        <v>19</v>
      </c>
      <c r="C31" s="152" t="s">
        <v>50</v>
      </c>
      <c r="D31" s="117"/>
      <c r="E31" s="117"/>
      <c r="F31" s="425"/>
      <c r="G31" s="117"/>
      <c r="H31" s="117"/>
      <c r="I31" s="425">
        <f t="shared" si="1"/>
        <v>0</v>
      </c>
      <c r="J31" s="117"/>
      <c r="K31" s="136" t="s">
        <v>32</v>
      </c>
      <c r="L31" s="164"/>
      <c r="M31" s="164"/>
      <c r="N31" s="419"/>
      <c r="O31" s="553"/>
      <c r="P31" s="280"/>
      <c r="Q31" s="437"/>
      <c r="R31" s="1271"/>
    </row>
    <row r="32" spans="2:18" s="122" customFormat="1" x14ac:dyDescent="0.2">
      <c r="B32" s="159">
        <f t="shared" si="0"/>
        <v>20</v>
      </c>
      <c r="C32" s="152" t="s">
        <v>48</v>
      </c>
      <c r="D32" s="117"/>
      <c r="E32" s="117"/>
      <c r="F32" s="425"/>
      <c r="G32" s="117"/>
      <c r="H32" s="117"/>
      <c r="I32" s="425">
        <f t="shared" si="1"/>
        <v>0</v>
      </c>
      <c r="J32" s="117"/>
      <c r="K32" s="136" t="s">
        <v>446</v>
      </c>
      <c r="L32" s="164"/>
      <c r="M32" s="164"/>
      <c r="N32" s="419"/>
      <c r="O32" s="1266"/>
      <c r="P32" s="1267"/>
      <c r="Q32" s="439"/>
      <c r="R32" s="1271"/>
    </row>
    <row r="33" spans="2:18" x14ac:dyDescent="0.2">
      <c r="B33" s="159">
        <f t="shared" si="0"/>
        <v>21</v>
      </c>
      <c r="D33" s="117"/>
      <c r="E33" s="117"/>
      <c r="F33" s="425"/>
      <c r="G33" s="117"/>
      <c r="H33" s="117"/>
      <c r="I33" s="425"/>
      <c r="J33" s="117"/>
      <c r="K33" s="136" t="s">
        <v>443</v>
      </c>
      <c r="L33" s="164"/>
      <c r="M33" s="164"/>
      <c r="N33" s="419"/>
      <c r="O33" s="553"/>
      <c r="P33" s="280"/>
      <c r="Q33" s="437"/>
      <c r="R33" s="1271"/>
    </row>
    <row r="34" spans="2:18" s="11" customFormat="1" x14ac:dyDescent="0.2">
      <c r="B34" s="159">
        <f t="shared" si="0"/>
        <v>22</v>
      </c>
      <c r="C34" s="169" t="s">
        <v>52</v>
      </c>
      <c r="D34" s="336">
        <f>D15+D16+D20+D22+D31</f>
        <v>2862</v>
      </c>
      <c r="E34" s="336">
        <f t="shared" ref="E34:F34" si="6">E15+E16+E20+E22+E31</f>
        <v>786</v>
      </c>
      <c r="F34" s="435">
        <f t="shared" si="6"/>
        <v>3648</v>
      </c>
      <c r="G34" s="336">
        <f>G15+G16+G20+G22+G31</f>
        <v>2861</v>
      </c>
      <c r="H34" s="336">
        <f t="shared" ref="H34:I34" si="7">H15+H16+H20+H22+H31</f>
        <v>784</v>
      </c>
      <c r="I34" s="435">
        <f t="shared" si="7"/>
        <v>3645</v>
      </c>
      <c r="J34" s="117">
        <f t="shared" si="4"/>
        <v>99.91776315789474</v>
      </c>
      <c r="K34" s="136" t="s">
        <v>439</v>
      </c>
      <c r="L34" s="153"/>
      <c r="M34" s="153"/>
      <c r="N34" s="419"/>
      <c r="O34" s="796"/>
      <c r="P34" s="184"/>
      <c r="Q34" s="420"/>
      <c r="R34" s="1271"/>
    </row>
    <row r="35" spans="2:18" x14ac:dyDescent="0.2">
      <c r="B35" s="159">
        <f t="shared" si="0"/>
        <v>23</v>
      </c>
      <c r="C35" s="170" t="s">
        <v>67</v>
      </c>
      <c r="D35" s="338">
        <f>D18+D25+D26+D27+D28+D29+D32</f>
        <v>0</v>
      </c>
      <c r="E35" s="338">
        <f t="shared" ref="E35:F35" si="8">E18+E25+E26+E27+E28+E29+E32</f>
        <v>53</v>
      </c>
      <c r="F35" s="439">
        <f t="shared" si="8"/>
        <v>53</v>
      </c>
      <c r="G35" s="338">
        <f>G18+G25+G26+G27+G28+G29+G32</f>
        <v>0</v>
      </c>
      <c r="H35" s="338">
        <f t="shared" ref="H35:I35" si="9">H18+H25+H26+H27+H28+H29+H32</f>
        <v>53</v>
      </c>
      <c r="I35" s="439">
        <f t="shared" si="9"/>
        <v>53</v>
      </c>
      <c r="J35" s="172">
        <f t="shared" si="4"/>
        <v>100</v>
      </c>
      <c r="K35" s="171" t="s">
        <v>68</v>
      </c>
      <c r="L35" s="172">
        <f>SUM(L29:L34)</f>
        <v>2833</v>
      </c>
      <c r="M35" s="172">
        <f>SUM(M29:M34)</f>
        <v>6335</v>
      </c>
      <c r="N35" s="421">
        <f>SUM(N29:N33)</f>
        <v>9168</v>
      </c>
      <c r="O35" s="172">
        <f t="shared" ref="O35:Q35" si="10">SUM(O29:O34)</f>
        <v>1085</v>
      </c>
      <c r="P35" s="172">
        <f t="shared" si="10"/>
        <v>602</v>
      </c>
      <c r="Q35" s="421">
        <f t="shared" si="10"/>
        <v>1687</v>
      </c>
      <c r="R35" s="1356">
        <f t="shared" si="3"/>
        <v>18.400959860383946</v>
      </c>
    </row>
    <row r="36" spans="2:18" x14ac:dyDescent="0.2">
      <c r="B36" s="159">
        <f t="shared" si="0"/>
        <v>24</v>
      </c>
      <c r="C36" s="173" t="s">
        <v>51</v>
      </c>
      <c r="D36" s="339">
        <f>SUM(D34:D35)</f>
        <v>2862</v>
      </c>
      <c r="E36" s="339">
        <f>SUM(E34:E35)</f>
        <v>839</v>
      </c>
      <c r="F36" s="420">
        <f>SUM(F34:F35)</f>
        <v>3701</v>
      </c>
      <c r="G36" s="339">
        <f>SUM(G34:G35)</f>
        <v>2861</v>
      </c>
      <c r="H36" s="339">
        <f t="shared" ref="H36:I36" si="11">SUM(H34:H35)</f>
        <v>837</v>
      </c>
      <c r="I36" s="420">
        <f t="shared" si="11"/>
        <v>3698</v>
      </c>
      <c r="J36" s="168">
        <f t="shared" si="4"/>
        <v>99.918940826803578</v>
      </c>
      <c r="K36" s="174" t="s">
        <v>69</v>
      </c>
      <c r="L36" s="168">
        <f>L26+L35</f>
        <v>123025</v>
      </c>
      <c r="M36" s="168">
        <f>M26+M35</f>
        <v>180699</v>
      </c>
      <c r="N36" s="422">
        <f>N26+N35</f>
        <v>303724</v>
      </c>
      <c r="O36" s="168">
        <f t="shared" ref="O36:Q36" si="12">O26+O35</f>
        <v>119000</v>
      </c>
      <c r="P36" s="168">
        <f t="shared" si="12"/>
        <v>166980</v>
      </c>
      <c r="Q36" s="422">
        <f t="shared" si="12"/>
        <v>285980</v>
      </c>
      <c r="R36" s="1272">
        <f t="shared" si="3"/>
        <v>94.157853840987215</v>
      </c>
    </row>
    <row r="37" spans="2:18" x14ac:dyDescent="0.2">
      <c r="B37" s="159">
        <f t="shared" si="0"/>
        <v>25</v>
      </c>
      <c r="C37" s="175"/>
      <c r="D37" s="164"/>
      <c r="E37" s="164"/>
      <c r="F37" s="419"/>
      <c r="G37" s="164"/>
      <c r="H37" s="164"/>
      <c r="I37" s="419"/>
      <c r="J37" s="117"/>
      <c r="K37" s="166"/>
      <c r="L37" s="164"/>
      <c r="M37" s="164"/>
      <c r="N37" s="419"/>
      <c r="O37" s="553"/>
      <c r="P37" s="280"/>
      <c r="Q37" s="437"/>
      <c r="R37" s="1271"/>
    </row>
    <row r="38" spans="2:18" x14ac:dyDescent="0.2">
      <c r="B38" s="159">
        <f t="shared" si="0"/>
        <v>26</v>
      </c>
      <c r="C38" s="175"/>
      <c r="D38" s="164"/>
      <c r="E38" s="164"/>
      <c r="F38" s="419"/>
      <c r="G38" s="164"/>
      <c r="H38" s="164"/>
      <c r="I38" s="419"/>
      <c r="J38" s="117"/>
      <c r="K38" s="167"/>
      <c r="L38" s="123"/>
      <c r="M38" s="123"/>
      <c r="N38" s="418"/>
      <c r="O38" s="553"/>
      <c r="P38" s="280"/>
      <c r="Q38" s="437"/>
      <c r="R38" s="1271"/>
    </row>
    <row r="39" spans="2:18" s="11" customFormat="1" x14ac:dyDescent="0.2">
      <c r="B39" s="159">
        <f t="shared" si="0"/>
        <v>27</v>
      </c>
      <c r="C39" s="175"/>
      <c r="D39" s="164"/>
      <c r="E39" s="164"/>
      <c r="F39" s="419"/>
      <c r="G39" s="164"/>
      <c r="H39" s="164"/>
      <c r="I39" s="419"/>
      <c r="J39" s="117"/>
      <c r="K39" s="166"/>
      <c r="L39" s="164"/>
      <c r="M39" s="164"/>
      <c r="N39" s="419"/>
      <c r="O39" s="796"/>
      <c r="P39" s="184"/>
      <c r="Q39" s="420"/>
      <c r="R39" s="1271"/>
    </row>
    <row r="40" spans="2:18" s="11" customFormat="1" x14ac:dyDescent="0.2">
      <c r="B40" s="721">
        <f t="shared" si="0"/>
        <v>28</v>
      </c>
      <c r="C40" s="124" t="s">
        <v>53</v>
      </c>
      <c r="D40" s="124"/>
      <c r="E40" s="124"/>
      <c r="F40" s="482"/>
      <c r="G40" s="124"/>
      <c r="H40" s="124"/>
      <c r="I40" s="482"/>
      <c r="J40" s="117"/>
      <c r="K40" s="137" t="s">
        <v>33</v>
      </c>
      <c r="L40" s="168"/>
      <c r="M40" s="168"/>
      <c r="N40" s="422"/>
      <c r="O40" s="796"/>
      <c r="P40" s="184"/>
      <c r="Q40" s="420"/>
      <c r="R40" s="1271"/>
    </row>
    <row r="41" spans="2:18" s="11" customFormat="1" x14ac:dyDescent="0.2">
      <c r="B41" s="159">
        <f t="shared" si="0"/>
        <v>29</v>
      </c>
      <c r="C41" s="133" t="s">
        <v>680</v>
      </c>
      <c r="D41" s="124"/>
      <c r="E41" s="124"/>
      <c r="F41" s="482"/>
      <c r="G41" s="124"/>
      <c r="H41" s="124"/>
      <c r="I41" s="482"/>
      <c r="J41" s="117"/>
      <c r="K41" s="176" t="s">
        <v>4</v>
      </c>
      <c r="L41" s="177"/>
      <c r="M41" s="178"/>
      <c r="N41" s="423"/>
      <c r="O41" s="796"/>
      <c r="P41" s="184"/>
      <c r="Q41" s="420"/>
      <c r="R41" s="1271"/>
    </row>
    <row r="42" spans="2:18" s="11" customFormat="1" x14ac:dyDescent="0.2">
      <c r="B42" s="159">
        <f t="shared" si="0"/>
        <v>30</v>
      </c>
      <c r="C42" s="152" t="s">
        <v>936</v>
      </c>
      <c r="D42" s="124"/>
      <c r="E42" s="124"/>
      <c r="F42" s="482"/>
      <c r="G42" s="124"/>
      <c r="H42" s="124"/>
      <c r="I42" s="482"/>
      <c r="J42" s="117"/>
      <c r="K42" s="496" t="s">
        <v>3</v>
      </c>
      <c r="L42" s="168"/>
      <c r="M42" s="168"/>
      <c r="N42" s="422"/>
      <c r="O42" s="796"/>
      <c r="P42" s="184"/>
      <c r="Q42" s="420"/>
      <c r="R42" s="1271"/>
    </row>
    <row r="43" spans="2:18" x14ac:dyDescent="0.2">
      <c r="B43" s="159">
        <f t="shared" si="0"/>
        <v>31</v>
      </c>
      <c r="C43" s="116" t="s">
        <v>682</v>
      </c>
      <c r="D43" s="180"/>
      <c r="E43" s="180"/>
      <c r="F43" s="1353"/>
      <c r="G43" s="180"/>
      <c r="H43" s="180"/>
      <c r="I43" s="1353"/>
      <c r="J43" s="117"/>
      <c r="K43" s="136" t="s">
        <v>5</v>
      </c>
      <c r="L43" s="168"/>
      <c r="M43" s="168"/>
      <c r="N43" s="422"/>
      <c r="O43" s="553"/>
      <c r="P43" s="280"/>
      <c r="Q43" s="437"/>
      <c r="R43" s="1271"/>
    </row>
    <row r="44" spans="2:18" x14ac:dyDescent="0.2">
      <c r="B44" s="159">
        <f t="shared" si="0"/>
        <v>32</v>
      </c>
      <c r="C44" s="116" t="s">
        <v>207</v>
      </c>
      <c r="D44" s="117"/>
      <c r="E44" s="117"/>
      <c r="F44" s="425"/>
      <c r="G44" s="117"/>
      <c r="H44" s="117"/>
      <c r="I44" s="425"/>
      <c r="J44" s="117"/>
      <c r="K44" s="136" t="s">
        <v>6</v>
      </c>
      <c r="L44" s="177"/>
      <c r="M44" s="177"/>
      <c r="N44" s="422"/>
      <c r="O44" s="553"/>
      <c r="P44" s="280"/>
      <c r="Q44" s="437"/>
      <c r="R44" s="1271"/>
    </row>
    <row r="45" spans="2:18" x14ac:dyDescent="0.2">
      <c r="B45" s="159">
        <f t="shared" si="0"/>
        <v>33</v>
      </c>
      <c r="C45" s="494" t="s">
        <v>208</v>
      </c>
      <c r="D45" s="117">
        <v>81</v>
      </c>
      <c r="E45" s="117">
        <v>13966</v>
      </c>
      <c r="F45" s="425">
        <f>D45+E45</f>
        <v>14047</v>
      </c>
      <c r="G45" s="117">
        <v>81</v>
      </c>
      <c r="H45" s="117">
        <v>13966</v>
      </c>
      <c r="I45" s="425">
        <f>G45+H45</f>
        <v>14047</v>
      </c>
      <c r="J45" s="117">
        <f t="shared" si="4"/>
        <v>100</v>
      </c>
      <c r="K45" s="136" t="s">
        <v>7</v>
      </c>
      <c r="L45" s="177"/>
      <c r="M45" s="177"/>
      <c r="N45" s="422"/>
      <c r="O45" s="553"/>
      <c r="P45" s="280"/>
      <c r="Q45" s="437"/>
      <c r="R45" s="1271"/>
    </row>
    <row r="46" spans="2:18" x14ac:dyDescent="0.2">
      <c r="B46" s="159">
        <f t="shared" si="0"/>
        <v>34</v>
      </c>
      <c r="C46" s="494" t="s">
        <v>935</v>
      </c>
      <c r="D46" s="117"/>
      <c r="E46" s="117"/>
      <c r="F46" s="425"/>
      <c r="G46" s="117"/>
      <c r="H46" s="117"/>
      <c r="I46" s="425">
        <f t="shared" ref="I46:I51" si="13">G46+H46</f>
        <v>0</v>
      </c>
      <c r="J46" s="117"/>
      <c r="K46" s="136"/>
      <c r="L46" s="177"/>
      <c r="M46" s="177"/>
      <c r="N46" s="422"/>
      <c r="O46" s="553"/>
      <c r="P46" s="280"/>
      <c r="Q46" s="437"/>
      <c r="R46" s="1271"/>
    </row>
    <row r="47" spans="2:18" x14ac:dyDescent="0.2">
      <c r="B47" s="159">
        <f t="shared" si="0"/>
        <v>35</v>
      </c>
      <c r="C47" s="117" t="s">
        <v>683</v>
      </c>
      <c r="D47" s="117"/>
      <c r="E47" s="117"/>
      <c r="F47" s="425"/>
      <c r="G47" s="117"/>
      <c r="H47" s="117"/>
      <c r="I47" s="425">
        <f t="shared" si="13"/>
        <v>0</v>
      </c>
      <c r="J47" s="117"/>
      <c r="K47" s="136" t="s">
        <v>8</v>
      </c>
      <c r="L47" s="168"/>
      <c r="M47" s="168"/>
      <c r="N47" s="419"/>
      <c r="O47" s="553"/>
      <c r="P47" s="280"/>
      <c r="Q47" s="437"/>
      <c r="R47" s="1271"/>
    </row>
    <row r="48" spans="2:18" x14ac:dyDescent="0.2">
      <c r="B48" s="159">
        <f t="shared" si="0"/>
        <v>36</v>
      </c>
      <c r="C48" s="117" t="s">
        <v>684</v>
      </c>
      <c r="D48" s="124"/>
      <c r="E48" s="124"/>
      <c r="F48" s="482"/>
      <c r="G48" s="124"/>
      <c r="H48" s="124"/>
      <c r="I48" s="425">
        <f t="shared" si="13"/>
        <v>0</v>
      </c>
      <c r="J48" s="117"/>
      <c r="K48" s="136" t="s">
        <v>9</v>
      </c>
      <c r="L48" s="168"/>
      <c r="M48" s="168"/>
      <c r="N48" s="419"/>
      <c r="O48" s="553"/>
      <c r="P48" s="280"/>
      <c r="Q48" s="437"/>
      <c r="R48" s="1271"/>
    </row>
    <row r="49" spans="2:18" x14ac:dyDescent="0.2">
      <c r="B49" s="159">
        <f t="shared" si="0"/>
        <v>37</v>
      </c>
      <c r="C49" s="116" t="s">
        <v>211</v>
      </c>
      <c r="D49" s="117"/>
      <c r="E49" s="117"/>
      <c r="F49" s="425"/>
      <c r="G49" s="117"/>
      <c r="H49" s="117"/>
      <c r="I49" s="425">
        <f t="shared" si="13"/>
        <v>0</v>
      </c>
      <c r="J49" s="117"/>
      <c r="K49" s="136" t="s">
        <v>10</v>
      </c>
      <c r="L49" s="164"/>
      <c r="M49" s="164"/>
      <c r="N49" s="419"/>
      <c r="O49" s="553"/>
      <c r="P49" s="280"/>
      <c r="Q49" s="437"/>
      <c r="R49" s="1271"/>
    </row>
    <row r="50" spans="2:18" x14ac:dyDescent="0.2">
      <c r="B50" s="159">
        <f t="shared" si="0"/>
        <v>38</v>
      </c>
      <c r="C50" s="494" t="s">
        <v>212</v>
      </c>
      <c r="D50" s="275">
        <f>L26-(D34+D45)</f>
        <v>117249</v>
      </c>
      <c r="E50" s="275">
        <f>M26-(E34+E45)</f>
        <v>159612</v>
      </c>
      <c r="F50" s="436">
        <f>N26-(F34+F45)</f>
        <v>276861</v>
      </c>
      <c r="G50" s="275">
        <v>120327</v>
      </c>
      <c r="H50" s="275">
        <v>163801</v>
      </c>
      <c r="I50" s="425">
        <f t="shared" si="13"/>
        <v>284128</v>
      </c>
      <c r="J50" s="117">
        <f t="shared" si="4"/>
        <v>102.62478283326291</v>
      </c>
      <c r="K50" s="136" t="s">
        <v>11</v>
      </c>
      <c r="L50" s="164"/>
      <c r="M50" s="164"/>
      <c r="N50" s="419"/>
      <c r="O50" s="553"/>
      <c r="P50" s="280"/>
      <c r="Q50" s="437"/>
      <c r="R50" s="1271"/>
    </row>
    <row r="51" spans="2:18" x14ac:dyDescent="0.2">
      <c r="B51" s="159">
        <f t="shared" si="0"/>
        <v>39</v>
      </c>
      <c r="C51" s="494" t="s">
        <v>213</v>
      </c>
      <c r="D51" s="117">
        <f>L35-D35</f>
        <v>2833</v>
      </c>
      <c r="E51" s="117">
        <f>M35-E35</f>
        <v>6282</v>
      </c>
      <c r="F51" s="425">
        <f>N35-F35</f>
        <v>9115</v>
      </c>
      <c r="G51" s="117">
        <v>1085</v>
      </c>
      <c r="H51" s="117">
        <v>549</v>
      </c>
      <c r="I51" s="425">
        <f t="shared" si="13"/>
        <v>1634</v>
      </c>
      <c r="J51" s="117">
        <f t="shared" si="4"/>
        <v>17.926494788809656</v>
      </c>
      <c r="K51" s="136" t="s">
        <v>12</v>
      </c>
      <c r="L51" s="164"/>
      <c r="M51" s="164"/>
      <c r="N51" s="419"/>
      <c r="O51" s="553"/>
      <c r="P51" s="280"/>
      <c r="Q51" s="437"/>
      <c r="R51" s="1271"/>
    </row>
    <row r="52" spans="2:18" x14ac:dyDescent="0.2">
      <c r="B52" s="159">
        <f t="shared" si="0"/>
        <v>40</v>
      </c>
      <c r="C52" s="116" t="s">
        <v>1</v>
      </c>
      <c r="D52" s="117"/>
      <c r="E52" s="117"/>
      <c r="F52" s="425"/>
      <c r="G52" s="117"/>
      <c r="H52" s="117"/>
      <c r="I52" s="425"/>
      <c r="J52" s="117"/>
      <c r="K52" s="136" t="s">
        <v>13</v>
      </c>
      <c r="L52" s="164"/>
      <c r="M52" s="164"/>
      <c r="N52" s="419"/>
      <c r="O52" s="553"/>
      <c r="P52" s="280"/>
      <c r="Q52" s="437"/>
      <c r="R52" s="1271"/>
    </row>
    <row r="53" spans="2:18" x14ac:dyDescent="0.2">
      <c r="B53" s="159">
        <f t="shared" si="0"/>
        <v>41</v>
      </c>
      <c r="C53" s="116"/>
      <c r="D53" s="117"/>
      <c r="E53" s="117"/>
      <c r="F53" s="425"/>
      <c r="G53" s="117"/>
      <c r="H53" s="117"/>
      <c r="I53" s="425"/>
      <c r="J53" s="117"/>
      <c r="K53" s="136" t="s">
        <v>14</v>
      </c>
      <c r="L53" s="164"/>
      <c r="M53" s="164"/>
      <c r="N53" s="419"/>
      <c r="O53" s="553"/>
      <c r="P53" s="280"/>
      <c r="Q53" s="437"/>
      <c r="R53" s="1271"/>
    </row>
    <row r="54" spans="2:18" x14ac:dyDescent="0.2">
      <c r="B54" s="159">
        <f t="shared" si="0"/>
        <v>42</v>
      </c>
      <c r="C54" s="116"/>
      <c r="D54" s="117"/>
      <c r="E54" s="117"/>
      <c r="F54" s="425"/>
      <c r="G54" s="117"/>
      <c r="H54" s="117"/>
      <c r="I54" s="425"/>
      <c r="J54" s="117"/>
      <c r="K54" s="136" t="s">
        <v>15</v>
      </c>
      <c r="L54" s="164"/>
      <c r="M54" s="164"/>
      <c r="N54" s="419"/>
      <c r="O54" s="553"/>
      <c r="P54" s="280"/>
      <c r="Q54" s="437"/>
      <c r="R54" s="1271"/>
    </row>
    <row r="55" spans="2:18" ht="12" thickBot="1" x14ac:dyDescent="0.25">
      <c r="B55" s="159">
        <f t="shared" si="0"/>
        <v>43</v>
      </c>
      <c r="C55" s="173" t="s">
        <v>447</v>
      </c>
      <c r="D55" s="124">
        <f>SUM(D41:D53)</f>
        <v>120163</v>
      </c>
      <c r="E55" s="124">
        <f>SUM(E41:E53)</f>
        <v>179860</v>
      </c>
      <c r="F55" s="1225">
        <f>SUM(F41:F53)</f>
        <v>300023</v>
      </c>
      <c r="G55" s="124">
        <f>SUM(G41:G53)</f>
        <v>121493</v>
      </c>
      <c r="H55" s="124">
        <f t="shared" ref="H55:I55" si="14">SUM(H41:H53)</f>
        <v>178316</v>
      </c>
      <c r="I55" s="482">
        <f t="shared" si="14"/>
        <v>299809</v>
      </c>
      <c r="J55" s="1357">
        <f t="shared" si="4"/>
        <v>99.92867213513631</v>
      </c>
      <c r="K55" s="137" t="s">
        <v>440</v>
      </c>
      <c r="L55" s="168">
        <f>SUM(L41:L54)</f>
        <v>0</v>
      </c>
      <c r="M55" s="168">
        <f>SUM(M41:M54)</f>
        <v>0</v>
      </c>
      <c r="N55" s="422">
        <f>SUM(N41:N54)</f>
        <v>0</v>
      </c>
      <c r="O55" s="168">
        <f t="shared" ref="O55:Q55" si="15">SUM(O41:O54)</f>
        <v>0</v>
      </c>
      <c r="P55" s="168">
        <f t="shared" si="15"/>
        <v>0</v>
      </c>
      <c r="Q55" s="422">
        <f t="shared" si="15"/>
        <v>0</v>
      </c>
      <c r="R55" s="1279"/>
    </row>
    <row r="56" spans="2:18" ht="12" thickBot="1" x14ac:dyDescent="0.25">
      <c r="B56" s="846">
        <f t="shared" si="0"/>
        <v>44</v>
      </c>
      <c r="C56" s="1008" t="s">
        <v>442</v>
      </c>
      <c r="D56" s="294">
        <f>D36+D55</f>
        <v>123025</v>
      </c>
      <c r="E56" s="973">
        <f>E36+E55</f>
        <v>180699</v>
      </c>
      <c r="F56" s="842">
        <f>F36+F55</f>
        <v>303724</v>
      </c>
      <c r="G56" s="294">
        <f>G36+G55</f>
        <v>124354</v>
      </c>
      <c r="H56" s="1206">
        <f t="shared" ref="H56:I56" si="16">H36+H55</f>
        <v>179153</v>
      </c>
      <c r="I56" s="974">
        <f t="shared" si="16"/>
        <v>303507</v>
      </c>
      <c r="J56" s="1206">
        <f t="shared" si="4"/>
        <v>99.928553555201432</v>
      </c>
      <c r="K56" s="1008" t="s">
        <v>441</v>
      </c>
      <c r="L56" s="974">
        <f>L36+L55</f>
        <v>123025</v>
      </c>
      <c r="M56" s="974">
        <f>M36+M55</f>
        <v>180699</v>
      </c>
      <c r="N56" s="843">
        <f>N36+N55</f>
        <v>303724</v>
      </c>
      <c r="O56" s="974">
        <f t="shared" ref="O56:Q56" si="17">O36+O55</f>
        <v>119000</v>
      </c>
      <c r="P56" s="974">
        <f t="shared" si="17"/>
        <v>166980</v>
      </c>
      <c r="Q56" s="974">
        <f t="shared" si="17"/>
        <v>285980</v>
      </c>
      <c r="R56" s="1272">
        <f t="shared" si="3"/>
        <v>94.157853840987215</v>
      </c>
    </row>
    <row r="57" spans="2:18" x14ac:dyDescent="0.2">
      <c r="C57" s="178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R57" s="1288"/>
    </row>
  </sheetData>
  <sheetProtection selectLockedCells="1" selectUnlockedCells="1"/>
  <mergeCells count="21">
    <mergeCell ref="C8:R8"/>
    <mergeCell ref="O10:R10"/>
    <mergeCell ref="O11:Q11"/>
    <mergeCell ref="R11:R12"/>
    <mergeCell ref="B9:R9"/>
    <mergeCell ref="B10:B12"/>
    <mergeCell ref="C10:C11"/>
    <mergeCell ref="D11:F11"/>
    <mergeCell ref="L11:N11"/>
    <mergeCell ref="L10:N10"/>
    <mergeCell ref="K10:K11"/>
    <mergeCell ref="D10:F10"/>
    <mergeCell ref="G10:J10"/>
    <mergeCell ref="G11:I11"/>
    <mergeCell ref="J11:J12"/>
    <mergeCell ref="D1:R1"/>
    <mergeCell ref="C4:R4"/>
    <mergeCell ref="C5:R5"/>
    <mergeCell ref="C7:R7"/>
    <mergeCell ref="C6:R6"/>
    <mergeCell ref="C3:R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6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05" customWidth="1"/>
    <col min="2" max="2" width="33" style="114" customWidth="1"/>
    <col min="3" max="3" width="10.7109375" style="116" customWidth="1"/>
    <col min="4" max="4" width="12.28515625" style="116" customWidth="1"/>
    <col min="5" max="5" width="9.140625" style="116"/>
    <col min="6" max="6" width="11.28515625" style="116" customWidth="1"/>
    <col min="7" max="7" width="11.140625" style="116" customWidth="1"/>
    <col min="8" max="10" width="10" style="116" customWidth="1"/>
    <col min="11" max="11" width="11.28515625" style="116" customWidth="1"/>
    <col min="12" max="12" width="7.28515625" style="287" hidden="1" customWidth="1"/>
    <col min="13" max="13" width="8.5703125" style="287" hidden="1" customWidth="1"/>
    <col min="14" max="14" width="7.5703125" style="287" hidden="1" customWidth="1"/>
    <col min="15" max="15" width="8.28515625" style="287" hidden="1" customWidth="1"/>
    <col min="16" max="16" width="5.7109375" style="287" hidden="1" customWidth="1"/>
    <col min="17" max="17" width="8" style="287" hidden="1" customWidth="1"/>
    <col min="18" max="18" width="6.140625" style="287" hidden="1" customWidth="1"/>
    <col min="19" max="19" width="4.42578125" style="525" customWidth="1"/>
    <col min="20" max="16384" width="9.140625" style="80"/>
  </cols>
  <sheetData>
    <row r="1" spans="1:19" ht="17.25" customHeight="1" x14ac:dyDescent="0.2">
      <c r="B1" s="1991" t="s">
        <v>292</v>
      </c>
      <c r="C1" s="1991"/>
      <c r="D1" s="1991"/>
      <c r="E1" s="1991"/>
      <c r="F1" s="1991"/>
      <c r="G1" s="1991"/>
      <c r="H1" s="1991"/>
      <c r="I1" s="1991"/>
      <c r="J1" s="1991"/>
      <c r="K1" s="2000"/>
      <c r="L1" s="1974"/>
      <c r="M1" s="1974"/>
      <c r="N1" s="1974"/>
      <c r="O1" s="1974"/>
      <c r="P1" s="1974"/>
      <c r="Q1" s="1974"/>
      <c r="R1" s="1974"/>
    </row>
    <row r="2" spans="1:19" ht="13.5" customHeight="1" x14ac:dyDescent="0.2">
      <c r="A2" s="2002" t="s">
        <v>86</v>
      </c>
      <c r="B2" s="2002"/>
      <c r="C2" s="2002"/>
      <c r="D2" s="2002"/>
      <c r="E2" s="2002"/>
      <c r="F2" s="2002"/>
      <c r="G2" s="2002"/>
      <c r="H2" s="2002"/>
      <c r="I2" s="2002"/>
      <c r="J2" s="2002"/>
      <c r="K2" s="2002"/>
      <c r="L2" s="80"/>
      <c r="M2" s="80"/>
      <c r="N2" s="80"/>
      <c r="O2" s="80"/>
      <c r="P2" s="80"/>
      <c r="Q2" s="80"/>
      <c r="R2" s="80"/>
      <c r="S2" s="513"/>
    </row>
    <row r="3" spans="1:19" s="82" customFormat="1" ht="12" customHeight="1" x14ac:dyDescent="0.2">
      <c r="A3" s="1823" t="s">
        <v>291</v>
      </c>
      <c r="B3" s="2001"/>
      <c r="C3" s="2001"/>
      <c r="D3" s="2001"/>
      <c r="E3" s="2001"/>
      <c r="F3" s="2001"/>
      <c r="G3" s="2001"/>
      <c r="H3" s="2001"/>
      <c r="I3" s="2001"/>
      <c r="J3" s="2001"/>
      <c r="K3" s="2001"/>
      <c r="L3" s="1974"/>
      <c r="M3" s="1974"/>
      <c r="N3" s="1974"/>
      <c r="O3" s="1974"/>
      <c r="P3" s="1974"/>
      <c r="Q3" s="1974"/>
      <c r="R3" s="1974"/>
      <c r="S3" s="526"/>
    </row>
    <row r="4" spans="1:19" s="82" customFormat="1" ht="23.25" customHeight="1" thickBot="1" x14ac:dyDescent="0.25">
      <c r="A4" s="206"/>
      <c r="B4" s="207"/>
      <c r="C4" s="208"/>
      <c r="D4" s="208"/>
      <c r="E4" s="208"/>
      <c r="F4" s="208"/>
      <c r="G4" s="2003" t="s">
        <v>302</v>
      </c>
      <c r="H4" s="2003"/>
      <c r="I4" s="2003"/>
      <c r="J4" s="2003"/>
      <c r="K4" s="2003"/>
      <c r="L4" s="322"/>
      <c r="M4" s="322"/>
      <c r="N4" s="322"/>
      <c r="O4" s="322"/>
      <c r="P4" s="322"/>
      <c r="Q4" s="322"/>
      <c r="R4" s="322"/>
      <c r="S4" s="526"/>
    </row>
    <row r="5" spans="1:19" s="115" customFormat="1" ht="17.25" customHeight="1" thickBot="1" x14ac:dyDescent="0.25">
      <c r="A5" s="2007" t="s">
        <v>468</v>
      </c>
      <c r="B5" s="2005" t="s">
        <v>527</v>
      </c>
      <c r="C5" s="1986" t="s">
        <v>57</v>
      </c>
      <c r="D5" s="1986"/>
      <c r="E5" s="1986" t="s">
        <v>58</v>
      </c>
      <c r="F5" s="1986"/>
      <c r="G5" s="1986" t="s">
        <v>59</v>
      </c>
      <c r="H5" s="1986"/>
      <c r="I5" s="2008" t="s">
        <v>60</v>
      </c>
      <c r="J5" s="1990"/>
      <c r="K5" s="209" t="s">
        <v>469</v>
      </c>
      <c r="L5" s="286"/>
      <c r="S5" s="513"/>
    </row>
    <row r="6" spans="1:19" s="115" customFormat="1" ht="17.25" customHeight="1" thickBot="1" x14ac:dyDescent="0.25">
      <c r="A6" s="2007"/>
      <c r="B6" s="2005"/>
      <c r="C6" s="1826" t="s">
        <v>290</v>
      </c>
      <c r="D6" s="1995"/>
      <c r="E6" s="1995"/>
      <c r="F6" s="1995"/>
      <c r="G6" s="1995"/>
      <c r="H6" s="1995"/>
      <c r="I6" s="1995"/>
      <c r="J6" s="1995"/>
      <c r="K6" s="2006"/>
      <c r="L6" s="286"/>
      <c r="S6" s="513"/>
    </row>
    <row r="7" spans="1:19" ht="40.15" customHeight="1" thickBot="1" x14ac:dyDescent="0.25">
      <c r="A7" s="2007"/>
      <c r="B7" s="2005"/>
      <c r="C7" s="1973" t="s">
        <v>451</v>
      </c>
      <c r="D7" s="1973"/>
      <c r="E7" s="1973" t="s">
        <v>452</v>
      </c>
      <c r="F7" s="1973"/>
      <c r="G7" s="1973" t="s">
        <v>22</v>
      </c>
      <c r="H7" s="1973"/>
      <c r="I7" s="1975" t="s">
        <v>253</v>
      </c>
      <c r="J7" s="1976"/>
      <c r="K7" s="2004" t="s">
        <v>528</v>
      </c>
      <c r="M7" s="80"/>
      <c r="N7" s="80"/>
      <c r="O7" s="80"/>
      <c r="P7" s="80"/>
      <c r="Q7" s="80"/>
      <c r="R7" s="80"/>
      <c r="S7" s="513"/>
    </row>
    <row r="8" spans="1:19" ht="50.25" customHeight="1" thickBot="1" x14ac:dyDescent="0.25">
      <c r="A8" s="2007"/>
      <c r="B8" s="2005"/>
      <c r="C8" s="1973"/>
      <c r="D8" s="1973"/>
      <c r="E8" s="1973"/>
      <c r="F8" s="1973"/>
      <c r="G8" s="1973"/>
      <c r="H8" s="1973"/>
      <c r="I8" s="1977"/>
      <c r="J8" s="1978"/>
      <c r="K8" s="2004"/>
      <c r="M8" s="80"/>
      <c r="N8" s="80"/>
      <c r="O8" s="80"/>
      <c r="P8" s="80"/>
      <c r="Q8" s="80"/>
      <c r="R8" s="80"/>
      <c r="S8" s="513"/>
    </row>
    <row r="9" spans="1:19" ht="33" customHeight="1" thickBot="1" x14ac:dyDescent="0.25">
      <c r="A9" s="2007"/>
      <c r="B9" s="2005"/>
      <c r="C9" s="210" t="s">
        <v>62</v>
      </c>
      <c r="D9" s="211" t="s">
        <v>63</v>
      </c>
      <c r="E9" s="210" t="s">
        <v>62</v>
      </c>
      <c r="F9" s="210" t="s">
        <v>63</v>
      </c>
      <c r="G9" s="210" t="s">
        <v>62</v>
      </c>
      <c r="H9" s="210" t="s">
        <v>63</v>
      </c>
      <c r="I9" s="210" t="s">
        <v>62</v>
      </c>
      <c r="J9" s="210" t="s">
        <v>63</v>
      </c>
      <c r="K9" s="2004"/>
      <c r="M9" s="80"/>
      <c r="N9" s="80"/>
      <c r="O9" s="80"/>
      <c r="P9" s="80"/>
      <c r="Q9" s="80"/>
      <c r="R9" s="80"/>
      <c r="S9" s="513"/>
    </row>
    <row r="10" spans="1:19" ht="17.25" customHeight="1" x14ac:dyDescent="0.2">
      <c r="A10" s="212" t="s">
        <v>478</v>
      </c>
      <c r="B10" s="213" t="s">
        <v>243</v>
      </c>
      <c r="C10" s="214">
        <v>1600</v>
      </c>
      <c r="E10" s="215"/>
      <c r="F10" s="216"/>
      <c r="G10" s="215"/>
      <c r="H10" s="480"/>
      <c r="I10" s="216"/>
      <c r="J10" s="216"/>
      <c r="K10" s="217">
        <f t="shared" ref="K10:K39" si="0">SUM(C10:J10)</f>
        <v>1600</v>
      </c>
      <c r="M10" s="80"/>
      <c r="N10" s="80"/>
      <c r="O10" s="80"/>
      <c r="P10" s="80"/>
      <c r="Q10" s="80"/>
      <c r="R10" s="80"/>
      <c r="S10" s="513"/>
    </row>
    <row r="11" spans="1:19" s="81" customFormat="1" ht="17.25" customHeight="1" x14ac:dyDescent="0.2">
      <c r="A11" s="212" t="s">
        <v>486</v>
      </c>
      <c r="B11" s="476" t="s">
        <v>244</v>
      </c>
      <c r="C11" s="477">
        <v>33533</v>
      </c>
      <c r="D11" s="478"/>
      <c r="E11" s="536">
        <f>'közhatalmi bevételek'!D26</f>
        <v>1500</v>
      </c>
      <c r="F11" s="218"/>
      <c r="G11" s="219"/>
      <c r="H11" s="481"/>
      <c r="I11" s="218"/>
      <c r="J11" s="218"/>
      <c r="K11" s="217">
        <f t="shared" si="0"/>
        <v>35033</v>
      </c>
      <c r="L11" s="275"/>
      <c r="S11" s="527"/>
    </row>
    <row r="12" spans="1:19" ht="17.25" customHeight="1" x14ac:dyDescent="0.2">
      <c r="A12" s="212" t="s">
        <v>487</v>
      </c>
      <c r="B12" s="162" t="s">
        <v>245</v>
      </c>
      <c r="C12" s="136"/>
      <c r="D12" s="117">
        <v>53</v>
      </c>
      <c r="E12" s="118"/>
      <c r="F12" s="117"/>
      <c r="G12" s="118"/>
      <c r="H12" s="425"/>
      <c r="I12" s="117"/>
      <c r="J12" s="117"/>
      <c r="K12" s="217">
        <f t="shared" si="0"/>
        <v>53</v>
      </c>
      <c r="M12" s="80"/>
      <c r="N12" s="80"/>
      <c r="O12" s="80"/>
      <c r="P12" s="80"/>
      <c r="Q12" s="80"/>
      <c r="R12" s="80"/>
      <c r="S12" s="513"/>
    </row>
    <row r="13" spans="1:19" ht="17.25" customHeight="1" x14ac:dyDescent="0.2">
      <c r="A13" s="212" t="s">
        <v>488</v>
      </c>
      <c r="B13" s="162" t="s">
        <v>246</v>
      </c>
      <c r="C13" s="136"/>
      <c r="D13" s="117">
        <v>391</v>
      </c>
      <c r="E13" s="118"/>
      <c r="F13" s="117"/>
      <c r="G13" s="118"/>
      <c r="H13" s="482"/>
      <c r="I13" s="220"/>
      <c r="J13" s="220"/>
      <c r="K13" s="217">
        <f t="shared" si="0"/>
        <v>391</v>
      </c>
      <c r="M13" s="80"/>
      <c r="N13" s="80"/>
      <c r="O13" s="80"/>
      <c r="P13" s="80"/>
      <c r="Q13" s="80"/>
      <c r="R13" s="80"/>
      <c r="S13" s="513"/>
    </row>
    <row r="14" spans="1:19" ht="17.25" customHeight="1" x14ac:dyDescent="0.2">
      <c r="A14" s="212" t="s">
        <v>489</v>
      </c>
      <c r="B14" s="162" t="s">
        <v>247</v>
      </c>
      <c r="C14" s="136"/>
      <c r="D14" s="117"/>
      <c r="E14" s="118"/>
      <c r="F14" s="117"/>
      <c r="G14" s="118"/>
      <c r="H14" s="482"/>
      <c r="I14" s="220"/>
      <c r="J14" s="220"/>
      <c r="K14" s="217">
        <f t="shared" si="0"/>
        <v>0</v>
      </c>
      <c r="M14" s="80"/>
      <c r="N14" s="80"/>
      <c r="O14" s="80"/>
      <c r="P14" s="80"/>
      <c r="Q14" s="80"/>
      <c r="R14" s="80"/>
      <c r="S14" s="513"/>
    </row>
    <row r="15" spans="1:19" ht="17.25" customHeight="1" x14ac:dyDescent="0.2">
      <c r="A15" s="212" t="s">
        <v>490</v>
      </c>
      <c r="B15" s="162" t="s">
        <v>248</v>
      </c>
      <c r="C15" s="136"/>
      <c r="D15" s="117">
        <v>20031</v>
      </c>
      <c r="E15" s="118"/>
      <c r="F15" s="117"/>
      <c r="G15" s="118"/>
      <c r="H15" s="482"/>
      <c r="I15" s="220"/>
      <c r="J15" s="220"/>
      <c r="K15" s="217">
        <f t="shared" si="0"/>
        <v>20031</v>
      </c>
      <c r="M15" s="80"/>
      <c r="N15" s="80"/>
      <c r="O15" s="80"/>
      <c r="P15" s="80"/>
      <c r="Q15" s="80"/>
      <c r="R15" s="80"/>
      <c r="S15" s="513"/>
    </row>
    <row r="16" spans="1:19" ht="17.25" customHeight="1" x14ac:dyDescent="0.2">
      <c r="A16" s="212" t="s">
        <v>491</v>
      </c>
      <c r="B16" s="162" t="s">
        <v>249</v>
      </c>
      <c r="C16" s="136">
        <v>3600</v>
      </c>
      <c r="D16" s="117">
        <v>8084</v>
      </c>
      <c r="E16" s="118"/>
      <c r="F16" s="117"/>
      <c r="G16" s="118"/>
      <c r="H16" s="482"/>
      <c r="I16" s="220"/>
      <c r="J16" s="220"/>
      <c r="K16" s="217">
        <f t="shared" si="0"/>
        <v>11684</v>
      </c>
      <c r="M16" s="80"/>
      <c r="N16" s="80"/>
      <c r="O16" s="80"/>
      <c r="P16" s="80"/>
      <c r="Q16" s="80"/>
      <c r="R16" s="80"/>
      <c r="S16" s="513"/>
    </row>
    <row r="17" spans="1:19" ht="17.25" customHeight="1" x14ac:dyDescent="0.2">
      <c r="A17" s="212" t="s">
        <v>492</v>
      </c>
      <c r="B17" s="162" t="s">
        <v>250</v>
      </c>
      <c r="C17" s="136"/>
      <c r="D17" s="117">
        <v>10160</v>
      </c>
      <c r="E17" s="118"/>
      <c r="F17" s="117"/>
      <c r="G17" s="118"/>
      <c r="H17" s="482"/>
      <c r="I17" s="220"/>
      <c r="J17" s="220"/>
      <c r="K17" s="217">
        <f t="shared" si="0"/>
        <v>10160</v>
      </c>
      <c r="M17" s="80"/>
      <c r="N17" s="80"/>
      <c r="O17" s="80"/>
      <c r="P17" s="80"/>
      <c r="Q17" s="80"/>
      <c r="R17" s="80"/>
      <c r="S17" s="513"/>
    </row>
    <row r="18" spans="1:19" ht="17.25" customHeight="1" x14ac:dyDescent="0.2">
      <c r="A18" s="212" t="s">
        <v>493</v>
      </c>
      <c r="B18" s="162" t="s">
        <v>251</v>
      </c>
      <c r="C18" s="136">
        <v>183</v>
      </c>
      <c r="D18" s="117"/>
      <c r="E18" s="118"/>
      <c r="F18" s="117"/>
      <c r="G18" s="118"/>
      <c r="H18" s="482"/>
      <c r="I18" s="220"/>
      <c r="J18" s="220"/>
      <c r="K18" s="217">
        <f t="shared" si="0"/>
        <v>183</v>
      </c>
      <c r="M18" s="80"/>
      <c r="N18" s="80"/>
      <c r="O18" s="80"/>
      <c r="P18" s="80"/>
      <c r="Q18" s="80"/>
      <c r="R18" s="80"/>
      <c r="S18" s="513"/>
    </row>
    <row r="19" spans="1:19" ht="17.25" customHeight="1" x14ac:dyDescent="0.2">
      <c r="A19" s="212" t="s">
        <v>529</v>
      </c>
      <c r="B19" s="165" t="s">
        <v>252</v>
      </c>
      <c r="C19" s="136">
        <v>1288</v>
      </c>
      <c r="D19" s="117">
        <v>2062</v>
      </c>
      <c r="E19" s="118"/>
      <c r="F19" s="117"/>
      <c r="G19" s="118" t="e">
        <f>'tám, végl. pe.átv  '!#REF!</f>
        <v>#REF!</v>
      </c>
      <c r="H19" s="425"/>
      <c r="J19" s="116">
        <v>0</v>
      </c>
      <c r="K19" s="217" t="e">
        <f>SUM(C19:J19)</f>
        <v>#REF!</v>
      </c>
      <c r="M19" s="80"/>
      <c r="N19" s="80"/>
      <c r="O19" s="80"/>
      <c r="P19" s="80"/>
      <c r="Q19" s="80"/>
      <c r="R19" s="80"/>
      <c r="S19" s="513"/>
    </row>
    <row r="20" spans="1:19" ht="17.25" customHeight="1" x14ac:dyDescent="0.2">
      <c r="A20" s="212" t="s">
        <v>530</v>
      </c>
      <c r="B20" s="162" t="s">
        <v>274</v>
      </c>
      <c r="C20" s="136">
        <v>25</v>
      </c>
      <c r="D20" s="117"/>
      <c r="E20" s="118"/>
      <c r="F20" s="117"/>
      <c r="G20" s="459">
        <v>447</v>
      </c>
      <c r="H20" s="483"/>
      <c r="I20" s="288"/>
      <c r="J20" s="288"/>
      <c r="K20" s="217">
        <f t="shared" si="0"/>
        <v>472</v>
      </c>
      <c r="M20" s="80"/>
      <c r="N20" s="80"/>
      <c r="O20" s="80"/>
      <c r="P20" s="80"/>
      <c r="Q20" s="80"/>
      <c r="R20" s="80"/>
      <c r="S20" s="513"/>
    </row>
    <row r="21" spans="1:19" s="82" customFormat="1" ht="17.25" customHeight="1" x14ac:dyDescent="0.2">
      <c r="A21" s="212" t="s">
        <v>531</v>
      </c>
      <c r="B21" s="162" t="s">
        <v>275</v>
      </c>
      <c r="C21" s="136"/>
      <c r="D21" s="117"/>
      <c r="E21" s="118"/>
      <c r="F21" s="117"/>
      <c r="G21" s="459">
        <f>'tám, végl. pe.átv  '!C11</f>
        <v>809771</v>
      </c>
      <c r="H21" s="436">
        <f>'tám, végl. pe.átv  '!D11</f>
        <v>127978</v>
      </c>
      <c r="I21" s="275"/>
      <c r="J21" s="275"/>
      <c r="K21" s="217">
        <f t="shared" si="0"/>
        <v>937749</v>
      </c>
      <c r="L21" s="288"/>
      <c r="S21" s="528"/>
    </row>
    <row r="22" spans="1:19" ht="17.25" customHeight="1" x14ac:dyDescent="0.2">
      <c r="A22" s="212" t="s">
        <v>532</v>
      </c>
      <c r="B22" s="162" t="s">
        <v>276</v>
      </c>
      <c r="C22" s="136"/>
      <c r="D22" s="117"/>
      <c r="E22" s="118"/>
      <c r="F22" s="117"/>
      <c r="G22" s="459">
        <f>'tám, végl. pe.átv  '!C17</f>
        <v>2272</v>
      </c>
      <c r="H22" s="483"/>
      <c r="I22" s="288"/>
      <c r="J22" s="288"/>
      <c r="K22" s="217">
        <f t="shared" si="0"/>
        <v>2272</v>
      </c>
      <c r="M22" s="80"/>
      <c r="N22" s="80"/>
      <c r="O22" s="80"/>
      <c r="P22" s="80"/>
      <c r="Q22" s="80"/>
      <c r="R22" s="80"/>
      <c r="S22" s="513"/>
    </row>
    <row r="23" spans="1:19" ht="17.25" customHeight="1" x14ac:dyDescent="0.2">
      <c r="A23" s="212" t="s">
        <v>533</v>
      </c>
      <c r="B23" s="162" t="s">
        <v>288</v>
      </c>
      <c r="C23" s="136"/>
      <c r="D23" s="117"/>
      <c r="E23" s="118"/>
      <c r="F23" s="117"/>
      <c r="G23" s="459"/>
      <c r="H23" s="436">
        <f>'tám, végl. pe.átv  '!D18</f>
        <v>1496</v>
      </c>
      <c r="I23" s="288"/>
      <c r="J23" s="288"/>
      <c r="K23" s="217">
        <f t="shared" si="0"/>
        <v>1496</v>
      </c>
      <c r="M23" s="80"/>
      <c r="N23" s="80"/>
      <c r="O23" s="80"/>
      <c r="P23" s="80"/>
      <c r="Q23" s="80"/>
      <c r="R23" s="80"/>
      <c r="S23" s="513"/>
    </row>
    <row r="24" spans="1:19" ht="17.25" customHeight="1" x14ac:dyDescent="0.2">
      <c r="A24" s="212" t="s">
        <v>534</v>
      </c>
      <c r="B24" s="162" t="s">
        <v>289</v>
      </c>
      <c r="C24" s="136"/>
      <c r="D24" s="117"/>
      <c r="E24" s="118"/>
      <c r="F24" s="117"/>
      <c r="G24" s="459">
        <v>1300</v>
      </c>
      <c r="H24" s="483"/>
      <c r="I24" s="288"/>
      <c r="J24" s="288"/>
      <c r="K24" s="217">
        <f t="shared" si="0"/>
        <v>1300</v>
      </c>
      <c r="M24" s="80"/>
      <c r="N24" s="80"/>
      <c r="O24" s="80"/>
      <c r="P24" s="80"/>
      <c r="Q24" s="80"/>
      <c r="R24" s="80"/>
      <c r="S24" s="513"/>
    </row>
    <row r="25" spans="1:19" ht="17.25" customHeight="1" x14ac:dyDescent="0.2">
      <c r="A25" s="212" t="s">
        <v>535</v>
      </c>
      <c r="B25" s="162" t="s">
        <v>277</v>
      </c>
      <c r="C25" s="136"/>
      <c r="D25" s="117"/>
      <c r="E25" s="118"/>
      <c r="F25" s="117"/>
      <c r="G25" s="459">
        <v>14203</v>
      </c>
      <c r="H25" s="436"/>
      <c r="I25" s="275"/>
      <c r="J25" s="275"/>
      <c r="K25" s="217">
        <f t="shared" si="0"/>
        <v>14203</v>
      </c>
      <c r="M25" s="80"/>
      <c r="N25" s="80"/>
      <c r="O25" s="80"/>
      <c r="P25" s="80"/>
      <c r="Q25" s="80"/>
      <c r="R25" s="80"/>
      <c r="S25" s="513"/>
    </row>
    <row r="26" spans="1:19" ht="17.25" customHeight="1" x14ac:dyDescent="0.2">
      <c r="A26" s="212" t="s">
        <v>536</v>
      </c>
      <c r="B26" s="162" t="s">
        <v>254</v>
      </c>
      <c r="C26" s="136"/>
      <c r="E26" s="118">
        <f>'közhatalmi bevételek'!D14</f>
        <v>504640</v>
      </c>
      <c r="F26" s="117">
        <f>'közhatalmi bevételek'!E14</f>
        <v>876260</v>
      </c>
      <c r="G26" s="118"/>
      <c r="H26" s="482"/>
      <c r="I26" s="220"/>
      <c r="J26" s="220"/>
      <c r="K26" s="217">
        <f t="shared" si="0"/>
        <v>1380900</v>
      </c>
      <c r="M26" s="80"/>
      <c r="N26" s="80"/>
      <c r="O26" s="80"/>
      <c r="P26" s="80"/>
      <c r="Q26" s="80"/>
      <c r="R26" s="80"/>
      <c r="S26" s="513"/>
    </row>
    <row r="27" spans="1:19" ht="17.25" customHeight="1" x14ac:dyDescent="0.2">
      <c r="A27" s="212" t="s">
        <v>538</v>
      </c>
      <c r="B27" s="165" t="s">
        <v>537</v>
      </c>
      <c r="C27" s="136"/>
      <c r="E27" s="118"/>
      <c r="F27" s="117"/>
      <c r="G27" s="118"/>
      <c r="H27" s="482"/>
      <c r="I27" s="220"/>
      <c r="J27" s="220"/>
      <c r="K27" s="217">
        <f t="shared" si="0"/>
        <v>0</v>
      </c>
      <c r="M27" s="80"/>
      <c r="N27" s="80"/>
      <c r="O27" s="80"/>
      <c r="P27" s="80"/>
      <c r="Q27" s="80"/>
      <c r="R27" s="80"/>
      <c r="S27" s="513"/>
    </row>
    <row r="28" spans="1:19" ht="17.25" customHeight="1" x14ac:dyDescent="0.2">
      <c r="A28" s="212" t="s">
        <v>539</v>
      </c>
      <c r="B28" s="162" t="s">
        <v>278</v>
      </c>
      <c r="C28" s="136"/>
      <c r="E28" s="118">
        <f>'közhatalmi bevételek'!D20</f>
        <v>19000</v>
      </c>
      <c r="F28" s="117"/>
      <c r="G28" s="118"/>
      <c r="H28" s="482"/>
      <c r="I28" s="220"/>
      <c r="J28" s="220"/>
      <c r="K28" s="217">
        <f t="shared" si="0"/>
        <v>19000</v>
      </c>
      <c r="M28" s="80"/>
      <c r="N28" s="80"/>
      <c r="O28" s="80"/>
      <c r="P28" s="80"/>
      <c r="Q28" s="80"/>
      <c r="R28" s="80"/>
      <c r="S28" s="513"/>
    </row>
    <row r="29" spans="1:19" s="82" customFormat="1" ht="17.25" customHeight="1" x14ac:dyDescent="0.2">
      <c r="A29" s="212" t="s">
        <v>540</v>
      </c>
      <c r="B29" s="162" t="s">
        <v>255</v>
      </c>
      <c r="C29" s="136"/>
      <c r="D29" s="119"/>
      <c r="E29" s="459">
        <f>'közhatalmi bevételek'!D16</f>
        <v>2076</v>
      </c>
      <c r="F29" s="117">
        <f>'közhatalmi bevételek'!E16</f>
        <v>0</v>
      </c>
      <c r="G29" s="136"/>
      <c r="H29" s="482"/>
      <c r="I29" s="220"/>
      <c r="J29" s="220"/>
      <c r="K29" s="217">
        <f t="shared" si="0"/>
        <v>2076</v>
      </c>
      <c r="L29" s="288"/>
      <c r="S29" s="528"/>
    </row>
    <row r="30" spans="1:19" ht="17.25" customHeight="1" x14ac:dyDescent="0.2">
      <c r="A30" s="212" t="s">
        <v>541</v>
      </c>
      <c r="B30" s="162" t="s">
        <v>256</v>
      </c>
      <c r="C30" s="136"/>
      <c r="D30" s="117"/>
      <c r="E30" s="459">
        <f>'közhatalmi bevételek'!D25</f>
        <v>0</v>
      </c>
      <c r="F30" s="117"/>
      <c r="G30" s="118"/>
      <c r="H30" s="482"/>
      <c r="I30" s="220"/>
      <c r="J30" s="220"/>
      <c r="K30" s="217">
        <f t="shared" si="0"/>
        <v>0</v>
      </c>
      <c r="M30" s="80"/>
      <c r="N30" s="80"/>
      <c r="O30" s="80"/>
      <c r="P30" s="80"/>
      <c r="Q30" s="80"/>
      <c r="R30" s="80"/>
      <c r="S30" s="513"/>
    </row>
    <row r="31" spans="1:19" ht="17.25" customHeight="1" x14ac:dyDescent="0.2">
      <c r="A31" s="212" t="s">
        <v>542</v>
      </c>
      <c r="B31" s="162" t="s">
        <v>257</v>
      </c>
      <c r="C31" s="136"/>
      <c r="D31" s="117"/>
      <c r="E31" s="118"/>
      <c r="F31" s="117"/>
      <c r="G31" s="118"/>
      <c r="H31" s="482"/>
      <c r="I31" s="220"/>
      <c r="J31" s="220"/>
      <c r="K31" s="217">
        <f t="shared" si="0"/>
        <v>0</v>
      </c>
      <c r="M31" s="80"/>
      <c r="N31" s="80"/>
      <c r="O31" s="80"/>
      <c r="P31" s="80"/>
      <c r="Q31" s="80"/>
      <c r="R31" s="80"/>
      <c r="S31" s="513"/>
    </row>
    <row r="32" spans="1:19" ht="17.25" customHeight="1" x14ac:dyDescent="0.2">
      <c r="A32" s="212" t="s">
        <v>544</v>
      </c>
      <c r="B32" s="162" t="s">
        <v>258</v>
      </c>
      <c r="C32" s="136">
        <v>140</v>
      </c>
      <c r="D32" s="117">
        <v>46</v>
      </c>
      <c r="E32" s="118"/>
      <c r="F32" s="117"/>
      <c r="G32" s="118"/>
      <c r="H32" s="482"/>
      <c r="I32" s="220"/>
      <c r="J32" s="220"/>
      <c r="K32" s="217">
        <f t="shared" si="0"/>
        <v>186</v>
      </c>
      <c r="M32" s="80"/>
      <c r="N32" s="80"/>
      <c r="O32" s="80"/>
      <c r="P32" s="80"/>
      <c r="Q32" s="80"/>
      <c r="R32" s="80"/>
      <c r="S32" s="513"/>
    </row>
    <row r="33" spans="1:19" ht="17.25" customHeight="1" x14ac:dyDescent="0.2">
      <c r="A33" s="212" t="s">
        <v>545</v>
      </c>
      <c r="B33" s="213" t="s">
        <v>259</v>
      </c>
      <c r="C33" s="221"/>
      <c r="D33" s="216"/>
      <c r="E33" s="215"/>
      <c r="F33" s="216"/>
      <c r="G33" s="460">
        <v>5065</v>
      </c>
      <c r="H33" s="482"/>
      <c r="I33" s="220"/>
      <c r="J33" s="220"/>
      <c r="K33" s="217">
        <f t="shared" si="0"/>
        <v>5065</v>
      </c>
      <c r="M33" s="80"/>
      <c r="N33" s="80"/>
      <c r="O33" s="80"/>
      <c r="P33" s="80"/>
      <c r="Q33" s="80"/>
      <c r="R33" s="80"/>
      <c r="S33" s="513"/>
    </row>
    <row r="34" spans="1:19" ht="17.25" customHeight="1" x14ac:dyDescent="0.2">
      <c r="A34" s="212" t="s">
        <v>563</v>
      </c>
      <c r="B34" s="213" t="s">
        <v>260</v>
      </c>
      <c r="C34" s="221"/>
      <c r="D34" s="216"/>
      <c r="E34" s="215"/>
      <c r="F34" s="216"/>
      <c r="G34" s="460">
        <v>0</v>
      </c>
      <c r="H34" s="482"/>
      <c r="I34" s="220"/>
      <c r="J34" s="220"/>
      <c r="K34" s="217">
        <f t="shared" si="0"/>
        <v>0</v>
      </c>
      <c r="M34" s="80"/>
      <c r="N34" s="80"/>
      <c r="O34" s="80"/>
      <c r="P34" s="80"/>
      <c r="Q34" s="80"/>
      <c r="R34" s="80"/>
      <c r="S34" s="513"/>
    </row>
    <row r="35" spans="1:19" ht="17.25" customHeight="1" x14ac:dyDescent="0.2">
      <c r="A35" s="212" t="s">
        <v>564</v>
      </c>
      <c r="B35" s="213" t="s">
        <v>261</v>
      </c>
      <c r="C35" s="221"/>
      <c r="D35" s="216"/>
      <c r="E35" s="215"/>
      <c r="F35" s="216"/>
      <c r="G35" s="460">
        <v>455</v>
      </c>
      <c r="H35" s="482"/>
      <c r="I35" s="220"/>
      <c r="J35" s="220"/>
      <c r="K35" s="217">
        <f t="shared" si="0"/>
        <v>455</v>
      </c>
      <c r="M35" s="80"/>
      <c r="N35" s="80"/>
      <c r="O35" s="80"/>
      <c r="P35" s="80"/>
      <c r="Q35" s="80"/>
      <c r="R35" s="80"/>
      <c r="S35" s="513"/>
    </row>
    <row r="36" spans="1:19" ht="17.25" customHeight="1" x14ac:dyDescent="0.2">
      <c r="A36" s="212" t="s">
        <v>565</v>
      </c>
      <c r="B36" s="213" t="s">
        <v>548</v>
      </c>
      <c r="C36" s="221"/>
      <c r="D36" s="216"/>
      <c r="E36" s="215"/>
      <c r="F36" s="216"/>
      <c r="G36" s="460">
        <v>500</v>
      </c>
      <c r="H36" s="482"/>
      <c r="I36" s="220"/>
      <c r="J36" s="220"/>
      <c r="K36" s="217">
        <f t="shared" si="0"/>
        <v>500</v>
      </c>
      <c r="M36" s="80"/>
      <c r="N36" s="80"/>
      <c r="O36" s="80"/>
      <c r="P36" s="80"/>
      <c r="Q36" s="80"/>
      <c r="R36" s="80"/>
      <c r="S36" s="513"/>
    </row>
    <row r="37" spans="1:19" ht="17.25" customHeight="1" x14ac:dyDescent="0.2">
      <c r="A37" s="212" t="s">
        <v>566</v>
      </c>
      <c r="B37" s="213" t="s">
        <v>262</v>
      </c>
      <c r="C37" s="221"/>
      <c r="D37" s="216"/>
      <c r="E37" s="215"/>
      <c r="F37" s="216"/>
      <c r="G37" s="460">
        <v>2032</v>
      </c>
      <c r="H37" s="482"/>
      <c r="I37" s="220"/>
      <c r="J37" s="220"/>
      <c r="K37" s="217">
        <f t="shared" si="0"/>
        <v>2032</v>
      </c>
      <c r="M37" s="80"/>
      <c r="N37" s="80"/>
      <c r="O37" s="80"/>
      <c r="P37" s="80"/>
      <c r="Q37" s="80"/>
      <c r="R37" s="80"/>
      <c r="S37" s="513"/>
    </row>
    <row r="38" spans="1:19" ht="17.25" customHeight="1" x14ac:dyDescent="0.2">
      <c r="A38" s="212" t="s">
        <v>567</v>
      </c>
      <c r="B38" s="213" t="s">
        <v>263</v>
      </c>
      <c r="C38" s="221"/>
      <c r="D38" s="462">
        <v>2286</v>
      </c>
      <c r="E38" s="221"/>
      <c r="F38" s="216"/>
      <c r="G38" s="461"/>
      <c r="H38" s="425"/>
      <c r="K38" s="217">
        <f t="shared" si="0"/>
        <v>2286</v>
      </c>
      <c r="M38" s="80"/>
      <c r="N38" s="80"/>
      <c r="O38" s="80"/>
      <c r="P38" s="80"/>
      <c r="Q38" s="80"/>
      <c r="R38" s="80"/>
      <c r="S38" s="513"/>
    </row>
    <row r="39" spans="1:19" ht="17.25" customHeight="1" thickBot="1" x14ac:dyDescent="0.25">
      <c r="A39" s="212" t="s">
        <v>568</v>
      </c>
      <c r="B39" s="213" t="s">
        <v>264</v>
      </c>
      <c r="C39" s="221"/>
      <c r="D39" s="216"/>
      <c r="E39" s="215"/>
      <c r="F39" s="216"/>
      <c r="G39" s="215"/>
      <c r="H39" s="482"/>
      <c r="I39" s="220"/>
      <c r="J39" s="220"/>
      <c r="K39" s="217">
        <f t="shared" si="0"/>
        <v>0</v>
      </c>
      <c r="M39" s="80"/>
      <c r="N39" s="80"/>
      <c r="O39" s="80"/>
      <c r="P39" s="80"/>
      <c r="Q39" s="80"/>
      <c r="R39" s="80"/>
      <c r="S39" s="513"/>
    </row>
    <row r="40" spans="1:19" ht="17.25" customHeight="1" thickBot="1" x14ac:dyDescent="0.25">
      <c r="A40" s="1967" t="s">
        <v>572</v>
      </c>
      <c r="B40" s="1968"/>
      <c r="C40" s="332">
        <f>SUM(C10:C39)</f>
        <v>40369</v>
      </c>
      <c r="D40" s="332">
        <f>SUM(D10:D39)</f>
        <v>43113</v>
      </c>
      <c r="E40" s="500">
        <f>SUM(E10:E39)</f>
        <v>527216</v>
      </c>
      <c r="F40" s="501">
        <f>SUM(F10:F39)</f>
        <v>876260</v>
      </c>
      <c r="G40" s="332" t="e">
        <f>SUM(G10:G39)</f>
        <v>#REF!</v>
      </c>
      <c r="H40" s="484">
        <f>SUM(H12:H39)</f>
        <v>129474</v>
      </c>
      <c r="I40" s="484">
        <f>SUM(I12:I39)</f>
        <v>0</v>
      </c>
      <c r="J40" s="484">
        <f>SUM(J12:J39)</f>
        <v>0</v>
      </c>
      <c r="K40" s="333" t="e">
        <f>SUM(C40:J40)</f>
        <v>#REF!</v>
      </c>
      <c r="M40" s="80"/>
      <c r="N40" s="80"/>
      <c r="O40" s="80"/>
      <c r="P40" s="80"/>
      <c r="Q40" s="80"/>
      <c r="R40" s="80"/>
      <c r="S40" s="513"/>
    </row>
    <row r="41" spans="1:19" ht="17.25" customHeight="1" x14ac:dyDescent="0.2">
      <c r="M41" s="80"/>
      <c r="N41" s="80"/>
      <c r="O41" s="80"/>
      <c r="P41" s="80"/>
      <c r="Q41" s="80"/>
      <c r="R41" s="80"/>
      <c r="S41" s="513"/>
    </row>
    <row r="42" spans="1:19" ht="17.25" customHeight="1" x14ac:dyDescent="0.2">
      <c r="M42" s="80"/>
      <c r="N42" s="80"/>
      <c r="O42" s="80"/>
      <c r="P42" s="80"/>
      <c r="Q42" s="80"/>
      <c r="R42" s="80"/>
      <c r="S42" s="513"/>
    </row>
    <row r="43" spans="1:19" ht="17.25" customHeight="1" x14ac:dyDescent="0.2">
      <c r="M43" s="80"/>
      <c r="N43" s="80"/>
      <c r="O43" s="80"/>
      <c r="P43" s="80"/>
      <c r="Q43" s="80"/>
      <c r="R43" s="80"/>
      <c r="S43" s="513"/>
    </row>
    <row r="44" spans="1:19" ht="17.25" customHeight="1" x14ac:dyDescent="0.2">
      <c r="M44" s="80"/>
      <c r="N44" s="80"/>
      <c r="O44" s="80"/>
      <c r="P44" s="80"/>
      <c r="Q44" s="80"/>
      <c r="R44" s="80"/>
      <c r="S44" s="513"/>
    </row>
    <row r="45" spans="1:19" ht="17.25" customHeight="1" x14ac:dyDescent="0.2">
      <c r="M45" s="80"/>
      <c r="N45" s="80"/>
      <c r="O45" s="80"/>
      <c r="P45" s="80"/>
      <c r="Q45" s="80"/>
      <c r="R45" s="80"/>
      <c r="S45" s="513"/>
    </row>
    <row r="46" spans="1:19" ht="17.25" customHeight="1" x14ac:dyDescent="0.2">
      <c r="M46" s="80"/>
      <c r="N46" s="80"/>
      <c r="O46" s="80"/>
      <c r="P46" s="80"/>
      <c r="Q46" s="80"/>
      <c r="R46" s="80"/>
      <c r="S46" s="513"/>
    </row>
    <row r="47" spans="1:19" ht="17.25" customHeight="1" x14ac:dyDescent="0.2">
      <c r="M47" s="80"/>
      <c r="N47" s="80"/>
      <c r="O47" s="80"/>
      <c r="P47" s="80"/>
      <c r="Q47" s="80"/>
      <c r="R47" s="80"/>
      <c r="S47" s="513"/>
    </row>
    <row r="48" spans="1:19" ht="17.25" customHeight="1" x14ac:dyDescent="0.2">
      <c r="M48" s="80"/>
      <c r="N48" s="80"/>
      <c r="O48" s="80"/>
      <c r="P48" s="80"/>
      <c r="Q48" s="80"/>
      <c r="R48" s="80"/>
      <c r="S48" s="513"/>
    </row>
    <row r="49" spans="2:24" ht="17.25" customHeight="1" x14ac:dyDescent="0.2">
      <c r="M49" s="80"/>
      <c r="N49" s="80"/>
      <c r="O49" s="80"/>
      <c r="P49" s="80"/>
      <c r="Q49" s="80"/>
      <c r="R49" s="80"/>
      <c r="S49" s="513"/>
    </row>
    <row r="50" spans="2:24" ht="17.25" customHeight="1" x14ac:dyDescent="0.2">
      <c r="M50" s="80"/>
      <c r="N50" s="80"/>
      <c r="O50" s="80"/>
      <c r="P50" s="80"/>
      <c r="Q50" s="80"/>
      <c r="R50" s="80"/>
      <c r="S50" s="513"/>
    </row>
    <row r="51" spans="2:24" ht="17.25" customHeight="1" x14ac:dyDescent="0.2">
      <c r="M51" s="80"/>
      <c r="N51" s="80"/>
      <c r="O51" s="80"/>
      <c r="P51" s="80"/>
      <c r="Q51" s="80"/>
      <c r="R51" s="80"/>
      <c r="S51" s="513"/>
    </row>
    <row r="52" spans="2:24" ht="17.25" customHeight="1" x14ac:dyDescent="0.2">
      <c r="M52" s="80"/>
      <c r="N52" s="80"/>
      <c r="O52" s="80"/>
      <c r="P52" s="80"/>
      <c r="Q52" s="80"/>
      <c r="R52" s="80"/>
      <c r="S52" s="513"/>
    </row>
    <row r="53" spans="2:24" ht="17.25" customHeight="1" x14ac:dyDescent="0.2">
      <c r="M53" s="80"/>
      <c r="N53" s="80"/>
      <c r="O53" s="80"/>
      <c r="P53" s="80"/>
      <c r="Q53" s="80"/>
      <c r="R53" s="80"/>
      <c r="S53" s="513"/>
    </row>
    <row r="54" spans="2:24" ht="17.25" customHeight="1" x14ac:dyDescent="0.2">
      <c r="M54" s="80"/>
      <c r="N54" s="80"/>
      <c r="O54" s="80"/>
      <c r="P54" s="80"/>
      <c r="Q54" s="80"/>
      <c r="R54" s="80"/>
      <c r="S54" s="513"/>
    </row>
    <row r="55" spans="2:24" ht="17.25" customHeight="1" x14ac:dyDescent="0.2">
      <c r="M55" s="80"/>
      <c r="N55" s="80"/>
      <c r="O55" s="80"/>
      <c r="P55" s="80"/>
      <c r="Q55" s="80"/>
      <c r="R55" s="80"/>
      <c r="S55" s="513"/>
    </row>
    <row r="56" spans="2:24" ht="17.25" customHeight="1" x14ac:dyDescent="0.2">
      <c r="M56" s="80"/>
      <c r="N56" s="80"/>
      <c r="O56" s="80"/>
      <c r="P56" s="80"/>
      <c r="Q56" s="80"/>
      <c r="R56" s="80"/>
      <c r="S56" s="513"/>
    </row>
    <row r="57" spans="2:24" ht="17.25" customHeight="1" x14ac:dyDescent="0.2">
      <c r="M57" s="80"/>
      <c r="N57" s="80"/>
      <c r="O57" s="80"/>
      <c r="P57" s="80"/>
      <c r="Q57" s="80"/>
      <c r="R57" s="80"/>
      <c r="S57" s="513"/>
    </row>
    <row r="58" spans="2:24" ht="17.25" customHeight="1" x14ac:dyDescent="0.2">
      <c r="M58" s="80"/>
      <c r="N58" s="80"/>
      <c r="O58" s="80"/>
      <c r="P58" s="80"/>
      <c r="Q58" s="80"/>
      <c r="R58" s="80"/>
      <c r="S58" s="513"/>
    </row>
    <row r="64" spans="2:24" ht="17.25" customHeight="1" x14ac:dyDescent="0.2">
      <c r="B64" s="1991" t="s">
        <v>549</v>
      </c>
      <c r="C64" s="1974"/>
      <c r="D64" s="1974"/>
      <c r="E64" s="1974"/>
      <c r="F64" s="1974"/>
      <c r="G64" s="1974"/>
      <c r="H64" s="1974"/>
      <c r="I64" s="1974"/>
      <c r="J64" s="1974"/>
      <c r="K64" s="1974"/>
      <c r="L64" s="1974"/>
      <c r="M64" s="1974"/>
      <c r="N64" s="1974"/>
      <c r="O64" s="1974"/>
      <c r="P64" s="1974"/>
      <c r="Q64" s="1974"/>
      <c r="R64" s="1974"/>
      <c r="W64" s="81"/>
      <c r="X64" s="81"/>
    </row>
    <row r="65" spans="1:23" ht="17.25" customHeight="1" x14ac:dyDescent="0.2">
      <c r="D65" s="114"/>
      <c r="E65" s="114"/>
      <c r="F65" s="114"/>
      <c r="G65" s="114"/>
      <c r="H65" s="114"/>
      <c r="I65" s="114"/>
      <c r="J65" s="114"/>
      <c r="K65" s="114"/>
      <c r="W65" s="81"/>
    </row>
    <row r="66" spans="1:23" ht="17.25" customHeight="1" x14ac:dyDescent="0.2">
      <c r="A66" s="1823" t="s">
        <v>526</v>
      </c>
      <c r="B66" s="1974"/>
      <c r="C66" s="1974"/>
      <c r="D66" s="1974"/>
      <c r="E66" s="1974"/>
      <c r="F66" s="1974"/>
      <c r="G66" s="1974"/>
      <c r="H66" s="1974"/>
      <c r="I66" s="1974"/>
      <c r="J66" s="1974"/>
      <c r="K66" s="1974"/>
      <c r="L66" s="1974"/>
      <c r="M66" s="1974"/>
      <c r="N66" s="1974"/>
      <c r="O66" s="1974"/>
      <c r="P66" s="1974"/>
      <c r="Q66" s="1974"/>
      <c r="R66" s="1974"/>
    </row>
    <row r="67" spans="1:23" ht="17.25" customHeight="1" x14ac:dyDescent="0.2">
      <c r="A67" s="1823" t="s">
        <v>291</v>
      </c>
      <c r="B67" s="1974"/>
      <c r="C67" s="1974"/>
      <c r="D67" s="1974"/>
      <c r="E67" s="1974"/>
      <c r="F67" s="1974"/>
      <c r="G67" s="1974"/>
      <c r="H67" s="1974"/>
      <c r="I67" s="1974"/>
      <c r="J67" s="1974"/>
      <c r="K67" s="1974"/>
      <c r="L67" s="1974"/>
      <c r="M67" s="1974"/>
      <c r="N67" s="1974"/>
      <c r="O67" s="1974"/>
      <c r="P67" s="1974"/>
      <c r="Q67" s="1974"/>
      <c r="R67" s="1974"/>
    </row>
    <row r="68" spans="1:23" ht="17.25" customHeight="1" x14ac:dyDescent="0.2">
      <c r="B68" s="207"/>
      <c r="C68" s="208"/>
      <c r="D68" s="208"/>
      <c r="E68" s="208"/>
      <c r="F68" s="208"/>
      <c r="G68" s="208"/>
      <c r="H68" s="208"/>
      <c r="I68" s="208"/>
      <c r="J68" s="208"/>
      <c r="K68" s="208"/>
    </row>
    <row r="69" spans="1:23" ht="12.75" customHeight="1" thickBot="1" x14ac:dyDescent="0.25">
      <c r="A69" s="1997" t="s">
        <v>302</v>
      </c>
      <c r="B69" s="1998"/>
      <c r="C69" s="1998"/>
      <c r="D69" s="1998"/>
      <c r="E69" s="1998"/>
      <c r="F69" s="1998"/>
      <c r="G69" s="1998"/>
      <c r="H69" s="1998"/>
      <c r="I69" s="1998"/>
      <c r="J69" s="1998"/>
      <c r="K69" s="1998"/>
      <c r="L69" s="1999"/>
      <c r="M69" s="1999"/>
      <c r="N69" s="1999"/>
      <c r="O69" s="1999"/>
      <c r="P69" s="1999"/>
      <c r="Q69" s="1999"/>
      <c r="R69" s="1999"/>
    </row>
    <row r="70" spans="1:23" s="115" customFormat="1" ht="11.25" customHeight="1" x14ac:dyDescent="0.2">
      <c r="A70" s="1981" t="s">
        <v>468</v>
      </c>
      <c r="B70" s="1969" t="s">
        <v>85</v>
      </c>
      <c r="C70" s="1988" t="s">
        <v>57</v>
      </c>
      <c r="D70" s="1987"/>
      <c r="E70" s="1987" t="s">
        <v>58</v>
      </c>
      <c r="F70" s="1987"/>
      <c r="G70" s="1987" t="s">
        <v>59</v>
      </c>
      <c r="H70" s="1987"/>
      <c r="I70" s="1989"/>
      <c r="J70" s="1988"/>
      <c r="K70" s="302" t="s">
        <v>60</v>
      </c>
      <c r="L70" s="1990" t="s">
        <v>469</v>
      </c>
      <c r="M70" s="1986"/>
      <c r="N70" s="1986" t="s">
        <v>470</v>
      </c>
      <c r="O70" s="1986"/>
      <c r="P70" s="1986" t="s">
        <v>471</v>
      </c>
      <c r="Q70" s="1986"/>
      <c r="R70" s="298" t="s">
        <v>590</v>
      </c>
      <c r="S70" s="525"/>
    </row>
    <row r="71" spans="1:23" ht="31.5" customHeight="1" x14ac:dyDescent="0.2">
      <c r="A71" s="1982"/>
      <c r="B71" s="1970"/>
      <c r="C71" s="1992" t="s">
        <v>550</v>
      </c>
      <c r="D71" s="1995"/>
      <c r="E71" s="1995"/>
      <c r="F71" s="1995"/>
      <c r="G71" s="1995"/>
      <c r="H71" s="1995"/>
      <c r="I71" s="1995"/>
      <c r="J71" s="1995"/>
      <c r="K71" s="1996"/>
      <c r="L71" s="1992" t="s">
        <v>513</v>
      </c>
      <c r="M71" s="1993"/>
      <c r="N71" s="1993"/>
      <c r="O71" s="1993"/>
      <c r="P71" s="1993"/>
      <c r="Q71" s="1993"/>
      <c r="R71" s="1994"/>
    </row>
    <row r="72" spans="1:23" ht="36" customHeight="1" thickBot="1" x14ac:dyDescent="0.25">
      <c r="A72" s="1982"/>
      <c r="B72" s="1970"/>
      <c r="C72" s="1972" t="s">
        <v>451</v>
      </c>
      <c r="D72" s="1973"/>
      <c r="E72" s="1973" t="s">
        <v>452</v>
      </c>
      <c r="F72" s="1973"/>
      <c r="G72" s="1973" t="s">
        <v>22</v>
      </c>
      <c r="H72" s="1973"/>
      <c r="I72" s="1975"/>
      <c r="J72" s="1976"/>
      <c r="K72" s="1984" t="s">
        <v>528</v>
      </c>
      <c r="L72" s="1972" t="s">
        <v>451</v>
      </c>
      <c r="M72" s="1973"/>
      <c r="N72" s="1973" t="s">
        <v>452</v>
      </c>
      <c r="O72" s="1973"/>
      <c r="P72" s="1973" t="s">
        <v>22</v>
      </c>
      <c r="Q72" s="1973"/>
      <c r="R72" s="1979" t="s">
        <v>528</v>
      </c>
    </row>
    <row r="73" spans="1:23" ht="35.25" customHeight="1" thickBot="1" x14ac:dyDescent="0.25">
      <c r="A73" s="1982"/>
      <c r="B73" s="1970"/>
      <c r="C73" s="1972"/>
      <c r="D73" s="1973"/>
      <c r="E73" s="1973"/>
      <c r="F73" s="1973"/>
      <c r="G73" s="1973"/>
      <c r="H73" s="1973"/>
      <c r="I73" s="1977"/>
      <c r="J73" s="1978"/>
      <c r="K73" s="1984"/>
      <c r="L73" s="1972"/>
      <c r="M73" s="1973"/>
      <c r="N73" s="1973"/>
      <c r="O73" s="1973"/>
      <c r="P73" s="1973"/>
      <c r="Q73" s="1973"/>
      <c r="R73" s="1979"/>
    </row>
    <row r="74" spans="1:23" ht="32.25" customHeight="1" thickBot="1" x14ac:dyDescent="0.25">
      <c r="A74" s="1983"/>
      <c r="B74" s="1971"/>
      <c r="C74" s="465" t="s">
        <v>62</v>
      </c>
      <c r="D74" s="304" t="s">
        <v>63</v>
      </c>
      <c r="E74" s="303" t="s">
        <v>62</v>
      </c>
      <c r="F74" s="303" t="s">
        <v>63</v>
      </c>
      <c r="G74" s="303" t="s">
        <v>62</v>
      </c>
      <c r="H74" s="303" t="s">
        <v>63</v>
      </c>
      <c r="I74" s="303" t="s">
        <v>62</v>
      </c>
      <c r="J74" s="303" t="s">
        <v>63</v>
      </c>
      <c r="K74" s="1985"/>
      <c r="L74" s="306" t="s">
        <v>62</v>
      </c>
      <c r="M74" s="307" t="s">
        <v>63</v>
      </c>
      <c r="N74" s="301" t="s">
        <v>62</v>
      </c>
      <c r="O74" s="301" t="s">
        <v>63</v>
      </c>
      <c r="P74" s="301" t="s">
        <v>62</v>
      </c>
      <c r="Q74" s="301" t="s">
        <v>63</v>
      </c>
      <c r="R74" s="1980"/>
    </row>
    <row r="75" spans="1:23" ht="17.25" customHeight="1" x14ac:dyDescent="0.2">
      <c r="A75" s="222">
        <v>1</v>
      </c>
      <c r="B75" s="521" t="s">
        <v>553</v>
      </c>
      <c r="C75" s="241">
        <v>10</v>
      </c>
      <c r="D75" s="241">
        <v>0</v>
      </c>
      <c r="E75" s="241"/>
      <c r="F75" s="241"/>
      <c r="G75" s="241"/>
      <c r="H75" s="241"/>
      <c r="I75" s="241"/>
      <c r="J75" s="241"/>
      <c r="K75" s="464">
        <f>SUM(C75:H75)</f>
        <v>10</v>
      </c>
      <c r="L75" s="308">
        <v>20</v>
      </c>
      <c r="M75" s="308">
        <v>188</v>
      </c>
      <c r="N75" s="308"/>
      <c r="O75" s="308"/>
      <c r="P75" s="308"/>
      <c r="Q75" s="308"/>
      <c r="R75" s="309">
        <f>SUM(L75:Q75)</f>
        <v>208</v>
      </c>
    </row>
    <row r="76" spans="1:23" ht="17.25" customHeight="1" x14ac:dyDescent="0.2">
      <c r="A76" s="222">
        <v>2</v>
      </c>
      <c r="B76" s="522" t="s">
        <v>552</v>
      </c>
      <c r="C76" s="241"/>
      <c r="D76" s="241">
        <v>284</v>
      </c>
      <c r="E76" s="241"/>
      <c r="F76" s="241"/>
      <c r="G76" s="241"/>
      <c r="H76" s="241"/>
      <c r="I76" s="241"/>
      <c r="J76" s="241"/>
      <c r="K76" s="491">
        <f>SUM(C76:H76)</f>
        <v>284</v>
      </c>
      <c r="L76" s="241"/>
      <c r="M76" s="241"/>
      <c r="N76" s="241"/>
      <c r="O76" s="241"/>
      <c r="P76" s="241"/>
      <c r="Q76" s="241"/>
      <c r="R76" s="485"/>
    </row>
    <row r="77" spans="1:23" ht="17.25" customHeight="1" x14ac:dyDescent="0.2">
      <c r="A77" s="222">
        <v>3</v>
      </c>
      <c r="B77" s="522" t="s">
        <v>551</v>
      </c>
      <c r="C77" s="241">
        <v>3</v>
      </c>
      <c r="D77" s="241">
        <v>78</v>
      </c>
      <c r="E77" s="241"/>
      <c r="F77" s="241"/>
      <c r="G77" s="241"/>
      <c r="H77" s="241"/>
      <c r="I77" s="241"/>
      <c r="J77" s="241"/>
      <c r="K77" s="491">
        <f>SUM(C77:H77)</f>
        <v>81</v>
      </c>
      <c r="L77" s="241"/>
      <c r="M77" s="241"/>
      <c r="N77" s="241"/>
      <c r="O77" s="241"/>
      <c r="P77" s="241"/>
      <c r="Q77" s="241"/>
      <c r="R77" s="485"/>
    </row>
    <row r="78" spans="1:23" ht="17.25" customHeight="1" x14ac:dyDescent="0.2">
      <c r="A78" s="212">
        <v>4</v>
      </c>
      <c r="B78" s="522" t="s">
        <v>554</v>
      </c>
      <c r="C78" s="520">
        <v>2</v>
      </c>
      <c r="D78" s="305"/>
      <c r="E78" s="305"/>
      <c r="F78" s="305"/>
      <c r="G78" s="305"/>
      <c r="H78" s="305"/>
      <c r="I78" s="305"/>
      <c r="J78" s="305"/>
      <c r="K78" s="491">
        <f>SUM(C78:H78)</f>
        <v>2</v>
      </c>
      <c r="L78" s="310"/>
      <c r="M78" s="310"/>
      <c r="N78" s="310"/>
      <c r="O78" s="310"/>
      <c r="P78" s="310"/>
      <c r="Q78" s="310"/>
      <c r="R78" s="311"/>
    </row>
    <row r="79" spans="1:23" ht="17.25" customHeight="1" thickBot="1" x14ac:dyDescent="0.25">
      <c r="A79" s="492">
        <v>5</v>
      </c>
      <c r="B79" s="523" t="s">
        <v>555</v>
      </c>
      <c r="C79" s="520"/>
      <c r="D79" s="305">
        <v>40</v>
      </c>
      <c r="E79" s="305"/>
      <c r="F79" s="305"/>
      <c r="G79" s="305"/>
      <c r="H79" s="305"/>
      <c r="I79" s="305"/>
      <c r="J79" s="305"/>
      <c r="K79" s="524">
        <f>SUM(C79:J79)</f>
        <v>40</v>
      </c>
      <c r="L79" s="310"/>
      <c r="M79" s="310"/>
      <c r="N79" s="310"/>
      <c r="O79" s="310"/>
      <c r="P79" s="310"/>
      <c r="Q79" s="310"/>
      <c r="R79" s="311"/>
    </row>
    <row r="80" spans="1:23" ht="17.25" customHeight="1" thickBot="1" x14ac:dyDescent="0.25">
      <c r="A80" s="479" t="s">
        <v>265</v>
      </c>
      <c r="B80" s="486"/>
      <c r="C80" s="487">
        <f>SUM(C74:C78)</f>
        <v>15</v>
      </c>
      <c r="D80" s="487">
        <f>SUM(D74:D79)</f>
        <v>402</v>
      </c>
      <c r="E80" s="488">
        <f>SUM(E74)</f>
        <v>0</v>
      </c>
      <c r="F80" s="488">
        <f>SUM(F74)</f>
        <v>0</v>
      </c>
      <c r="G80" s="488">
        <f>SUM(G74)</f>
        <v>0</v>
      </c>
      <c r="H80" s="488">
        <f>SUM(H74:H78)</f>
        <v>0</v>
      </c>
      <c r="I80" s="489"/>
      <c r="J80" s="489"/>
      <c r="K80" s="490">
        <f>SUM(K74:K79)</f>
        <v>417</v>
      </c>
      <c r="L80" s="463">
        <f>SUM(L75:L78)</f>
        <v>20</v>
      </c>
      <c r="M80" s="299">
        <f>SUM(M75:M78)</f>
        <v>188</v>
      </c>
      <c r="N80" s="299"/>
      <c r="O80" s="299"/>
      <c r="P80" s="299"/>
      <c r="Q80" s="299"/>
      <c r="R80" s="312">
        <f>SUM(L80:Q80)</f>
        <v>208</v>
      </c>
      <c r="S80" s="526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5"/>
  <sheetViews>
    <sheetView zoomScale="130" zoomScaleNormal="130" workbookViewId="0">
      <pane xSplit="3" ySplit="11" topLeftCell="P12" activePane="bottomRight" state="frozen"/>
      <selection pane="topRight" activeCell="D1" sqref="D1"/>
      <selection pane="bottomLeft" activeCell="A10" sqref="A10"/>
      <selection pane="bottomRight" activeCell="B1" sqref="B1:AH1"/>
    </sheetView>
  </sheetViews>
  <sheetFormatPr defaultColWidth="9.140625" defaultRowHeight="10.5" x14ac:dyDescent="0.2"/>
  <cols>
    <col min="1" max="1" width="4.140625" style="80" customWidth="1"/>
    <col min="2" max="2" width="4.85546875" style="325" customWidth="1"/>
    <col min="3" max="3" width="26.7109375" style="329" customWidth="1"/>
    <col min="4" max="4" width="6.7109375" style="330" customWidth="1"/>
    <col min="5" max="7" width="5.85546875" style="331" customWidth="1"/>
    <col min="8" max="8" width="6" style="331" customWidth="1"/>
    <col min="9" max="10" width="5.7109375" style="331" customWidth="1"/>
    <col min="11" max="11" width="5.85546875" style="331" customWidth="1"/>
    <col min="12" max="12" width="6" style="331" customWidth="1"/>
    <col min="13" max="13" width="5.85546875" style="331" customWidth="1"/>
    <col min="14" max="14" width="6" style="331" customWidth="1"/>
    <col min="15" max="15" width="5.85546875" style="331" customWidth="1"/>
    <col min="16" max="16" width="6" style="331" customWidth="1"/>
    <col min="17" max="19" width="5.85546875" style="331" customWidth="1"/>
    <col min="20" max="20" width="6" style="331" customWidth="1"/>
    <col min="21" max="21" width="6.140625" style="331" customWidth="1"/>
    <col min="22" max="27" width="5.85546875" style="331" customWidth="1"/>
    <col min="28" max="28" width="4.7109375" style="331" customWidth="1"/>
    <col min="29" max="31" width="5" style="331" customWidth="1"/>
    <col min="32" max="32" width="8.5703125" style="331" customWidth="1"/>
    <col min="33" max="33" width="8.5703125" style="324" customWidth="1"/>
    <col min="34" max="34" width="6.28515625" style="324" customWidth="1"/>
    <col min="35" max="36" width="9.140625" style="324"/>
    <col min="37" max="16384" width="9.140625" style="80"/>
  </cols>
  <sheetData>
    <row r="1" spans="1:36" ht="12.75" customHeight="1" x14ac:dyDescent="0.2">
      <c r="B1" s="1991" t="s">
        <v>2072</v>
      </c>
      <c r="C1" s="1991"/>
      <c r="D1" s="1991"/>
      <c r="E1" s="1991"/>
      <c r="F1" s="1991"/>
      <c r="G1" s="1991"/>
      <c r="H1" s="1991"/>
      <c r="I1" s="1991"/>
      <c r="J1" s="1991"/>
      <c r="K1" s="1991"/>
      <c r="L1" s="1991"/>
      <c r="M1" s="1991"/>
      <c r="N1" s="1991"/>
      <c r="O1" s="1991"/>
      <c r="P1" s="1991"/>
      <c r="Q1" s="1991"/>
      <c r="R1" s="1991"/>
      <c r="S1" s="1991"/>
      <c r="T1" s="1991"/>
      <c r="U1" s="1991"/>
      <c r="V1" s="1991"/>
      <c r="W1" s="1991"/>
      <c r="X1" s="1991"/>
      <c r="Y1" s="1991"/>
      <c r="Z1" s="1991"/>
      <c r="AA1" s="1991"/>
      <c r="AB1" s="1991"/>
      <c r="AC1" s="1991"/>
      <c r="AD1" s="1991"/>
      <c r="AE1" s="1991"/>
      <c r="AF1" s="1991"/>
      <c r="AG1" s="1991"/>
      <c r="AH1" s="1991"/>
    </row>
    <row r="2" spans="1:36" ht="12.75" customHeight="1" x14ac:dyDescent="0.2">
      <c r="B2" s="2027" t="s">
        <v>77</v>
      </c>
      <c r="C2" s="2027"/>
      <c r="D2" s="2027"/>
      <c r="E2" s="2027"/>
      <c r="F2" s="2027"/>
      <c r="G2" s="2027"/>
      <c r="H2" s="2027"/>
      <c r="I2" s="2027"/>
      <c r="J2" s="2027"/>
      <c r="K2" s="2027"/>
      <c r="L2" s="2027"/>
      <c r="M2" s="2027"/>
      <c r="N2" s="2027"/>
      <c r="O2" s="2027"/>
      <c r="P2" s="2027"/>
      <c r="Q2" s="2027"/>
      <c r="R2" s="2027"/>
      <c r="S2" s="2027"/>
      <c r="T2" s="2027"/>
      <c r="U2" s="2027"/>
      <c r="V2" s="2027"/>
      <c r="W2" s="2027"/>
      <c r="X2" s="2027"/>
      <c r="Y2" s="2027"/>
      <c r="Z2" s="2027"/>
      <c r="AA2" s="2027"/>
      <c r="AB2" s="2027"/>
      <c r="AC2" s="2027"/>
      <c r="AD2" s="2027"/>
      <c r="AE2" s="2027"/>
      <c r="AF2" s="2027"/>
      <c r="AG2" s="2027"/>
      <c r="AH2" s="2027"/>
    </row>
    <row r="3" spans="1:36" ht="12.75" customHeight="1" x14ac:dyDescent="0.2">
      <c r="B3" s="1823" t="s">
        <v>1359</v>
      </c>
      <c r="C3" s="2027"/>
      <c r="D3" s="2027"/>
      <c r="E3" s="2027"/>
      <c r="F3" s="2027"/>
      <c r="G3" s="2027"/>
      <c r="H3" s="2027"/>
      <c r="I3" s="2027"/>
      <c r="J3" s="2027"/>
      <c r="K3" s="2027"/>
      <c r="L3" s="2027"/>
      <c r="M3" s="2027"/>
      <c r="N3" s="2027"/>
      <c r="O3" s="2027"/>
      <c r="P3" s="2027"/>
      <c r="Q3" s="2027"/>
      <c r="R3" s="2027"/>
      <c r="S3" s="2027"/>
      <c r="T3" s="2027"/>
      <c r="U3" s="2027"/>
      <c r="V3" s="2027"/>
      <c r="W3" s="2027"/>
      <c r="X3" s="2027"/>
      <c r="Y3" s="2027"/>
      <c r="Z3" s="2027"/>
      <c r="AA3" s="2027"/>
      <c r="AB3" s="2027"/>
      <c r="AC3" s="2027"/>
      <c r="AD3" s="2027"/>
      <c r="AE3" s="2027"/>
      <c r="AF3" s="2027"/>
      <c r="AG3" s="2027"/>
      <c r="AH3" s="2027"/>
    </row>
    <row r="4" spans="1:36" ht="12.75" customHeight="1" x14ac:dyDescent="0.2">
      <c r="A4" s="81"/>
      <c r="B4" s="1823" t="s">
        <v>1113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  <c r="R4" s="1823"/>
      <c r="S4" s="1823"/>
      <c r="T4" s="1823"/>
      <c r="U4" s="1823"/>
      <c r="V4" s="1823"/>
      <c r="W4" s="1823"/>
      <c r="X4" s="1823"/>
      <c r="Y4" s="1823"/>
      <c r="Z4" s="1823"/>
      <c r="AA4" s="1823"/>
      <c r="AB4" s="1823"/>
      <c r="AC4" s="1823"/>
      <c r="AD4" s="1823"/>
      <c r="AE4" s="1823"/>
      <c r="AF4" s="1823"/>
      <c r="AG4" s="1823"/>
      <c r="AH4" s="1823"/>
    </row>
    <row r="5" spans="1:36" x14ac:dyDescent="0.2">
      <c r="A5" s="81"/>
      <c r="C5" s="2028" t="s">
        <v>304</v>
      </c>
      <c r="D5" s="2029"/>
      <c r="E5" s="2029"/>
      <c r="F5" s="2029"/>
      <c r="G5" s="2029"/>
      <c r="H5" s="2029"/>
      <c r="I5" s="2029"/>
      <c r="J5" s="2029"/>
      <c r="K5" s="2029"/>
      <c r="L5" s="2029"/>
      <c r="M5" s="2029"/>
      <c r="N5" s="2029"/>
      <c r="O5" s="2029"/>
      <c r="P5" s="2029"/>
      <c r="Q5" s="2029"/>
      <c r="R5" s="2029"/>
      <c r="S5" s="2029"/>
      <c r="T5" s="2029"/>
      <c r="U5" s="2029"/>
      <c r="V5" s="2029"/>
      <c r="W5" s="2029"/>
      <c r="X5" s="2029"/>
      <c r="Y5" s="2029"/>
      <c r="Z5" s="2029"/>
      <c r="AA5" s="2029"/>
      <c r="AB5" s="2029"/>
      <c r="AC5" s="2029"/>
      <c r="AD5" s="2029"/>
      <c r="AE5" s="2029"/>
      <c r="AF5" s="2029"/>
      <c r="AG5" s="2029"/>
      <c r="AH5" s="2029"/>
    </row>
    <row r="6" spans="1:36" x14ac:dyDescent="0.2">
      <c r="A6" s="775"/>
      <c r="B6" s="2034" t="s">
        <v>468</v>
      </c>
      <c r="C6" s="1360" t="s">
        <v>57</v>
      </c>
      <c r="D6" s="2022" t="s">
        <v>58</v>
      </c>
      <c r="E6" s="2023"/>
      <c r="F6" s="2023"/>
      <c r="G6" s="2024"/>
      <c r="H6" s="2022" t="s">
        <v>59</v>
      </c>
      <c r="I6" s="2023"/>
      <c r="J6" s="2023"/>
      <c r="K6" s="2024"/>
      <c r="L6" s="2019" t="s">
        <v>60</v>
      </c>
      <c r="M6" s="2023"/>
      <c r="N6" s="2023"/>
      <c r="O6" s="2024"/>
      <c r="P6" s="2022" t="s">
        <v>469</v>
      </c>
      <c r="Q6" s="2023"/>
      <c r="R6" s="2023"/>
      <c r="S6" s="2024"/>
      <c r="T6" s="2019" t="s">
        <v>470</v>
      </c>
      <c r="U6" s="2020"/>
      <c r="V6" s="2020"/>
      <c r="W6" s="2021"/>
      <c r="X6" s="2019" t="s">
        <v>471</v>
      </c>
      <c r="Y6" s="2020"/>
      <c r="Z6" s="2020"/>
      <c r="AA6" s="2021"/>
      <c r="AB6" s="2019" t="s">
        <v>590</v>
      </c>
      <c r="AC6" s="2020"/>
      <c r="AD6" s="2020"/>
      <c r="AE6" s="2021"/>
      <c r="AF6" s="2019" t="s">
        <v>598</v>
      </c>
      <c r="AG6" s="2020"/>
      <c r="AH6" s="2021"/>
    </row>
    <row r="7" spans="1:36" ht="18.75" customHeight="1" x14ac:dyDescent="0.2">
      <c r="A7" s="775"/>
      <c r="B7" s="2035"/>
      <c r="C7" s="1361"/>
      <c r="D7" s="2037" t="s">
        <v>1364</v>
      </c>
      <c r="E7" s="2038"/>
      <c r="F7" s="2038"/>
      <c r="G7" s="2038"/>
      <c r="H7" s="2038"/>
      <c r="I7" s="2038"/>
      <c r="J7" s="2038"/>
      <c r="K7" s="2038"/>
      <c r="L7" s="2038"/>
      <c r="M7" s="2038"/>
      <c r="N7" s="2038"/>
      <c r="O7" s="2038"/>
      <c r="P7" s="2038"/>
      <c r="Q7" s="2038"/>
      <c r="R7" s="2038"/>
      <c r="S7" s="2038"/>
      <c r="T7" s="2038"/>
      <c r="U7" s="2038"/>
      <c r="V7" s="2038"/>
      <c r="W7" s="2038"/>
      <c r="X7" s="2038"/>
      <c r="Y7" s="2038"/>
      <c r="Z7" s="2038"/>
      <c r="AA7" s="2038"/>
      <c r="AB7" s="2038"/>
      <c r="AC7" s="2038"/>
      <c r="AD7" s="2038"/>
      <c r="AE7" s="2038"/>
      <c r="AF7" s="2038"/>
      <c r="AG7" s="1363"/>
      <c r="AH7" s="1363"/>
    </row>
    <row r="8" spans="1:36" ht="24.95" customHeight="1" x14ac:dyDescent="0.2">
      <c r="A8" s="775"/>
      <c r="B8" s="2035"/>
      <c r="C8" s="2039" t="s">
        <v>85</v>
      </c>
      <c r="D8" s="2026" t="s">
        <v>450</v>
      </c>
      <c r="E8" s="2026"/>
      <c r="F8" s="2026"/>
      <c r="G8" s="2026"/>
      <c r="H8" s="2026" t="s">
        <v>21</v>
      </c>
      <c r="I8" s="2026"/>
      <c r="J8" s="2026"/>
      <c r="K8" s="2026"/>
      <c r="L8" s="2026" t="s">
        <v>448</v>
      </c>
      <c r="M8" s="2026"/>
      <c r="N8" s="2026"/>
      <c r="O8" s="2026"/>
      <c r="P8" s="2026" t="s">
        <v>458</v>
      </c>
      <c r="Q8" s="2026"/>
      <c r="R8" s="2026"/>
      <c r="S8" s="2026"/>
      <c r="T8" s="2026" t="s">
        <v>457</v>
      </c>
      <c r="U8" s="2026"/>
      <c r="V8" s="2026"/>
      <c r="W8" s="2026"/>
      <c r="X8" s="2025" t="s">
        <v>266</v>
      </c>
      <c r="Y8" s="2025"/>
      <c r="Z8" s="2025"/>
      <c r="AA8" s="2025"/>
      <c r="AB8" s="2026" t="s">
        <v>449</v>
      </c>
      <c r="AC8" s="2026"/>
      <c r="AD8" s="2026"/>
      <c r="AE8" s="2026"/>
      <c r="AF8" s="2026" t="s">
        <v>528</v>
      </c>
      <c r="AG8" s="2026"/>
      <c r="AH8" s="2026"/>
    </row>
    <row r="9" spans="1:36" ht="26.25" customHeight="1" x14ac:dyDescent="0.2">
      <c r="A9" s="775"/>
      <c r="B9" s="2035"/>
      <c r="C9" s="2040"/>
      <c r="D9" s="2026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2026"/>
      <c r="R9" s="2026"/>
      <c r="S9" s="2026"/>
      <c r="T9" s="2026"/>
      <c r="U9" s="2026"/>
      <c r="V9" s="2026"/>
      <c r="W9" s="2026"/>
      <c r="X9" s="2025"/>
      <c r="Y9" s="2025"/>
      <c r="Z9" s="2025"/>
      <c r="AA9" s="2025"/>
      <c r="AB9" s="2026"/>
      <c r="AC9" s="2026"/>
      <c r="AD9" s="2026"/>
      <c r="AE9" s="2026"/>
      <c r="AF9" s="2026"/>
      <c r="AG9" s="2026"/>
      <c r="AH9" s="2032"/>
      <c r="AI9" s="747"/>
    </row>
    <row r="10" spans="1:36" ht="23.25" customHeight="1" x14ac:dyDescent="0.2">
      <c r="A10" s="775"/>
      <c r="B10" s="2035"/>
      <c r="C10" s="2040"/>
      <c r="D10" s="2025" t="s">
        <v>1363</v>
      </c>
      <c r="E10" s="2026"/>
      <c r="F10" s="2025" t="s">
        <v>1355</v>
      </c>
      <c r="G10" s="2026"/>
      <c r="H10" s="2025" t="s">
        <v>1363</v>
      </c>
      <c r="I10" s="2026"/>
      <c r="J10" s="2025" t="s">
        <v>1355</v>
      </c>
      <c r="K10" s="2026"/>
      <c r="L10" s="2025" t="s">
        <v>1363</v>
      </c>
      <c r="M10" s="2026"/>
      <c r="N10" s="2025" t="s">
        <v>1355</v>
      </c>
      <c r="O10" s="2026"/>
      <c r="P10" s="2025" t="s">
        <v>1363</v>
      </c>
      <c r="Q10" s="2026"/>
      <c r="R10" s="2025" t="s">
        <v>1355</v>
      </c>
      <c r="S10" s="2026"/>
      <c r="T10" s="2025" t="s">
        <v>1363</v>
      </c>
      <c r="U10" s="2026"/>
      <c r="V10" s="2025" t="s">
        <v>1355</v>
      </c>
      <c r="W10" s="2026"/>
      <c r="X10" s="2025" t="s">
        <v>1363</v>
      </c>
      <c r="Y10" s="2026"/>
      <c r="Z10" s="2033" t="s">
        <v>1355</v>
      </c>
      <c r="AA10" s="2033"/>
      <c r="AB10" s="2025" t="s">
        <v>1363</v>
      </c>
      <c r="AC10" s="2026"/>
      <c r="AD10" s="2025" t="s">
        <v>1355</v>
      </c>
      <c r="AE10" s="2026"/>
      <c r="AF10" s="2026"/>
      <c r="AG10" s="2026"/>
      <c r="AH10" s="2032"/>
      <c r="AI10" s="747"/>
    </row>
    <row r="11" spans="1:36" s="262" customFormat="1" ht="40.9" customHeight="1" x14ac:dyDescent="0.15">
      <c r="A11" s="776"/>
      <c r="B11" s="2036"/>
      <c r="C11" s="2041"/>
      <c r="D11" s="1358" t="s">
        <v>62</v>
      </c>
      <c r="E11" s="1359" t="s">
        <v>63</v>
      </c>
      <c r="F11" s="1358" t="s">
        <v>62</v>
      </c>
      <c r="G11" s="1359" t="s">
        <v>63</v>
      </c>
      <c r="H11" s="1362" t="s">
        <v>62</v>
      </c>
      <c r="I11" s="1359" t="s">
        <v>63</v>
      </c>
      <c r="J11" s="1358" t="s">
        <v>62</v>
      </c>
      <c r="K11" s="1359" t="s">
        <v>63</v>
      </c>
      <c r="L11" s="1370" t="s">
        <v>62</v>
      </c>
      <c r="M11" s="1359" t="s">
        <v>63</v>
      </c>
      <c r="N11" s="1362" t="s">
        <v>62</v>
      </c>
      <c r="O11" s="1359" t="s">
        <v>63</v>
      </c>
      <c r="P11" s="1362" t="s">
        <v>62</v>
      </c>
      <c r="Q11" s="1362" t="s">
        <v>63</v>
      </c>
      <c r="R11" s="1362" t="s">
        <v>62</v>
      </c>
      <c r="S11" s="1359" t="s">
        <v>63</v>
      </c>
      <c r="T11" s="1362" t="s">
        <v>62</v>
      </c>
      <c r="U11" s="1359" t="s">
        <v>63</v>
      </c>
      <c r="V11" s="1362" t="s">
        <v>62</v>
      </c>
      <c r="W11" s="1359" t="s">
        <v>63</v>
      </c>
      <c r="X11" s="1362" t="s">
        <v>62</v>
      </c>
      <c r="Y11" s="1359" t="s">
        <v>63</v>
      </c>
      <c r="Z11" s="1362" t="s">
        <v>62</v>
      </c>
      <c r="AA11" s="1359" t="s">
        <v>63</v>
      </c>
      <c r="AB11" s="1362" t="s">
        <v>62</v>
      </c>
      <c r="AC11" s="1362" t="s">
        <v>63</v>
      </c>
      <c r="AD11" s="1362" t="s">
        <v>62</v>
      </c>
      <c r="AE11" s="1359" t="s">
        <v>63</v>
      </c>
      <c r="AF11" s="1306" t="s">
        <v>1363</v>
      </c>
      <c r="AG11" s="1306" t="s">
        <v>1355</v>
      </c>
      <c r="AH11" s="1376" t="s">
        <v>1357</v>
      </c>
      <c r="AI11" s="1368"/>
      <c r="AJ11" s="326"/>
    </row>
    <row r="12" spans="1:36" s="262" customFormat="1" ht="15" customHeight="1" x14ac:dyDescent="0.2">
      <c r="A12" s="776"/>
      <c r="B12" s="841" t="s">
        <v>478</v>
      </c>
      <c r="C12" s="774" t="s">
        <v>958</v>
      </c>
      <c r="D12" s="757">
        <v>0</v>
      </c>
      <c r="E12" s="757"/>
      <c r="F12" s="757"/>
      <c r="G12" s="757"/>
      <c r="H12" s="758">
        <v>0</v>
      </c>
      <c r="I12" s="757"/>
      <c r="J12" s="757"/>
      <c r="K12" s="1017"/>
      <c r="L12" s="761">
        <v>180</v>
      </c>
      <c r="M12" s="757"/>
      <c r="N12" s="761">
        <v>180</v>
      </c>
      <c r="O12" s="757"/>
      <c r="P12" s="762"/>
      <c r="Q12" s="1364"/>
      <c r="R12" s="757"/>
      <c r="S12" s="757"/>
      <c r="T12" s="758"/>
      <c r="U12" s="1364"/>
      <c r="V12" s="757"/>
      <c r="W12" s="1017"/>
      <c r="X12" s="757"/>
      <c r="Y12" s="757"/>
      <c r="Z12" s="757"/>
      <c r="AA12" s="1017"/>
      <c r="AB12" s="757"/>
      <c r="AC12" s="757"/>
      <c r="AD12" s="757"/>
      <c r="AE12" s="757"/>
      <c r="AF12" s="755">
        <f t="shared" ref="AF12:AF21" si="0">D12+E12+H12+I12+L12+M12+P12+Q12+T12+U12+X12+Y12+AB12+AC12</f>
        <v>180</v>
      </c>
      <c r="AG12" s="1371">
        <f>F12+G12+J12+K12+N12+O12+R12+S12+V12+W12+Z12+AA12+AD12+AE12</f>
        <v>180</v>
      </c>
      <c r="AH12" s="288">
        <f>AG12/AF12*100</f>
        <v>100</v>
      </c>
      <c r="AI12" s="1368"/>
      <c r="AJ12" s="326"/>
    </row>
    <row r="13" spans="1:36" s="262" customFormat="1" ht="23.25" customHeight="1" x14ac:dyDescent="0.2">
      <c r="A13" s="776"/>
      <c r="B13" s="841" t="s">
        <v>486</v>
      </c>
      <c r="C13" s="774" t="s">
        <v>957</v>
      </c>
      <c r="D13" s="761">
        <v>4098</v>
      </c>
      <c r="E13" s="761"/>
      <c r="F13" s="761"/>
      <c r="G13" s="761"/>
      <c r="H13" s="762">
        <v>902</v>
      </c>
      <c r="I13" s="757"/>
      <c r="J13" s="757"/>
      <c r="K13" s="760"/>
      <c r="L13" s="761">
        <v>26740</v>
      </c>
      <c r="M13" s="757"/>
      <c r="N13" s="761">
        <v>6584</v>
      </c>
      <c r="O13" s="757"/>
      <c r="P13" s="758"/>
      <c r="Q13" s="757"/>
      <c r="R13" s="757"/>
      <c r="S13" s="757"/>
      <c r="T13" s="758"/>
      <c r="U13" s="757"/>
      <c r="V13" s="757"/>
      <c r="W13" s="760"/>
      <c r="X13" s="757"/>
      <c r="Y13" s="757"/>
      <c r="Z13" s="757"/>
      <c r="AA13" s="760"/>
      <c r="AB13" s="757"/>
      <c r="AC13" s="757"/>
      <c r="AD13" s="757"/>
      <c r="AE13" s="757"/>
      <c r="AF13" s="755">
        <f t="shared" si="0"/>
        <v>31740</v>
      </c>
      <c r="AG13" s="1372">
        <f>F13+G13+J13+K13+N13+O13+R13+S13+V13+W13+Z13+AA13+AD13+AE13</f>
        <v>6584</v>
      </c>
      <c r="AH13" s="288">
        <f t="shared" ref="AH13:AH74" si="1">AG13/AF13*100</f>
        <v>20.743541272841838</v>
      </c>
      <c r="AI13" s="1368"/>
      <c r="AJ13" s="326"/>
    </row>
    <row r="14" spans="1:36" s="262" customFormat="1" ht="20.25" customHeight="1" x14ac:dyDescent="0.2">
      <c r="A14" s="776"/>
      <c r="B14" s="841" t="s">
        <v>487</v>
      </c>
      <c r="C14" s="754" t="s">
        <v>1193</v>
      </c>
      <c r="D14" s="761"/>
      <c r="E14" s="761"/>
      <c r="F14" s="761"/>
      <c r="G14" s="761"/>
      <c r="H14" s="762"/>
      <c r="I14" s="757"/>
      <c r="J14" s="757"/>
      <c r="K14" s="760"/>
      <c r="L14" s="761">
        <v>17665</v>
      </c>
      <c r="M14" s="757"/>
      <c r="N14" s="761">
        <v>17665</v>
      </c>
      <c r="O14" s="757"/>
      <c r="P14" s="758"/>
      <c r="Q14" s="757"/>
      <c r="R14" s="757"/>
      <c r="S14" s="757"/>
      <c r="T14" s="758"/>
      <c r="U14" s="757"/>
      <c r="V14" s="757"/>
      <c r="W14" s="760"/>
      <c r="X14" s="757"/>
      <c r="Y14" s="757"/>
      <c r="Z14" s="757"/>
      <c r="AA14" s="760"/>
      <c r="AB14" s="757"/>
      <c r="AC14" s="757"/>
      <c r="AD14" s="757"/>
      <c r="AE14" s="757"/>
      <c r="AF14" s="755">
        <f t="shared" si="0"/>
        <v>17665</v>
      </c>
      <c r="AG14" s="1372">
        <f t="shared" ref="AG14:AG74" si="2">F14+G14+J14+K14+N14+O14+R14+S14+V14+W14+Z14+AA14+AD14+AE14</f>
        <v>17665</v>
      </c>
      <c r="AH14" s="288">
        <f t="shared" si="1"/>
        <v>100</v>
      </c>
      <c r="AI14" s="1368"/>
      <c r="AJ14" s="326"/>
    </row>
    <row r="15" spans="1:36" s="323" customFormat="1" ht="13.5" customHeight="1" x14ac:dyDescent="0.2">
      <c r="A15" s="777"/>
      <c r="B15" s="841" t="s">
        <v>488</v>
      </c>
      <c r="C15" s="840" t="s">
        <v>963</v>
      </c>
      <c r="D15" s="756"/>
      <c r="E15" s="757"/>
      <c r="F15" s="757"/>
      <c r="G15" s="757"/>
      <c r="H15" s="758"/>
      <c r="I15" s="757"/>
      <c r="J15" s="757"/>
      <c r="K15" s="760"/>
      <c r="L15" s="769"/>
      <c r="M15" s="748">
        <v>5000</v>
      </c>
      <c r="N15" s="748"/>
      <c r="O15" s="748">
        <v>3881</v>
      </c>
      <c r="P15" s="759"/>
      <c r="Q15" s="757"/>
      <c r="R15" s="757"/>
      <c r="S15" s="757"/>
      <c r="T15" s="758"/>
      <c r="U15" s="757"/>
      <c r="V15" s="757"/>
      <c r="W15" s="760"/>
      <c r="X15" s="757"/>
      <c r="Y15" s="757"/>
      <c r="Z15" s="757"/>
      <c r="AA15" s="760"/>
      <c r="AB15" s="757"/>
      <c r="AC15" s="757"/>
      <c r="AD15" s="757"/>
      <c r="AE15" s="757"/>
      <c r="AF15" s="755">
        <f t="shared" si="0"/>
        <v>5000</v>
      </c>
      <c r="AG15" s="1372">
        <f t="shared" si="2"/>
        <v>3881</v>
      </c>
      <c r="AH15" s="288">
        <f t="shared" si="1"/>
        <v>77.62</v>
      </c>
      <c r="AI15" s="747"/>
      <c r="AJ15" s="324"/>
    </row>
    <row r="16" spans="1:36" s="323" customFormat="1" ht="17.25" customHeight="1" x14ac:dyDescent="0.2">
      <c r="A16" s="777"/>
      <c r="B16" s="841" t="s">
        <v>489</v>
      </c>
      <c r="C16" s="754" t="s">
        <v>956</v>
      </c>
      <c r="D16" s="756"/>
      <c r="E16" s="757"/>
      <c r="F16" s="757"/>
      <c r="G16" s="757"/>
      <c r="H16" s="758"/>
      <c r="I16" s="757"/>
      <c r="J16" s="757"/>
      <c r="K16" s="757"/>
      <c r="L16" s="759">
        <v>1969</v>
      </c>
      <c r="M16" s="275"/>
      <c r="N16" s="275"/>
      <c r="O16" s="275"/>
      <c r="P16" s="759"/>
      <c r="Q16" s="757"/>
      <c r="R16" s="757"/>
      <c r="S16" s="757"/>
      <c r="T16" s="758"/>
      <c r="U16" s="757"/>
      <c r="V16" s="757"/>
      <c r="W16" s="760"/>
      <c r="X16" s="757"/>
      <c r="Y16" s="757"/>
      <c r="Z16" s="757"/>
      <c r="AA16" s="760"/>
      <c r="AB16" s="757"/>
      <c r="AC16" s="757"/>
      <c r="AD16" s="757"/>
      <c r="AE16" s="757"/>
      <c r="AF16" s="755">
        <f t="shared" si="0"/>
        <v>1969</v>
      </c>
      <c r="AG16" s="1372">
        <f t="shared" si="2"/>
        <v>0</v>
      </c>
      <c r="AH16" s="288">
        <f t="shared" si="1"/>
        <v>0</v>
      </c>
      <c r="AI16" s="747"/>
      <c r="AJ16" s="324"/>
    </row>
    <row r="17" spans="1:36" s="323" customFormat="1" ht="16.5" customHeight="1" x14ac:dyDescent="0.2">
      <c r="A17" s="777"/>
      <c r="B17" s="841" t="s">
        <v>490</v>
      </c>
      <c r="C17" s="754" t="s">
        <v>1058</v>
      </c>
      <c r="D17" s="756"/>
      <c r="E17" s="757"/>
      <c r="F17" s="757"/>
      <c r="G17" s="757"/>
      <c r="H17" s="758"/>
      <c r="I17" s="757"/>
      <c r="J17" s="757"/>
      <c r="K17" s="757"/>
      <c r="L17" s="759"/>
      <c r="M17" s="748"/>
      <c r="N17" s="748"/>
      <c r="O17" s="748"/>
      <c r="P17" s="759"/>
      <c r="Q17" s="757"/>
      <c r="R17" s="757"/>
      <c r="S17" s="757"/>
      <c r="T17" s="758"/>
      <c r="U17" s="757"/>
      <c r="V17" s="757"/>
      <c r="W17" s="760"/>
      <c r="X17" s="757"/>
      <c r="Y17" s="757"/>
      <c r="Z17" s="757"/>
      <c r="AA17" s="760"/>
      <c r="AB17" s="757"/>
      <c r="AC17" s="761">
        <f>'ellátottak önk.'!F14</f>
        <v>500</v>
      </c>
      <c r="AD17" s="761"/>
      <c r="AE17" s="761">
        <f>'ellátottak önk.'!L14</f>
        <v>390</v>
      </c>
      <c r="AF17" s="755">
        <f t="shared" si="0"/>
        <v>500</v>
      </c>
      <c r="AG17" s="1372">
        <f t="shared" si="2"/>
        <v>390</v>
      </c>
      <c r="AH17" s="288">
        <f t="shared" si="1"/>
        <v>78</v>
      </c>
      <c r="AI17" s="747"/>
      <c r="AJ17" s="324"/>
    </row>
    <row r="18" spans="1:36" s="323" customFormat="1" ht="16.5" customHeight="1" x14ac:dyDescent="0.2">
      <c r="A18" s="777"/>
      <c r="B18" s="841" t="s">
        <v>491</v>
      </c>
      <c r="C18" s="754" t="s">
        <v>1057</v>
      </c>
      <c r="D18" s="756"/>
      <c r="E18" s="757"/>
      <c r="F18" s="757"/>
      <c r="G18" s="757"/>
      <c r="H18" s="758"/>
      <c r="I18" s="757"/>
      <c r="J18" s="757"/>
      <c r="K18" s="757"/>
      <c r="L18" s="759"/>
      <c r="M18" s="748"/>
      <c r="N18" s="748"/>
      <c r="O18" s="748"/>
      <c r="P18" s="759"/>
      <c r="Q18" s="757"/>
      <c r="R18" s="757"/>
      <c r="S18" s="757"/>
      <c r="T18" s="758"/>
      <c r="U18" s="757"/>
      <c r="V18" s="757"/>
      <c r="W18" s="760"/>
      <c r="X18" s="757"/>
      <c r="Y18" s="757"/>
      <c r="Z18" s="757"/>
      <c r="AA18" s="760"/>
      <c r="AB18" s="757"/>
      <c r="AC18" s="761">
        <v>600</v>
      </c>
      <c r="AD18" s="761"/>
      <c r="AE18" s="761">
        <f>'ellátottak önk.'!L16</f>
        <v>296</v>
      </c>
      <c r="AF18" s="755">
        <f t="shared" si="0"/>
        <v>600</v>
      </c>
      <c r="AG18" s="1372">
        <f t="shared" si="2"/>
        <v>296</v>
      </c>
      <c r="AH18" s="288">
        <f t="shared" si="1"/>
        <v>49.333333333333336</v>
      </c>
      <c r="AI18" s="747"/>
      <c r="AJ18" s="324"/>
    </row>
    <row r="19" spans="1:36" s="323" customFormat="1" ht="16.5" customHeight="1" x14ac:dyDescent="0.2">
      <c r="A19" s="777"/>
      <c r="B19" s="841" t="s">
        <v>492</v>
      </c>
      <c r="C19" s="754" t="s">
        <v>1059</v>
      </c>
      <c r="D19" s="756"/>
      <c r="E19" s="757"/>
      <c r="F19" s="757"/>
      <c r="G19" s="757"/>
      <c r="H19" s="758"/>
      <c r="I19" s="757"/>
      <c r="J19" s="757"/>
      <c r="K19" s="757"/>
      <c r="L19" s="759"/>
      <c r="M19" s="748"/>
      <c r="N19" s="748"/>
      <c r="O19" s="748"/>
      <c r="P19" s="759"/>
      <c r="Q19" s="757"/>
      <c r="R19" s="757"/>
      <c r="S19" s="757"/>
      <c r="T19" s="758"/>
      <c r="U19" s="757"/>
      <c r="V19" s="757"/>
      <c r="W19" s="760"/>
      <c r="X19" s="757"/>
      <c r="Y19" s="757"/>
      <c r="Z19" s="757"/>
      <c r="AA19" s="760"/>
      <c r="AB19" s="757"/>
      <c r="AC19" s="761">
        <v>800</v>
      </c>
      <c r="AD19" s="761"/>
      <c r="AE19" s="761">
        <f>'ellátottak önk.'!L17</f>
        <v>368</v>
      </c>
      <c r="AF19" s="755">
        <f t="shared" si="0"/>
        <v>800</v>
      </c>
      <c r="AG19" s="1372">
        <f t="shared" si="2"/>
        <v>368</v>
      </c>
      <c r="AH19" s="288">
        <f t="shared" si="1"/>
        <v>46</v>
      </c>
      <c r="AI19" s="747"/>
      <c r="AJ19" s="324"/>
    </row>
    <row r="20" spans="1:36" s="323" customFormat="1" ht="15.75" customHeight="1" x14ac:dyDescent="0.2">
      <c r="A20" s="777"/>
      <c r="B20" s="841" t="s">
        <v>493</v>
      </c>
      <c r="C20" s="754" t="s">
        <v>1060</v>
      </c>
      <c r="D20" s="756"/>
      <c r="E20" s="757"/>
      <c r="F20" s="757"/>
      <c r="G20" s="757"/>
      <c r="H20" s="758"/>
      <c r="I20" s="757"/>
      <c r="J20" s="757"/>
      <c r="K20" s="757"/>
      <c r="L20" s="759"/>
      <c r="M20" s="748"/>
      <c r="N20" s="748"/>
      <c r="O20" s="748"/>
      <c r="P20" s="759"/>
      <c r="Q20" s="757"/>
      <c r="R20" s="757"/>
      <c r="S20" s="757"/>
      <c r="T20" s="758"/>
      <c r="U20" s="757"/>
      <c r="V20" s="757"/>
      <c r="W20" s="760"/>
      <c r="X20" s="757"/>
      <c r="Y20" s="757"/>
      <c r="Z20" s="757"/>
      <c r="AA20" s="760"/>
      <c r="AB20" s="757"/>
      <c r="AC20" s="761">
        <v>1000</v>
      </c>
      <c r="AD20" s="761"/>
      <c r="AE20" s="761">
        <f>'ellátottak önk.'!L18</f>
        <v>550</v>
      </c>
      <c r="AF20" s="755">
        <f t="shared" si="0"/>
        <v>1000</v>
      </c>
      <c r="AG20" s="1372">
        <f t="shared" si="2"/>
        <v>550</v>
      </c>
      <c r="AH20" s="288">
        <f t="shared" si="1"/>
        <v>55.000000000000007</v>
      </c>
      <c r="AI20" s="747"/>
      <c r="AJ20" s="324"/>
    </row>
    <row r="21" spans="1:36" s="323" customFormat="1" ht="13.5" customHeight="1" x14ac:dyDescent="0.2">
      <c r="A21" s="777"/>
      <c r="B21" s="841" t="s">
        <v>529</v>
      </c>
      <c r="C21" s="754" t="s">
        <v>1061</v>
      </c>
      <c r="D21" s="756"/>
      <c r="E21" s="757"/>
      <c r="F21" s="757"/>
      <c r="G21" s="757"/>
      <c r="H21" s="758"/>
      <c r="I21" s="757"/>
      <c r="J21" s="757"/>
      <c r="K21" s="757"/>
      <c r="L21" s="759"/>
      <c r="M21" s="748"/>
      <c r="N21" s="748"/>
      <c r="O21" s="748"/>
      <c r="P21" s="759"/>
      <c r="Q21" s="757"/>
      <c r="R21" s="757"/>
      <c r="S21" s="757"/>
      <c r="T21" s="758"/>
      <c r="U21" s="757"/>
      <c r="V21" s="757"/>
      <c r="W21" s="760"/>
      <c r="X21" s="757"/>
      <c r="Y21" s="757"/>
      <c r="Z21" s="757"/>
      <c r="AA21" s="757"/>
      <c r="AB21" s="758"/>
      <c r="AC21" s="761">
        <v>717</v>
      </c>
      <c r="AD21" s="761"/>
      <c r="AE21" s="761">
        <f>'ellátottak önk.'!L19</f>
        <v>716</v>
      </c>
      <c r="AF21" s="755">
        <f t="shared" si="0"/>
        <v>717</v>
      </c>
      <c r="AG21" s="1372">
        <f t="shared" si="2"/>
        <v>716</v>
      </c>
      <c r="AH21" s="288">
        <f t="shared" si="1"/>
        <v>99.86052998605301</v>
      </c>
      <c r="AI21" s="747"/>
      <c r="AJ21" s="324"/>
    </row>
    <row r="22" spans="1:36" s="323" customFormat="1" ht="13.5" customHeight="1" x14ac:dyDescent="0.2">
      <c r="A22" s="777"/>
      <c r="B22" s="841" t="s">
        <v>530</v>
      </c>
      <c r="C22" s="754" t="s">
        <v>1378</v>
      </c>
      <c r="D22" s="756"/>
      <c r="E22" s="757"/>
      <c r="F22" s="757"/>
      <c r="G22" s="757"/>
      <c r="H22" s="758"/>
      <c r="I22" s="757"/>
      <c r="J22" s="757"/>
      <c r="K22" s="757"/>
      <c r="L22" s="759"/>
      <c r="M22" s="748"/>
      <c r="N22" s="748"/>
      <c r="O22" s="748"/>
      <c r="P22" s="759"/>
      <c r="Q22" s="757"/>
      <c r="R22" s="757"/>
      <c r="S22" s="757"/>
      <c r="T22" s="758"/>
      <c r="U22" s="757"/>
      <c r="V22" s="757"/>
      <c r="W22" s="760"/>
      <c r="X22" s="757"/>
      <c r="Y22" s="757"/>
      <c r="Z22" s="757"/>
      <c r="AA22" s="757"/>
      <c r="AB22" s="762">
        <v>2137</v>
      </c>
      <c r="AC22" s="761"/>
      <c r="AD22" s="761">
        <f>'ellátottak önk.'!K20</f>
        <v>1546</v>
      </c>
      <c r="AE22" s="761"/>
      <c r="AF22" s="755">
        <f t="shared" ref="AF22:AF75" si="3">D22+E22+H22+I22+L22+M22+P22+Q22+T22+U22+X22+Y22+AB22+AC22</f>
        <v>2137</v>
      </c>
      <c r="AG22" s="1372">
        <f t="shared" si="2"/>
        <v>1546</v>
      </c>
      <c r="AH22" s="288">
        <f t="shared" si="1"/>
        <v>72.344408048666352</v>
      </c>
      <c r="AI22" s="747"/>
      <c r="AJ22" s="324"/>
    </row>
    <row r="23" spans="1:36" s="323" customFormat="1" ht="12" customHeight="1" x14ac:dyDescent="0.2">
      <c r="A23" s="777"/>
      <c r="B23" s="841" t="s">
        <v>531</v>
      </c>
      <c r="C23" s="754" t="s">
        <v>1292</v>
      </c>
      <c r="D23" s="756"/>
      <c r="E23" s="757"/>
      <c r="F23" s="757"/>
      <c r="G23" s="757"/>
      <c r="H23" s="758"/>
      <c r="I23" s="757"/>
      <c r="J23" s="757"/>
      <c r="K23" s="757"/>
      <c r="L23" s="759"/>
      <c r="M23" s="748"/>
      <c r="N23" s="748"/>
      <c r="O23" s="748"/>
      <c r="P23" s="759"/>
      <c r="Q23" s="757"/>
      <c r="R23" s="757"/>
      <c r="S23" s="757"/>
      <c r="T23" s="758"/>
      <c r="U23" s="757"/>
      <c r="V23" s="757"/>
      <c r="W23" s="760"/>
      <c r="X23" s="757"/>
      <c r="Y23" s="757"/>
      <c r="Z23" s="757"/>
      <c r="AA23" s="757"/>
      <c r="AB23" s="758"/>
      <c r="AC23" s="761">
        <f>'ellátottak önk.'!F23</f>
        <v>1100</v>
      </c>
      <c r="AD23" s="761"/>
      <c r="AE23" s="761">
        <f>'ellátottak önk.'!L23</f>
        <v>765</v>
      </c>
      <c r="AF23" s="755">
        <f t="shared" si="3"/>
        <v>1100</v>
      </c>
      <c r="AG23" s="1372">
        <f t="shared" si="2"/>
        <v>765</v>
      </c>
      <c r="AH23" s="288">
        <f t="shared" si="1"/>
        <v>69.545454545454547</v>
      </c>
      <c r="AI23" s="747"/>
      <c r="AJ23" s="324"/>
    </row>
    <row r="24" spans="1:36" s="323" customFormat="1" ht="15" customHeight="1" x14ac:dyDescent="0.2">
      <c r="A24" s="777"/>
      <c r="B24" s="841" t="s">
        <v>532</v>
      </c>
      <c r="C24" s="754" t="s">
        <v>1293</v>
      </c>
      <c r="D24" s="756"/>
      <c r="E24" s="757"/>
      <c r="F24" s="757"/>
      <c r="G24" s="757"/>
      <c r="H24" s="758"/>
      <c r="I24" s="757"/>
      <c r="J24" s="757"/>
      <c r="K24" s="757"/>
      <c r="L24" s="759"/>
      <c r="M24" s="748"/>
      <c r="N24" s="748"/>
      <c r="O24" s="748"/>
      <c r="P24" s="759"/>
      <c r="Q24" s="757"/>
      <c r="R24" s="757"/>
      <c r="S24" s="757"/>
      <c r="T24" s="758"/>
      <c r="U24" s="757"/>
      <c r="V24" s="757"/>
      <c r="W24" s="760"/>
      <c r="X24" s="757"/>
      <c r="Y24" s="757"/>
      <c r="Z24" s="757"/>
      <c r="AA24" s="757"/>
      <c r="AB24" s="758"/>
      <c r="AC24" s="761">
        <f>'ellátottak önk.'!F22</f>
        <v>1846</v>
      </c>
      <c r="AD24" s="761"/>
      <c r="AE24" s="761">
        <f>'ellátottak önk.'!M22</f>
        <v>1846</v>
      </c>
      <c r="AF24" s="755">
        <f t="shared" si="3"/>
        <v>1846</v>
      </c>
      <c r="AG24" s="1372">
        <f t="shared" si="2"/>
        <v>1846</v>
      </c>
      <c r="AH24" s="288">
        <f t="shared" si="1"/>
        <v>100</v>
      </c>
      <c r="AI24" s="747"/>
      <c r="AJ24" s="324"/>
    </row>
    <row r="25" spans="1:36" s="323" customFormat="1" ht="13.5" customHeight="1" x14ac:dyDescent="0.2">
      <c r="A25" s="777"/>
      <c r="B25" s="841" t="s">
        <v>533</v>
      </c>
      <c r="C25" s="754" t="s">
        <v>1062</v>
      </c>
      <c r="D25" s="756"/>
      <c r="E25" s="757"/>
      <c r="F25" s="757"/>
      <c r="G25" s="757"/>
      <c r="H25" s="758"/>
      <c r="I25" s="757"/>
      <c r="J25" s="757"/>
      <c r="K25" s="757"/>
      <c r="L25" s="759">
        <v>121</v>
      </c>
      <c r="M25" s="748"/>
      <c r="N25" s="748">
        <v>120</v>
      </c>
      <c r="O25" s="748"/>
      <c r="P25" s="759"/>
      <c r="Q25" s="757"/>
      <c r="R25" s="757"/>
      <c r="S25" s="757"/>
      <c r="T25" s="758"/>
      <c r="U25" s="757"/>
      <c r="V25" s="757"/>
      <c r="W25" s="760"/>
      <c r="X25" s="757"/>
      <c r="Y25" s="757"/>
      <c r="Z25" s="757"/>
      <c r="AA25" s="757"/>
      <c r="AB25" s="762">
        <v>389</v>
      </c>
      <c r="AC25" s="761">
        <f>'ellátottak önk.'!F21</f>
        <v>0</v>
      </c>
      <c r="AD25" s="761">
        <f>'ellátottak önk.'!K21</f>
        <v>0</v>
      </c>
      <c r="AE25" s="761"/>
      <c r="AF25" s="755">
        <f t="shared" si="3"/>
        <v>510</v>
      </c>
      <c r="AG25" s="1372">
        <f t="shared" si="2"/>
        <v>120</v>
      </c>
      <c r="AH25" s="288">
        <f t="shared" si="1"/>
        <v>23.52941176470588</v>
      </c>
      <c r="AI25" s="747"/>
      <c r="AJ25" s="324"/>
    </row>
    <row r="26" spans="1:36" s="323" customFormat="1" ht="13.5" customHeight="1" x14ac:dyDescent="0.2">
      <c r="A26" s="777"/>
      <c r="B26" s="841" t="s">
        <v>534</v>
      </c>
      <c r="C26" s="754" t="s">
        <v>1282</v>
      </c>
      <c r="D26" s="756"/>
      <c r="E26" s="757"/>
      <c r="F26" s="757"/>
      <c r="G26" s="757"/>
      <c r="H26" s="758"/>
      <c r="I26" s="757"/>
      <c r="J26" s="757"/>
      <c r="K26" s="757"/>
      <c r="L26" s="759"/>
      <c r="M26" s="748"/>
      <c r="N26" s="748"/>
      <c r="O26" s="748"/>
      <c r="P26" s="759"/>
      <c r="Q26" s="757"/>
      <c r="R26" s="757"/>
      <c r="S26" s="757"/>
      <c r="T26" s="758"/>
      <c r="U26" s="757"/>
      <c r="V26" s="757"/>
      <c r="W26" s="760"/>
      <c r="X26" s="757"/>
      <c r="Y26" s="757"/>
      <c r="Z26" s="757"/>
      <c r="AA26" s="757"/>
      <c r="AB26" s="762"/>
      <c r="AC26" s="761">
        <f>'ellátottak önk.'!F24</f>
        <v>350</v>
      </c>
      <c r="AD26" s="761"/>
      <c r="AE26" s="761">
        <f>'ellátottak önk.'!L24</f>
        <v>214</v>
      </c>
      <c r="AF26" s="755">
        <f>D26+E26+H26+I26+L26+M26+P26+Q26+T26+U26+X26+Y26+AB26+AC26</f>
        <v>350</v>
      </c>
      <c r="AG26" s="1372">
        <f t="shared" si="2"/>
        <v>214</v>
      </c>
      <c r="AH26" s="288">
        <f t="shared" si="1"/>
        <v>61.142857142857146</v>
      </c>
      <c r="AI26" s="747"/>
      <c r="AJ26" s="324"/>
    </row>
    <row r="27" spans="1:36" s="323" customFormat="1" ht="13.5" customHeight="1" x14ac:dyDescent="0.2">
      <c r="A27" s="777"/>
      <c r="B27" s="841" t="s">
        <v>535</v>
      </c>
      <c r="C27" s="754" t="s">
        <v>965</v>
      </c>
      <c r="D27" s="756"/>
      <c r="E27" s="757"/>
      <c r="F27" s="757"/>
      <c r="G27" s="757"/>
      <c r="H27" s="758"/>
      <c r="I27" s="757"/>
      <c r="J27" s="757"/>
      <c r="K27" s="757"/>
      <c r="L27" s="759"/>
      <c r="M27" s="748"/>
      <c r="N27" s="748"/>
      <c r="O27" s="748"/>
      <c r="P27" s="759"/>
      <c r="Q27" s="757"/>
      <c r="R27" s="757"/>
      <c r="S27" s="757"/>
      <c r="T27" s="758"/>
      <c r="U27" s="757"/>
      <c r="V27" s="757"/>
      <c r="W27" s="760"/>
      <c r="X27" s="757"/>
      <c r="Y27" s="757"/>
      <c r="Z27" s="757"/>
      <c r="AA27" s="757"/>
      <c r="AB27" s="758"/>
      <c r="AC27" s="761">
        <f>'ellátottak önk.'!F28</f>
        <v>4200</v>
      </c>
      <c r="AD27" s="761"/>
      <c r="AE27" s="761">
        <f>'ellátottak önk.'!L28</f>
        <v>3610</v>
      </c>
      <c r="AF27" s="755">
        <f t="shared" si="3"/>
        <v>4200</v>
      </c>
      <c r="AG27" s="1372">
        <f t="shared" si="2"/>
        <v>3610</v>
      </c>
      <c r="AH27" s="288">
        <f t="shared" si="1"/>
        <v>85.952380952380963</v>
      </c>
      <c r="AI27" s="747"/>
      <c r="AJ27" s="324"/>
    </row>
    <row r="28" spans="1:36" s="323" customFormat="1" ht="12.75" customHeight="1" x14ac:dyDescent="0.2">
      <c r="A28" s="777"/>
      <c r="B28" s="841" t="s">
        <v>536</v>
      </c>
      <c r="C28" s="754" t="s">
        <v>1283</v>
      </c>
      <c r="D28" s="756"/>
      <c r="E28" s="757"/>
      <c r="F28" s="757"/>
      <c r="G28" s="757"/>
      <c r="H28" s="758"/>
      <c r="I28" s="757"/>
      <c r="J28" s="757"/>
      <c r="K28" s="757"/>
      <c r="L28" s="759"/>
      <c r="M28" s="748">
        <v>400</v>
      </c>
      <c r="N28" s="748"/>
      <c r="O28" s="748">
        <v>69</v>
      </c>
      <c r="P28" s="759"/>
      <c r="Q28" s="757"/>
      <c r="R28" s="757"/>
      <c r="S28" s="757"/>
      <c r="T28" s="758"/>
      <c r="U28" s="757"/>
      <c r="V28" s="757"/>
      <c r="W28" s="760"/>
      <c r="X28" s="757"/>
      <c r="Y28" s="757"/>
      <c r="Z28" s="757"/>
      <c r="AA28" s="757"/>
      <c r="AB28" s="762"/>
      <c r="AC28" s="761"/>
      <c r="AD28" s="761"/>
      <c r="AE28" s="761"/>
      <c r="AF28" s="755">
        <f t="shared" si="3"/>
        <v>400</v>
      </c>
      <c r="AG28" s="1372">
        <f t="shared" si="2"/>
        <v>69</v>
      </c>
      <c r="AH28" s="288">
        <f t="shared" si="1"/>
        <v>17.25</v>
      </c>
      <c r="AI28" s="747"/>
      <c r="AJ28" s="324"/>
    </row>
    <row r="29" spans="1:36" s="323" customFormat="1" ht="14.25" customHeight="1" x14ac:dyDescent="0.2">
      <c r="A29" s="777"/>
      <c r="B29" s="841" t="s">
        <v>538</v>
      </c>
      <c r="C29" s="754" t="s">
        <v>1290</v>
      </c>
      <c r="D29" s="756"/>
      <c r="E29" s="757"/>
      <c r="F29" s="757"/>
      <c r="G29" s="757"/>
      <c r="H29" s="758"/>
      <c r="I29" s="757"/>
      <c r="J29" s="757"/>
      <c r="K29" s="757"/>
      <c r="L29" s="759">
        <v>1922</v>
      </c>
      <c r="M29" s="748">
        <v>2268</v>
      </c>
      <c r="N29" s="748">
        <v>1727</v>
      </c>
      <c r="O29" s="748">
        <v>1652</v>
      </c>
      <c r="P29" s="759"/>
      <c r="Q29" s="757"/>
      <c r="R29" s="757"/>
      <c r="S29" s="757"/>
      <c r="T29" s="758"/>
      <c r="U29" s="757"/>
      <c r="V29" s="757"/>
      <c r="W29" s="760"/>
      <c r="X29" s="757"/>
      <c r="Y29" s="757"/>
      <c r="Z29" s="757"/>
      <c r="AA29" s="757"/>
      <c r="AB29" s="762">
        <f>'ellátottak önk.'!E26</f>
        <v>0</v>
      </c>
      <c r="AC29" s="761">
        <v>0</v>
      </c>
      <c r="AD29" s="761"/>
      <c r="AE29" s="761"/>
      <c r="AF29" s="755">
        <f t="shared" si="3"/>
        <v>4190</v>
      </c>
      <c r="AG29" s="1372">
        <f t="shared" si="2"/>
        <v>3379</v>
      </c>
      <c r="AH29" s="288">
        <f t="shared" si="1"/>
        <v>80.644391408114558</v>
      </c>
      <c r="AI29" s="747"/>
      <c r="AJ29" s="324"/>
    </row>
    <row r="30" spans="1:36" s="323" customFormat="1" ht="15" customHeight="1" x14ac:dyDescent="0.2">
      <c r="A30" s="777"/>
      <c r="B30" s="841" t="s">
        <v>539</v>
      </c>
      <c r="C30" s="81" t="s">
        <v>1294</v>
      </c>
      <c r="D30" s="461"/>
      <c r="E30" s="275"/>
      <c r="F30" s="275"/>
      <c r="G30" s="275"/>
      <c r="H30" s="459"/>
      <c r="I30" s="275"/>
      <c r="J30" s="275"/>
      <c r="K30" s="275"/>
      <c r="L30" s="459"/>
      <c r="M30" s="275">
        <v>20</v>
      </c>
      <c r="N30" s="275"/>
      <c r="O30" s="275"/>
      <c r="P30" s="459"/>
      <c r="Q30" s="275"/>
      <c r="R30" s="275"/>
      <c r="S30" s="275"/>
      <c r="T30" s="459"/>
      <c r="U30" s="275"/>
      <c r="V30" s="275"/>
      <c r="W30" s="436"/>
      <c r="X30" s="275"/>
      <c r="Y30" s="275"/>
      <c r="Z30" s="275"/>
      <c r="AA30" s="275"/>
      <c r="AB30" s="459"/>
      <c r="AC30" s="275"/>
      <c r="AD30" s="275"/>
      <c r="AE30" s="275"/>
      <c r="AF30" s="755">
        <f t="shared" si="3"/>
        <v>20</v>
      </c>
      <c r="AG30" s="1372">
        <f t="shared" si="2"/>
        <v>0</v>
      </c>
      <c r="AH30" s="288">
        <f t="shared" si="1"/>
        <v>0</v>
      </c>
      <c r="AI30" s="747"/>
      <c r="AJ30" s="324"/>
    </row>
    <row r="31" spans="1:36" s="323" customFormat="1" ht="15" customHeight="1" x14ac:dyDescent="0.2">
      <c r="A31" s="777"/>
      <c r="B31" s="841" t="s">
        <v>540</v>
      </c>
      <c r="C31" s="81" t="s">
        <v>1295</v>
      </c>
      <c r="D31" s="461"/>
      <c r="E31" s="275"/>
      <c r="F31" s="275"/>
      <c r="G31" s="275"/>
      <c r="H31" s="459"/>
      <c r="I31" s="275"/>
      <c r="J31" s="275"/>
      <c r="K31" s="275"/>
      <c r="L31" s="459"/>
      <c r="M31" s="275">
        <v>110</v>
      </c>
      <c r="N31" s="275"/>
      <c r="O31" s="275"/>
      <c r="P31" s="459"/>
      <c r="Q31" s="275"/>
      <c r="R31" s="275"/>
      <c r="S31" s="275"/>
      <c r="T31" s="459"/>
      <c r="U31" s="275"/>
      <c r="V31" s="275"/>
      <c r="W31" s="436"/>
      <c r="X31" s="275"/>
      <c r="Y31" s="275"/>
      <c r="Z31" s="275"/>
      <c r="AA31" s="275"/>
      <c r="AB31" s="459"/>
      <c r="AC31" s="275"/>
      <c r="AD31" s="275"/>
      <c r="AE31" s="275"/>
      <c r="AF31" s="755">
        <f t="shared" si="3"/>
        <v>110</v>
      </c>
      <c r="AG31" s="1372">
        <f t="shared" si="2"/>
        <v>0</v>
      </c>
      <c r="AH31" s="288">
        <f t="shared" si="1"/>
        <v>0</v>
      </c>
      <c r="AI31" s="747"/>
      <c r="AJ31" s="324"/>
    </row>
    <row r="32" spans="1:36" s="323" customFormat="1" ht="15" customHeight="1" x14ac:dyDescent="0.2">
      <c r="A32" s="777"/>
      <c r="B32" s="841" t="s">
        <v>541</v>
      </c>
      <c r="C32" s="81" t="s">
        <v>966</v>
      </c>
      <c r="D32" s="461"/>
      <c r="E32" s="275"/>
      <c r="F32" s="275"/>
      <c r="G32" s="275"/>
      <c r="H32" s="459"/>
      <c r="I32" s="275"/>
      <c r="J32" s="275"/>
      <c r="K32" s="275"/>
      <c r="L32" s="459">
        <v>6431</v>
      </c>
      <c r="M32" s="275">
        <v>3554</v>
      </c>
      <c r="N32" s="275">
        <v>5192</v>
      </c>
      <c r="O32" s="275">
        <v>2869</v>
      </c>
      <c r="P32" s="459"/>
      <c r="Q32" s="275"/>
      <c r="R32" s="275"/>
      <c r="S32" s="275"/>
      <c r="T32" s="459"/>
      <c r="U32" s="275"/>
      <c r="V32" s="275"/>
      <c r="W32" s="436"/>
      <c r="X32" s="275"/>
      <c r="Y32" s="275"/>
      <c r="Z32" s="275"/>
      <c r="AA32" s="275"/>
      <c r="AB32" s="459"/>
      <c r="AC32" s="275"/>
      <c r="AD32" s="275"/>
      <c r="AE32" s="275"/>
      <c r="AF32" s="755">
        <f t="shared" si="3"/>
        <v>9985</v>
      </c>
      <c r="AG32" s="1372">
        <f t="shared" si="2"/>
        <v>8061</v>
      </c>
      <c r="AH32" s="288">
        <f t="shared" si="1"/>
        <v>80.731096644967451</v>
      </c>
      <c r="AI32" s="747"/>
      <c r="AJ32" s="324"/>
    </row>
    <row r="33" spans="1:36" s="323" customFormat="1" ht="15" customHeight="1" x14ac:dyDescent="0.2">
      <c r="A33" s="777"/>
      <c r="B33" s="841" t="s">
        <v>542</v>
      </c>
      <c r="C33" s="81" t="s">
        <v>1296</v>
      </c>
      <c r="D33" s="461"/>
      <c r="E33" s="275"/>
      <c r="F33" s="275"/>
      <c r="G33" s="275"/>
      <c r="H33" s="459"/>
      <c r="I33" s="275"/>
      <c r="J33" s="275"/>
      <c r="K33" s="275"/>
      <c r="L33" s="459">
        <v>288</v>
      </c>
      <c r="M33" s="275">
        <v>13763</v>
      </c>
      <c r="N33" s="275">
        <v>149</v>
      </c>
      <c r="O33" s="275">
        <v>7125</v>
      </c>
      <c r="P33" s="459"/>
      <c r="Q33" s="275"/>
      <c r="R33" s="275"/>
      <c r="S33" s="275"/>
      <c r="T33" s="459"/>
      <c r="U33" s="275"/>
      <c r="V33" s="275"/>
      <c r="W33" s="436"/>
      <c r="X33" s="275"/>
      <c r="Y33" s="275"/>
      <c r="Z33" s="275"/>
      <c r="AA33" s="275"/>
      <c r="AB33" s="459"/>
      <c r="AC33" s="275"/>
      <c r="AD33" s="275"/>
      <c r="AE33" s="275"/>
      <c r="AF33" s="755">
        <f t="shared" si="3"/>
        <v>14051</v>
      </c>
      <c r="AG33" s="1372">
        <f t="shared" si="2"/>
        <v>7274</v>
      </c>
      <c r="AH33" s="288">
        <f t="shared" si="1"/>
        <v>51.768557398049964</v>
      </c>
      <c r="AI33" s="747"/>
      <c r="AJ33" s="324"/>
    </row>
    <row r="34" spans="1:36" s="323" customFormat="1" ht="15" customHeight="1" x14ac:dyDescent="0.2">
      <c r="A34" s="777"/>
      <c r="B34" s="841" t="s">
        <v>543</v>
      </c>
      <c r="C34" s="81" t="s">
        <v>1297</v>
      </c>
      <c r="D34" s="461">
        <v>44895</v>
      </c>
      <c r="E34" s="275"/>
      <c r="F34" s="1486">
        <v>44895</v>
      </c>
      <c r="G34" s="275"/>
      <c r="H34" s="459">
        <v>8035</v>
      </c>
      <c r="I34" s="275"/>
      <c r="J34" s="1478">
        <v>8034</v>
      </c>
      <c r="K34" s="275"/>
      <c r="L34" s="459">
        <v>1220</v>
      </c>
      <c r="M34" s="275"/>
      <c r="N34" s="275">
        <v>832</v>
      </c>
      <c r="O34" s="275"/>
      <c r="P34" s="459"/>
      <c r="Q34" s="275"/>
      <c r="R34" s="275"/>
      <c r="S34" s="275"/>
      <c r="T34" s="459"/>
      <c r="U34" s="275"/>
      <c r="V34" s="275"/>
      <c r="W34" s="436"/>
      <c r="X34" s="275"/>
      <c r="Y34" s="275"/>
      <c r="Z34" s="275"/>
      <c r="AA34" s="275"/>
      <c r="AB34" s="459"/>
      <c r="AC34" s="275"/>
      <c r="AD34" s="275"/>
      <c r="AE34" s="275"/>
      <c r="AF34" s="755">
        <f t="shared" si="3"/>
        <v>54150</v>
      </c>
      <c r="AG34" s="1372">
        <f t="shared" si="2"/>
        <v>53761</v>
      </c>
      <c r="AH34" s="288">
        <f t="shared" si="1"/>
        <v>99.281625115420127</v>
      </c>
      <c r="AI34" s="747"/>
      <c r="AJ34" s="324"/>
    </row>
    <row r="35" spans="1:36" s="323" customFormat="1" ht="15" customHeight="1" x14ac:dyDescent="0.2">
      <c r="A35" s="777"/>
      <c r="B35" s="841" t="s">
        <v>544</v>
      </c>
      <c r="C35" s="81" t="s">
        <v>1298</v>
      </c>
      <c r="D35" s="461">
        <v>0</v>
      </c>
      <c r="E35" s="275"/>
      <c r="F35" s="275"/>
      <c r="G35" s="275"/>
      <c r="H35" s="459">
        <v>0</v>
      </c>
      <c r="I35" s="275"/>
      <c r="J35" s="275"/>
      <c r="K35" s="275"/>
      <c r="L35" s="459">
        <v>3361</v>
      </c>
      <c r="M35" s="275"/>
      <c r="N35" s="275">
        <v>3277</v>
      </c>
      <c r="O35" s="275"/>
      <c r="P35" s="459"/>
      <c r="Q35" s="275"/>
      <c r="R35" s="275"/>
      <c r="S35" s="275"/>
      <c r="T35" s="459"/>
      <c r="U35" s="275"/>
      <c r="V35" s="275"/>
      <c r="W35" s="436"/>
      <c r="X35" s="275"/>
      <c r="Y35" s="275"/>
      <c r="Z35" s="275"/>
      <c r="AA35" s="275"/>
      <c r="AB35" s="459"/>
      <c r="AC35" s="275"/>
      <c r="AD35" s="275"/>
      <c r="AE35" s="275"/>
      <c r="AF35" s="755">
        <f t="shared" si="3"/>
        <v>3361</v>
      </c>
      <c r="AG35" s="1372">
        <f t="shared" si="2"/>
        <v>3277</v>
      </c>
      <c r="AH35" s="288">
        <f t="shared" si="1"/>
        <v>97.500743826242186</v>
      </c>
      <c r="AI35" s="747"/>
      <c r="AJ35" s="324"/>
    </row>
    <row r="36" spans="1:36" s="533" customFormat="1" ht="15" customHeight="1" x14ac:dyDescent="0.2">
      <c r="A36" s="778"/>
      <c r="B36" s="841" t="s">
        <v>545</v>
      </c>
      <c r="C36" s="763" t="s">
        <v>1299</v>
      </c>
      <c r="D36" s="764"/>
      <c r="E36" s="462">
        <f>2200+1000</f>
        <v>3200</v>
      </c>
      <c r="F36" s="462"/>
      <c r="G36" s="462">
        <v>1557</v>
      </c>
      <c r="H36" s="460"/>
      <c r="I36" s="462">
        <f>600+200</f>
        <v>800</v>
      </c>
      <c r="J36" s="462"/>
      <c r="K36" s="462">
        <v>246</v>
      </c>
      <c r="L36" s="460"/>
      <c r="M36" s="462">
        <f>9272+2000</f>
        <v>11272</v>
      </c>
      <c r="N36" s="462"/>
      <c r="O36" s="462">
        <v>9175</v>
      </c>
      <c r="P36" s="460"/>
      <c r="Q36" s="462"/>
      <c r="R36" s="462"/>
      <c r="S36" s="462"/>
      <c r="T36" s="460"/>
      <c r="U36" s="462"/>
      <c r="V36" s="462"/>
      <c r="W36" s="765"/>
      <c r="X36" s="462"/>
      <c r="Y36" s="462"/>
      <c r="Z36" s="462"/>
      <c r="AA36" s="462"/>
      <c r="AB36" s="460"/>
      <c r="AC36" s="462"/>
      <c r="AD36" s="462"/>
      <c r="AE36" s="462"/>
      <c r="AF36" s="755">
        <f t="shared" si="3"/>
        <v>15272</v>
      </c>
      <c r="AG36" s="1372">
        <f t="shared" si="2"/>
        <v>10978</v>
      </c>
      <c r="AH36" s="288">
        <f t="shared" si="1"/>
        <v>71.883184913567305</v>
      </c>
      <c r="AI36" s="1369"/>
      <c r="AJ36" s="532"/>
    </row>
    <row r="37" spans="1:36" s="323" customFormat="1" ht="15" customHeight="1" x14ac:dyDescent="0.2">
      <c r="A37" s="777"/>
      <c r="B37" s="841" t="s">
        <v>563</v>
      </c>
      <c r="C37" s="81" t="s">
        <v>1300</v>
      </c>
      <c r="D37" s="461"/>
      <c r="E37" s="275"/>
      <c r="F37" s="275"/>
      <c r="G37" s="436"/>
      <c r="H37" s="275"/>
      <c r="I37" s="275"/>
      <c r="J37" s="275"/>
      <c r="K37" s="275"/>
      <c r="L37" s="459">
        <f>20530-5939</f>
        <v>14591</v>
      </c>
      <c r="M37" s="275"/>
      <c r="N37" s="275">
        <v>9092</v>
      </c>
      <c r="O37" s="275"/>
      <c r="P37" s="459"/>
      <c r="Q37" s="275"/>
      <c r="R37" s="275"/>
      <c r="S37" s="275"/>
      <c r="T37" s="459"/>
      <c r="U37" s="275"/>
      <c r="V37" s="275"/>
      <c r="W37" s="436"/>
      <c r="X37" s="275"/>
      <c r="Y37" s="275"/>
      <c r="Z37" s="275"/>
      <c r="AA37" s="275"/>
      <c r="AB37" s="459"/>
      <c r="AC37" s="275"/>
      <c r="AD37" s="275"/>
      <c r="AE37" s="275"/>
      <c r="AF37" s="755">
        <f t="shared" si="3"/>
        <v>14591</v>
      </c>
      <c r="AG37" s="1372">
        <f t="shared" si="2"/>
        <v>9092</v>
      </c>
      <c r="AH37" s="288">
        <f t="shared" si="1"/>
        <v>62.312384346514968</v>
      </c>
      <c r="AI37" s="747"/>
      <c r="AJ37" s="324"/>
    </row>
    <row r="38" spans="1:36" s="323" customFormat="1" ht="21.75" customHeight="1" x14ac:dyDescent="0.2">
      <c r="A38" s="777"/>
      <c r="B38" s="841" t="s">
        <v>564</v>
      </c>
      <c r="C38" s="766" t="s">
        <v>1284</v>
      </c>
      <c r="D38" s="461"/>
      <c r="E38" s="275"/>
      <c r="F38" s="275"/>
      <c r="G38" s="275"/>
      <c r="H38" s="459"/>
      <c r="I38" s="275"/>
      <c r="J38" s="275"/>
      <c r="K38" s="275"/>
      <c r="L38" s="767">
        <v>12738</v>
      </c>
      <c r="M38" s="748"/>
      <c r="N38" s="748">
        <v>1890</v>
      </c>
      <c r="O38" s="748"/>
      <c r="P38" s="767"/>
      <c r="Q38" s="748"/>
      <c r="R38" s="748"/>
      <c r="S38" s="748"/>
      <c r="T38" s="767"/>
      <c r="U38" s="748"/>
      <c r="V38" s="748"/>
      <c r="W38" s="749"/>
      <c r="X38" s="748"/>
      <c r="Y38" s="748"/>
      <c r="Z38" s="748"/>
      <c r="AA38" s="748"/>
      <c r="AB38" s="767"/>
      <c r="AC38" s="748"/>
      <c r="AD38" s="748"/>
      <c r="AE38" s="748"/>
      <c r="AF38" s="755">
        <f t="shared" si="3"/>
        <v>12738</v>
      </c>
      <c r="AG38" s="1372">
        <f t="shared" si="2"/>
        <v>1890</v>
      </c>
      <c r="AH38" s="288">
        <f t="shared" si="1"/>
        <v>14.837494112105512</v>
      </c>
      <c r="AI38" s="747"/>
      <c r="AJ38" s="324"/>
    </row>
    <row r="39" spans="1:36" s="323" customFormat="1" ht="23.25" customHeight="1" x14ac:dyDescent="0.2">
      <c r="A39" s="777"/>
      <c r="B39" s="841" t="s">
        <v>565</v>
      </c>
      <c r="C39" s="766" t="s">
        <v>1250</v>
      </c>
      <c r="D39" s="461"/>
      <c r="E39" s="275"/>
      <c r="F39" s="275"/>
      <c r="G39" s="275"/>
      <c r="H39" s="459"/>
      <c r="I39" s="275"/>
      <c r="J39" s="275"/>
      <c r="K39" s="275"/>
      <c r="L39" s="767"/>
      <c r="M39" s="748"/>
      <c r="N39" s="748"/>
      <c r="O39" s="748"/>
      <c r="P39" s="767"/>
      <c r="Q39" s="748">
        <v>1778</v>
      </c>
      <c r="R39" s="748"/>
      <c r="S39" s="748">
        <f>mc.pe.átad!I22</f>
        <v>1777</v>
      </c>
      <c r="T39" s="767"/>
      <c r="U39" s="748"/>
      <c r="V39" s="748"/>
      <c r="W39" s="749"/>
      <c r="X39" s="748"/>
      <c r="Y39" s="748"/>
      <c r="Z39" s="748"/>
      <c r="AA39" s="748"/>
      <c r="AB39" s="767"/>
      <c r="AC39" s="748"/>
      <c r="AD39" s="748"/>
      <c r="AE39" s="748"/>
      <c r="AF39" s="755">
        <f t="shared" si="3"/>
        <v>1778</v>
      </c>
      <c r="AG39" s="1372">
        <f t="shared" si="2"/>
        <v>1777</v>
      </c>
      <c r="AH39" s="288">
        <f t="shared" si="1"/>
        <v>99.943757030371202</v>
      </c>
      <c r="AI39" s="747"/>
      <c r="AJ39" s="324"/>
    </row>
    <row r="40" spans="1:36" s="323" customFormat="1" ht="15" customHeight="1" x14ac:dyDescent="0.2">
      <c r="A40" s="777"/>
      <c r="B40" s="841" t="s">
        <v>566</v>
      </c>
      <c r="C40" s="81" t="s">
        <v>1286</v>
      </c>
      <c r="D40" s="461"/>
      <c r="E40" s="275"/>
      <c r="F40" s="275"/>
      <c r="G40" s="275"/>
      <c r="H40" s="459"/>
      <c r="I40" s="275"/>
      <c r="J40" s="275"/>
      <c r="K40" s="275"/>
      <c r="L40" s="459">
        <v>6833</v>
      </c>
      <c r="M40" s="275"/>
      <c r="N40" s="1478">
        <v>6066</v>
      </c>
      <c r="O40" s="1502"/>
      <c r="P40" s="459"/>
      <c r="Q40" s="275"/>
      <c r="R40" s="275"/>
      <c r="S40" s="275"/>
      <c r="T40" s="459"/>
      <c r="U40" s="275"/>
      <c r="V40" s="275"/>
      <c r="W40" s="436"/>
      <c r="X40" s="275"/>
      <c r="Y40" s="275"/>
      <c r="Z40" s="275"/>
      <c r="AA40" s="275"/>
      <c r="AB40" s="459"/>
      <c r="AC40" s="275"/>
      <c r="AD40" s="275"/>
      <c r="AE40" s="275"/>
      <c r="AF40" s="755">
        <f t="shared" si="3"/>
        <v>6833</v>
      </c>
      <c r="AG40" s="1372">
        <f t="shared" si="2"/>
        <v>6066</v>
      </c>
      <c r="AH40" s="288">
        <f t="shared" si="1"/>
        <v>88.775062198156007</v>
      </c>
      <c r="AI40" s="747"/>
      <c r="AJ40" s="324"/>
    </row>
    <row r="41" spans="1:36" s="323" customFormat="1" ht="15" customHeight="1" x14ac:dyDescent="0.2">
      <c r="A41" s="777"/>
      <c r="B41" s="841" t="s">
        <v>567</v>
      </c>
      <c r="C41" s="81" t="s">
        <v>1287</v>
      </c>
      <c r="D41" s="461"/>
      <c r="E41" s="275"/>
      <c r="F41" s="275"/>
      <c r="G41" s="275"/>
      <c r="H41" s="459"/>
      <c r="I41" s="275"/>
      <c r="J41" s="275"/>
      <c r="K41" s="275"/>
      <c r="L41" s="1500">
        <v>62103</v>
      </c>
      <c r="M41" s="1501">
        <v>6648</v>
      </c>
      <c r="N41" s="2009">
        <v>67361</v>
      </c>
      <c r="O41" s="2012">
        <v>6211</v>
      </c>
      <c r="P41" s="459"/>
      <c r="Q41" s="275"/>
      <c r="R41" s="275"/>
      <c r="S41" s="275"/>
      <c r="T41" s="459"/>
      <c r="U41" s="275"/>
      <c r="V41" s="275"/>
      <c r="W41" s="436"/>
      <c r="X41" s="275"/>
      <c r="Y41" s="275"/>
      <c r="Z41" s="275"/>
      <c r="AA41" s="275"/>
      <c r="AB41" s="459"/>
      <c r="AC41" s="275"/>
      <c r="AD41" s="275"/>
      <c r="AE41" s="275"/>
      <c r="AF41" s="1499">
        <f t="shared" si="3"/>
        <v>68751</v>
      </c>
      <c r="AG41" s="2015">
        <f t="shared" si="2"/>
        <v>73572</v>
      </c>
      <c r="AH41" s="2018">
        <f>(AG41/(AF41+AF42+AF43))*100</f>
        <v>93.423575573643518</v>
      </c>
      <c r="AI41" s="747"/>
      <c r="AJ41" s="324"/>
    </row>
    <row r="42" spans="1:36" s="323" customFormat="1" ht="24" customHeight="1" x14ac:dyDescent="0.2">
      <c r="A42" s="777"/>
      <c r="B42" s="841" t="s">
        <v>568</v>
      </c>
      <c r="C42" s="754" t="s">
        <v>1030</v>
      </c>
      <c r="D42" s="892"/>
      <c r="E42" s="893"/>
      <c r="F42" s="893"/>
      <c r="G42" s="893"/>
      <c r="H42" s="894"/>
      <c r="I42" s="893"/>
      <c r="J42" s="893"/>
      <c r="K42" s="893"/>
      <c r="L42" s="894">
        <v>5000</v>
      </c>
      <c r="M42" s="893"/>
      <c r="N42" s="2010"/>
      <c r="O42" s="2013"/>
      <c r="P42" s="894"/>
      <c r="Q42" s="893"/>
      <c r="R42" s="893"/>
      <c r="S42" s="893"/>
      <c r="T42" s="894"/>
      <c r="U42" s="893"/>
      <c r="V42" s="893"/>
      <c r="W42" s="895"/>
      <c r="X42" s="893"/>
      <c r="Y42" s="893"/>
      <c r="Z42" s="893"/>
      <c r="AA42" s="893"/>
      <c r="AB42" s="894"/>
      <c r="AC42" s="893"/>
      <c r="AD42" s="893"/>
      <c r="AE42" s="893"/>
      <c r="AF42" s="755">
        <f t="shared" si="3"/>
        <v>5000</v>
      </c>
      <c r="AG42" s="2016"/>
      <c r="AH42" s="2018"/>
      <c r="AI42" s="1496"/>
      <c r="AJ42" s="324"/>
    </row>
    <row r="43" spans="1:36" s="323" customFormat="1" ht="24" customHeight="1" x14ac:dyDescent="0.2">
      <c r="A43" s="777"/>
      <c r="B43" s="841" t="s">
        <v>569</v>
      </c>
      <c r="C43" s="766" t="s">
        <v>1108</v>
      </c>
      <c r="D43" s="773"/>
      <c r="E43" s="748"/>
      <c r="F43" s="748"/>
      <c r="G43" s="748"/>
      <c r="H43" s="767"/>
      <c r="I43" s="748"/>
      <c r="J43" s="748"/>
      <c r="K43" s="748"/>
      <c r="L43" s="1503">
        <v>5000</v>
      </c>
      <c r="M43" s="1504"/>
      <c r="N43" s="2011"/>
      <c r="O43" s="2014"/>
      <c r="P43" s="767"/>
      <c r="Q43" s="748"/>
      <c r="R43" s="748"/>
      <c r="S43" s="748"/>
      <c r="T43" s="767"/>
      <c r="U43" s="748"/>
      <c r="V43" s="748"/>
      <c r="W43" s="749"/>
      <c r="X43" s="748"/>
      <c r="Y43" s="748"/>
      <c r="Z43" s="748"/>
      <c r="AA43" s="748"/>
      <c r="AB43" s="767"/>
      <c r="AC43" s="748"/>
      <c r="AD43" s="748"/>
      <c r="AE43" s="748"/>
      <c r="AF43" s="755">
        <f t="shared" si="3"/>
        <v>5000</v>
      </c>
      <c r="AG43" s="2017"/>
      <c r="AH43" s="2018"/>
      <c r="AI43" s="747"/>
      <c r="AJ43" s="324"/>
    </row>
    <row r="44" spans="1:36" s="323" customFormat="1" ht="15" customHeight="1" x14ac:dyDescent="0.2">
      <c r="A44" s="777"/>
      <c r="B44" s="841" t="s">
        <v>570</v>
      </c>
      <c r="C44" s="81" t="s">
        <v>961</v>
      </c>
      <c r="D44" s="461"/>
      <c r="E44" s="275"/>
      <c r="F44" s="275"/>
      <c r="G44" s="275"/>
      <c r="H44" s="459"/>
      <c r="I44" s="275"/>
      <c r="J44" s="275"/>
      <c r="K44" s="275"/>
      <c r="L44" s="459"/>
      <c r="M44" s="275">
        <v>14684</v>
      </c>
      <c r="N44" s="1501"/>
      <c r="O44" s="275">
        <v>12989</v>
      </c>
      <c r="P44" s="459"/>
      <c r="Q44" s="275"/>
      <c r="R44" s="275"/>
      <c r="S44" s="275"/>
      <c r="T44" s="459"/>
      <c r="U44" s="275"/>
      <c r="V44" s="275"/>
      <c r="W44" s="436"/>
      <c r="X44" s="275"/>
      <c r="Y44" s="275"/>
      <c r="Z44" s="275"/>
      <c r="AA44" s="275"/>
      <c r="AB44" s="459"/>
      <c r="AC44" s="275"/>
      <c r="AD44" s="275"/>
      <c r="AE44" s="275"/>
      <c r="AF44" s="1499">
        <f t="shared" si="3"/>
        <v>14684</v>
      </c>
      <c r="AG44" s="1372">
        <f t="shared" si="2"/>
        <v>12989</v>
      </c>
      <c r="AH44" s="288">
        <f t="shared" si="1"/>
        <v>88.456823753745567</v>
      </c>
      <c r="AI44" s="747"/>
      <c r="AJ44" s="324"/>
    </row>
    <row r="45" spans="1:36" s="323" customFormat="1" ht="17.25" customHeight="1" x14ac:dyDescent="0.2">
      <c r="A45" s="777"/>
      <c r="B45" s="841" t="s">
        <v>571</v>
      </c>
      <c r="C45" s="766" t="s">
        <v>964</v>
      </c>
      <c r="D45" s="461"/>
      <c r="E45" s="748">
        <v>2048</v>
      </c>
      <c r="F45" s="748"/>
      <c r="G45" s="748">
        <v>1632</v>
      </c>
      <c r="H45" s="767"/>
      <c r="I45" s="748">
        <v>432</v>
      </c>
      <c r="J45" s="748"/>
      <c r="K45" s="748">
        <v>257</v>
      </c>
      <c r="L45" s="767">
        <v>350</v>
      </c>
      <c r="M45" s="748"/>
      <c r="N45" s="748">
        <v>343</v>
      </c>
      <c r="O45" s="748"/>
      <c r="P45" s="767"/>
      <c r="Q45" s="748"/>
      <c r="R45" s="748"/>
      <c r="S45" s="748"/>
      <c r="T45" s="767"/>
      <c r="U45" s="748"/>
      <c r="V45" s="748"/>
      <c r="W45" s="749"/>
      <c r="X45" s="748"/>
      <c r="Y45" s="748"/>
      <c r="Z45" s="748"/>
      <c r="AA45" s="748"/>
      <c r="AB45" s="767"/>
      <c r="AC45" s="748"/>
      <c r="AD45" s="748"/>
      <c r="AE45" s="748"/>
      <c r="AF45" s="755">
        <f t="shared" si="3"/>
        <v>2830</v>
      </c>
      <c r="AG45" s="1372">
        <f t="shared" si="2"/>
        <v>2232</v>
      </c>
      <c r="AH45" s="288">
        <f t="shared" si="1"/>
        <v>78.869257950530042</v>
      </c>
      <c r="AI45" s="747"/>
      <c r="AJ45" s="324"/>
    </row>
    <row r="46" spans="1:36" s="323" customFormat="1" ht="15" customHeight="1" x14ac:dyDescent="0.2">
      <c r="A46" s="777"/>
      <c r="B46" s="841" t="s">
        <v>622</v>
      </c>
      <c r="C46" s="81" t="s">
        <v>959</v>
      </c>
      <c r="D46" s="461"/>
      <c r="E46" s="275">
        <v>3562</v>
      </c>
      <c r="F46" s="275"/>
      <c r="G46" s="275">
        <v>1185</v>
      </c>
      <c r="H46" s="459"/>
      <c r="I46" s="275">
        <v>2000</v>
      </c>
      <c r="J46" s="275"/>
      <c r="K46" s="275">
        <v>570</v>
      </c>
      <c r="L46" s="459"/>
      <c r="M46" s="275">
        <v>12716</v>
      </c>
      <c r="N46" s="275"/>
      <c r="O46" s="275">
        <v>6408</v>
      </c>
      <c r="P46" s="459"/>
      <c r="Q46" s="275"/>
      <c r="R46" s="275"/>
      <c r="S46" s="275"/>
      <c r="T46" s="459"/>
      <c r="U46" s="275"/>
      <c r="V46" s="275"/>
      <c r="W46" s="436"/>
      <c r="X46" s="275"/>
      <c r="Y46" s="275"/>
      <c r="Z46" s="275"/>
      <c r="AA46" s="275"/>
      <c r="AB46" s="459"/>
      <c r="AC46" s="275"/>
      <c r="AD46" s="275"/>
      <c r="AE46" s="275"/>
      <c r="AF46" s="755">
        <f t="shared" si="3"/>
        <v>18278</v>
      </c>
      <c r="AG46" s="1372">
        <f t="shared" si="2"/>
        <v>8163</v>
      </c>
      <c r="AH46" s="288">
        <f t="shared" si="1"/>
        <v>44.660247291826238</v>
      </c>
      <c r="AI46" s="747"/>
      <c r="AJ46" s="324"/>
    </row>
    <row r="47" spans="1:36" s="323" customFormat="1" ht="15" customHeight="1" x14ac:dyDescent="0.2">
      <c r="A47" s="777"/>
      <c r="B47" s="841" t="s">
        <v>623</v>
      </c>
      <c r="C47" s="81" t="s">
        <v>960</v>
      </c>
      <c r="D47" s="461"/>
      <c r="E47" s="275"/>
      <c r="F47" s="275"/>
      <c r="G47" s="275"/>
      <c r="H47" s="459"/>
      <c r="I47" s="275"/>
      <c r="J47" s="275"/>
      <c r="K47" s="275"/>
      <c r="L47" s="459"/>
      <c r="M47" s="275">
        <v>0</v>
      </c>
      <c r="N47" s="275"/>
      <c r="O47" s="275"/>
      <c r="P47" s="459"/>
      <c r="Q47" s="275"/>
      <c r="R47" s="275"/>
      <c r="S47" s="275"/>
      <c r="T47" s="459"/>
      <c r="U47" s="275"/>
      <c r="V47" s="275"/>
      <c r="W47" s="436"/>
      <c r="X47" s="275"/>
      <c r="Y47" s="275"/>
      <c r="Z47" s="275"/>
      <c r="AA47" s="275"/>
      <c r="AB47" s="459"/>
      <c r="AC47" s="275"/>
      <c r="AD47" s="275"/>
      <c r="AE47" s="275"/>
      <c r="AF47" s="755">
        <f t="shared" si="3"/>
        <v>0</v>
      </c>
      <c r="AG47" s="1372">
        <f t="shared" si="2"/>
        <v>0</v>
      </c>
      <c r="AH47" s="288"/>
      <c r="AI47" s="747"/>
      <c r="AJ47" s="324"/>
    </row>
    <row r="48" spans="1:36" s="323" customFormat="1" ht="15" customHeight="1" x14ac:dyDescent="0.2">
      <c r="A48" s="777"/>
      <c r="B48" s="841" t="s">
        <v>624</v>
      </c>
      <c r="C48" s="81" t="s">
        <v>1028</v>
      </c>
      <c r="D48" s="461"/>
      <c r="E48" s="275"/>
      <c r="F48" s="275"/>
      <c r="G48" s="275"/>
      <c r="H48" s="459"/>
      <c r="I48" s="275"/>
      <c r="J48" s="275"/>
      <c r="K48" s="275"/>
      <c r="L48" s="459">
        <v>634</v>
      </c>
      <c r="M48" s="275">
        <v>32817</v>
      </c>
      <c r="N48" s="275">
        <v>258</v>
      </c>
      <c r="O48" s="275">
        <v>13338</v>
      </c>
      <c r="P48" s="459"/>
      <c r="Q48" s="275"/>
      <c r="R48" s="275"/>
      <c r="S48" s="275"/>
      <c r="T48" s="459"/>
      <c r="U48" s="275"/>
      <c r="V48" s="275"/>
      <c r="W48" s="436"/>
      <c r="X48" s="275"/>
      <c r="Y48" s="275"/>
      <c r="Z48" s="275"/>
      <c r="AA48" s="275"/>
      <c r="AB48" s="459"/>
      <c r="AC48" s="275"/>
      <c r="AD48" s="275"/>
      <c r="AE48" s="275"/>
      <c r="AF48" s="755">
        <f t="shared" si="3"/>
        <v>33451</v>
      </c>
      <c r="AG48" s="1372">
        <f t="shared" si="2"/>
        <v>13596</v>
      </c>
      <c r="AH48" s="288">
        <f t="shared" si="1"/>
        <v>40.644524827359426</v>
      </c>
      <c r="AI48" s="747"/>
      <c r="AJ48" s="324"/>
    </row>
    <row r="49" spans="1:36" s="323" customFormat="1" ht="15" customHeight="1" x14ac:dyDescent="0.2">
      <c r="A49" s="777"/>
      <c r="B49" s="841" t="s">
        <v>625</v>
      </c>
      <c r="C49" s="754" t="s">
        <v>962</v>
      </c>
      <c r="D49" s="768">
        <v>10187</v>
      </c>
      <c r="E49" s="769">
        <v>3061</v>
      </c>
      <c r="F49" s="769">
        <v>10180</v>
      </c>
      <c r="G49" s="769">
        <v>3059</v>
      </c>
      <c r="H49" s="759">
        <v>1945</v>
      </c>
      <c r="I49" s="748">
        <v>606</v>
      </c>
      <c r="J49" s="748">
        <v>1940</v>
      </c>
      <c r="K49" s="748">
        <v>604</v>
      </c>
      <c r="L49" s="759">
        <v>10605</v>
      </c>
      <c r="M49" s="769"/>
      <c r="N49" s="769">
        <v>9526</v>
      </c>
      <c r="O49" s="769"/>
      <c r="P49" s="759"/>
      <c r="Q49" s="757"/>
      <c r="R49" s="757"/>
      <c r="S49" s="757"/>
      <c r="T49" s="758"/>
      <c r="U49" s="757"/>
      <c r="V49" s="757"/>
      <c r="W49" s="760"/>
      <c r="X49" s="757"/>
      <c r="Y49" s="757"/>
      <c r="Z49" s="757"/>
      <c r="AA49" s="757"/>
      <c r="AB49" s="758"/>
      <c r="AC49" s="757"/>
      <c r="AD49" s="757"/>
      <c r="AE49" s="757"/>
      <c r="AF49" s="755">
        <f t="shared" si="3"/>
        <v>26404</v>
      </c>
      <c r="AG49" s="1372">
        <f t="shared" si="2"/>
        <v>25309</v>
      </c>
      <c r="AH49" s="288">
        <f t="shared" si="1"/>
        <v>95.852901075594616</v>
      </c>
      <c r="AI49" s="747"/>
      <c r="AJ49" s="324"/>
    </row>
    <row r="50" spans="1:36" s="323" customFormat="1" ht="15" customHeight="1" x14ac:dyDescent="0.2">
      <c r="A50" s="777"/>
      <c r="B50" s="841" t="s">
        <v>115</v>
      </c>
      <c r="C50" s="81" t="s">
        <v>1301</v>
      </c>
      <c r="D50" s="461"/>
      <c r="E50" s="275">
        <v>17979</v>
      </c>
      <c r="F50" s="275"/>
      <c r="G50" s="275">
        <v>17624</v>
      </c>
      <c r="H50" s="459"/>
      <c r="I50" s="275">
        <v>7805</v>
      </c>
      <c r="J50" s="275"/>
      <c r="K50" s="275">
        <v>7803</v>
      </c>
      <c r="L50" s="459"/>
      <c r="M50" s="275">
        <v>3852</v>
      </c>
      <c r="N50" s="275"/>
      <c r="O50" s="1486">
        <v>3580</v>
      </c>
      <c r="P50" s="459"/>
      <c r="Q50" s="275"/>
      <c r="R50" s="275"/>
      <c r="S50" s="275"/>
      <c r="T50" s="459"/>
      <c r="U50" s="275"/>
      <c r="V50" s="275"/>
      <c r="W50" s="436"/>
      <c r="X50" s="275"/>
      <c r="Y50" s="275"/>
      <c r="Z50" s="275"/>
      <c r="AA50" s="275"/>
      <c r="AB50" s="459"/>
      <c r="AC50" s="275"/>
      <c r="AD50" s="275"/>
      <c r="AE50" s="275"/>
      <c r="AF50" s="755">
        <f t="shared" si="3"/>
        <v>29636</v>
      </c>
      <c r="AG50" s="1372">
        <f t="shared" si="2"/>
        <v>29007</v>
      </c>
      <c r="AH50" s="288">
        <f t="shared" si="1"/>
        <v>97.877581320016191</v>
      </c>
      <c r="AI50" s="747"/>
      <c r="AJ50" s="324"/>
    </row>
    <row r="51" spans="1:36" s="323" customFormat="1" ht="15" customHeight="1" x14ac:dyDescent="0.2">
      <c r="A51" s="777"/>
      <c r="B51" s="841" t="s">
        <v>650</v>
      </c>
      <c r="C51" s="81" t="s">
        <v>1302</v>
      </c>
      <c r="D51" s="461"/>
      <c r="E51" s="275"/>
      <c r="F51" s="275"/>
      <c r="G51" s="436"/>
      <c r="H51" s="275"/>
      <c r="I51" s="275"/>
      <c r="J51" s="275"/>
      <c r="K51" s="275"/>
      <c r="L51" s="459"/>
      <c r="M51" s="275"/>
      <c r="N51" s="275"/>
      <c r="O51" s="275"/>
      <c r="P51" s="459">
        <v>5850</v>
      </c>
      <c r="Q51" s="275">
        <v>56247</v>
      </c>
      <c r="R51" s="275">
        <f>mc.pe.átad!H16+mc.pe.átad!H18</f>
        <v>5850</v>
      </c>
      <c r="S51" s="436">
        <f>mc.pe.átad!I13+mc.pe.átad!I14+mc.pe.átad!I17+mc.pe.átad!I20</f>
        <v>45466</v>
      </c>
      <c r="T51" s="287">
        <v>139812</v>
      </c>
      <c r="U51" s="275">
        <f>mc.pe.átad!F68-U55</f>
        <v>158361</v>
      </c>
      <c r="V51" s="275">
        <f>mc.pe.átad!H68-mc.pe.átad!H63-mc.pe.átad!H64-mc.pe.átad!H30</f>
        <v>139811</v>
      </c>
      <c r="W51" s="436">
        <f>mc.pe.átad!I68-mc.pe.átad!I58</f>
        <v>155450</v>
      </c>
      <c r="X51" s="275"/>
      <c r="Y51" s="275"/>
      <c r="Z51" s="275"/>
      <c r="AA51" s="275"/>
      <c r="AB51" s="459"/>
      <c r="AC51" s="275"/>
      <c r="AD51" s="275"/>
      <c r="AE51" s="275"/>
      <c r="AF51" s="755">
        <f t="shared" si="3"/>
        <v>360270</v>
      </c>
      <c r="AG51" s="1372">
        <f t="shared" si="2"/>
        <v>346577</v>
      </c>
      <c r="AH51" s="288">
        <f t="shared" si="1"/>
        <v>96.199239459294418</v>
      </c>
      <c r="AI51" s="747"/>
      <c r="AJ51" s="324"/>
    </row>
    <row r="52" spans="1:36" s="323" customFormat="1" ht="15" customHeight="1" x14ac:dyDescent="0.2">
      <c r="A52" s="777"/>
      <c r="B52" s="841" t="s">
        <v>651</v>
      </c>
      <c r="C52" s="81" t="s">
        <v>1303</v>
      </c>
      <c r="D52" s="461"/>
      <c r="E52" s="275"/>
      <c r="F52" s="275"/>
      <c r="G52" s="436"/>
      <c r="H52" s="275"/>
      <c r="I52" s="275"/>
      <c r="J52" s="275"/>
      <c r="K52" s="436"/>
      <c r="L52" s="275"/>
      <c r="M52" s="275"/>
      <c r="N52" s="275"/>
      <c r="O52" s="436"/>
      <c r="P52" s="275"/>
      <c r="Q52" s="275"/>
      <c r="R52" s="275"/>
      <c r="S52" s="436"/>
      <c r="T52" s="287"/>
      <c r="U52" s="275"/>
      <c r="V52" s="275"/>
      <c r="W52" s="436"/>
      <c r="X52" s="275"/>
      <c r="Y52" s="275"/>
      <c r="Z52" s="275"/>
      <c r="AA52" s="436"/>
      <c r="AB52" s="275"/>
      <c r="AC52" s="275"/>
      <c r="AD52" s="275"/>
      <c r="AE52" s="436"/>
      <c r="AF52" s="755">
        <f t="shared" si="3"/>
        <v>0</v>
      </c>
      <c r="AG52" s="1372">
        <f t="shared" si="2"/>
        <v>0</v>
      </c>
      <c r="AH52" s="288"/>
      <c r="AI52" s="747"/>
      <c r="AJ52" s="324"/>
    </row>
    <row r="53" spans="1:36" s="323" customFormat="1" ht="15" customHeight="1" x14ac:dyDescent="0.2">
      <c r="A53" s="777"/>
      <c r="B53" s="841" t="s">
        <v>118</v>
      </c>
      <c r="C53" s="772" t="s">
        <v>967</v>
      </c>
      <c r="D53" s="773"/>
      <c r="E53" s="748"/>
      <c r="F53" s="748"/>
      <c r="G53" s="749"/>
      <c r="H53" s="748"/>
      <c r="I53" s="748"/>
      <c r="J53" s="748"/>
      <c r="K53" s="749"/>
      <c r="L53" s="748"/>
      <c r="M53" s="748">
        <f>2515+1134</f>
        <v>3649</v>
      </c>
      <c r="N53" s="748"/>
      <c r="O53" s="749">
        <v>2841</v>
      </c>
      <c r="P53" s="748"/>
      <c r="Q53" s="748"/>
      <c r="R53" s="748"/>
      <c r="S53" s="749"/>
      <c r="T53" s="750"/>
      <c r="U53" s="748"/>
      <c r="V53" s="748"/>
      <c r="W53" s="749"/>
      <c r="X53" s="748"/>
      <c r="Y53" s="748"/>
      <c r="Z53" s="748"/>
      <c r="AA53" s="749"/>
      <c r="AB53" s="748"/>
      <c r="AC53" s="748"/>
      <c r="AD53" s="748"/>
      <c r="AE53" s="749"/>
      <c r="AF53" s="755">
        <f t="shared" si="3"/>
        <v>3649</v>
      </c>
      <c r="AG53" s="1372">
        <f t="shared" si="2"/>
        <v>2841</v>
      </c>
      <c r="AH53" s="288">
        <f t="shared" si="1"/>
        <v>77.85694710879693</v>
      </c>
      <c r="AI53" s="747"/>
      <c r="AJ53" s="324"/>
    </row>
    <row r="54" spans="1:36" s="323" customFormat="1" ht="15" customHeight="1" x14ac:dyDescent="0.2">
      <c r="A54" s="777"/>
      <c r="B54" s="841" t="s">
        <v>119</v>
      </c>
      <c r="C54" s="772" t="s">
        <v>968</v>
      </c>
      <c r="D54" s="773"/>
      <c r="E54" s="748"/>
      <c r="F54" s="748"/>
      <c r="G54" s="749"/>
      <c r="H54" s="748"/>
      <c r="I54" s="748"/>
      <c r="J54" s="748"/>
      <c r="K54" s="749"/>
      <c r="L54" s="748"/>
      <c r="M54" s="748"/>
      <c r="N54" s="748"/>
      <c r="O54" s="749"/>
      <c r="P54" s="748"/>
      <c r="Q54" s="748"/>
      <c r="R54" s="748"/>
      <c r="S54" s="749"/>
      <c r="T54" s="750"/>
      <c r="U54" s="748"/>
      <c r="V54" s="748"/>
      <c r="W54" s="749"/>
      <c r="X54" s="748">
        <v>0</v>
      </c>
      <c r="Y54" s="748"/>
      <c r="Z54" s="748"/>
      <c r="AA54" s="749"/>
      <c r="AB54" s="748"/>
      <c r="AC54" s="748"/>
      <c r="AD54" s="748"/>
      <c r="AE54" s="749"/>
      <c r="AF54" s="755">
        <f t="shared" si="3"/>
        <v>0</v>
      </c>
      <c r="AG54" s="1372">
        <f t="shared" si="2"/>
        <v>0</v>
      </c>
      <c r="AH54" s="288"/>
      <c r="AI54" s="747"/>
      <c r="AJ54" s="324"/>
    </row>
    <row r="55" spans="1:36" s="323" customFormat="1" ht="15" customHeight="1" x14ac:dyDescent="0.2">
      <c r="A55" s="777"/>
      <c r="B55" s="841" t="s">
        <v>120</v>
      </c>
      <c r="C55" s="772" t="s">
        <v>1199</v>
      </c>
      <c r="D55" s="773"/>
      <c r="E55" s="748">
        <v>0</v>
      </c>
      <c r="F55" s="748"/>
      <c r="G55" s="749"/>
      <c r="H55" s="748"/>
      <c r="I55" s="748">
        <v>0</v>
      </c>
      <c r="J55" s="748"/>
      <c r="K55" s="749"/>
      <c r="L55" s="748"/>
      <c r="M55" s="748">
        <v>0</v>
      </c>
      <c r="N55" s="748"/>
      <c r="O55" s="749"/>
      <c r="P55" s="748"/>
      <c r="Q55" s="748"/>
      <c r="R55" s="748"/>
      <c r="S55" s="749"/>
      <c r="T55" s="750"/>
      <c r="U55" s="748">
        <v>16674</v>
      </c>
      <c r="V55" s="748"/>
      <c r="W55" s="749">
        <f>mc.pe.átad!I58</f>
        <v>16674</v>
      </c>
      <c r="X55" s="748"/>
      <c r="Y55" s="748"/>
      <c r="Z55" s="748"/>
      <c r="AA55" s="749"/>
      <c r="AB55" s="748"/>
      <c r="AC55" s="748"/>
      <c r="AD55" s="748"/>
      <c r="AE55" s="749"/>
      <c r="AF55" s="755">
        <f t="shared" si="3"/>
        <v>16674</v>
      </c>
      <c r="AG55" s="1372">
        <f t="shared" si="2"/>
        <v>16674</v>
      </c>
      <c r="AH55" s="288">
        <f t="shared" si="1"/>
        <v>100</v>
      </c>
      <c r="AI55" s="747"/>
      <c r="AJ55" s="324"/>
    </row>
    <row r="56" spans="1:36" s="323" customFormat="1" ht="15" customHeight="1" x14ac:dyDescent="0.2">
      <c r="A56" s="777"/>
      <c r="B56" s="841" t="s">
        <v>123</v>
      </c>
      <c r="C56" s="772" t="s">
        <v>969</v>
      </c>
      <c r="D56" s="773"/>
      <c r="E56" s="748"/>
      <c r="F56" s="748"/>
      <c r="G56" s="749"/>
      <c r="H56" s="748"/>
      <c r="I56" s="748"/>
      <c r="J56" s="748"/>
      <c r="K56" s="749"/>
      <c r="L56" s="748">
        <v>13361</v>
      </c>
      <c r="M56" s="748"/>
      <c r="N56" s="748">
        <v>7611</v>
      </c>
      <c r="O56" s="749"/>
      <c r="P56" s="748"/>
      <c r="Q56" s="748"/>
      <c r="R56" s="748"/>
      <c r="S56" s="749"/>
      <c r="T56" s="750"/>
      <c r="U56" s="748"/>
      <c r="V56" s="748"/>
      <c r="W56" s="749"/>
      <c r="X56" s="748"/>
      <c r="Y56" s="748"/>
      <c r="Z56" s="748"/>
      <c r="AA56" s="749"/>
      <c r="AB56" s="748"/>
      <c r="AC56" s="748"/>
      <c r="AD56" s="748"/>
      <c r="AE56" s="749"/>
      <c r="AF56" s="755">
        <f t="shared" si="3"/>
        <v>13361</v>
      </c>
      <c r="AG56" s="1372">
        <f t="shared" si="2"/>
        <v>7611</v>
      </c>
      <c r="AH56" s="288">
        <f t="shared" si="1"/>
        <v>56.964299079410218</v>
      </c>
      <c r="AI56" s="747"/>
      <c r="AJ56" s="324"/>
    </row>
    <row r="57" spans="1:36" s="323" customFormat="1" ht="30" customHeight="1" x14ac:dyDescent="0.2">
      <c r="A57" s="777"/>
      <c r="B57" s="841" t="s">
        <v>126</v>
      </c>
      <c r="C57" s="772" t="s">
        <v>1304</v>
      </c>
      <c r="D57" s="773"/>
      <c r="E57" s="748"/>
      <c r="F57" s="748"/>
      <c r="G57" s="749"/>
      <c r="H57" s="748"/>
      <c r="I57" s="748"/>
      <c r="J57" s="748"/>
      <c r="K57" s="749"/>
      <c r="L57" s="748">
        <v>82193</v>
      </c>
      <c r="M57" s="748"/>
      <c r="N57" s="748">
        <v>82192</v>
      </c>
      <c r="O57" s="749"/>
      <c r="P57" s="748"/>
      <c r="Q57" s="748"/>
      <c r="R57" s="748"/>
      <c r="S57" s="749"/>
      <c r="T57" s="750"/>
      <c r="U57" s="748"/>
      <c r="V57" s="748"/>
      <c r="W57" s="749"/>
      <c r="X57" s="748"/>
      <c r="Y57" s="748"/>
      <c r="Z57" s="748"/>
      <c r="AA57" s="749"/>
      <c r="AB57" s="748"/>
      <c r="AC57" s="748"/>
      <c r="AD57" s="748"/>
      <c r="AE57" s="749"/>
      <c r="AF57" s="755">
        <f t="shared" si="3"/>
        <v>82193</v>
      </c>
      <c r="AG57" s="1372">
        <f t="shared" si="2"/>
        <v>82192</v>
      </c>
      <c r="AH57" s="288">
        <f t="shared" si="1"/>
        <v>99.998783351380283</v>
      </c>
      <c r="AI57" s="747"/>
      <c r="AJ57" s="324"/>
    </row>
    <row r="58" spans="1:36" s="323" customFormat="1" ht="15" customHeight="1" x14ac:dyDescent="0.2">
      <c r="A58" s="777"/>
      <c r="B58" s="841" t="s">
        <v>127</v>
      </c>
      <c r="C58" s="772" t="s">
        <v>970</v>
      </c>
      <c r="D58" s="773"/>
      <c r="E58" s="748">
        <v>7846</v>
      </c>
      <c r="F58" s="748"/>
      <c r="G58" s="749">
        <v>3363</v>
      </c>
      <c r="H58" s="748"/>
      <c r="I58" s="748">
        <v>1947</v>
      </c>
      <c r="J58" s="748"/>
      <c r="K58" s="749">
        <v>649</v>
      </c>
      <c r="L58" s="748">
        <v>33139</v>
      </c>
      <c r="M58" s="748">
        <v>138389</v>
      </c>
      <c r="N58" s="748">
        <v>30712</v>
      </c>
      <c r="O58" s="749">
        <v>128253</v>
      </c>
      <c r="P58" s="748"/>
      <c r="Q58" s="748"/>
      <c r="R58" s="748"/>
      <c r="S58" s="749"/>
      <c r="T58" s="750"/>
      <c r="U58" s="748"/>
      <c r="V58" s="748"/>
      <c r="W58" s="749"/>
      <c r="X58" s="748">
        <v>0</v>
      </c>
      <c r="Y58" s="748"/>
      <c r="Z58" s="748"/>
      <c r="AA58" s="749"/>
      <c r="AB58" s="748"/>
      <c r="AC58" s="748"/>
      <c r="AD58" s="748"/>
      <c r="AE58" s="749"/>
      <c r="AF58" s="755">
        <f t="shared" si="3"/>
        <v>181321</v>
      </c>
      <c r="AG58" s="1372">
        <f t="shared" si="2"/>
        <v>162977</v>
      </c>
      <c r="AH58" s="288">
        <f t="shared" si="1"/>
        <v>89.883135433843847</v>
      </c>
      <c r="AI58" s="747"/>
      <c r="AJ58" s="324"/>
    </row>
    <row r="59" spans="1:36" s="323" customFormat="1" ht="21.75" customHeight="1" x14ac:dyDescent="0.2">
      <c r="A59" s="777"/>
      <c r="B59" s="841" t="s">
        <v>128</v>
      </c>
      <c r="C59" s="772" t="s">
        <v>1063</v>
      </c>
      <c r="D59" s="773"/>
      <c r="E59" s="748"/>
      <c r="F59" s="748"/>
      <c r="G59" s="749"/>
      <c r="H59" s="748"/>
      <c r="I59" s="748"/>
      <c r="J59" s="748"/>
      <c r="K59" s="749"/>
      <c r="L59" s="748">
        <v>294</v>
      </c>
      <c r="M59" s="748"/>
      <c r="N59" s="748"/>
      <c r="O59" s="749"/>
      <c r="P59" s="748"/>
      <c r="Q59" s="748"/>
      <c r="R59" s="748"/>
      <c r="S59" s="749"/>
      <c r="T59" s="750"/>
      <c r="U59" s="748"/>
      <c r="V59" s="748"/>
      <c r="W59" s="749"/>
      <c r="X59" s="748"/>
      <c r="Y59" s="748"/>
      <c r="Z59" s="748"/>
      <c r="AA59" s="749"/>
      <c r="AB59" s="748"/>
      <c r="AC59" s="748"/>
      <c r="AD59" s="748"/>
      <c r="AE59" s="749"/>
      <c r="AF59" s="755">
        <f t="shared" si="3"/>
        <v>294</v>
      </c>
      <c r="AG59" s="1372">
        <f t="shared" si="2"/>
        <v>0</v>
      </c>
      <c r="AH59" s="288">
        <f t="shared" si="1"/>
        <v>0</v>
      </c>
      <c r="AI59" s="747"/>
      <c r="AJ59" s="324"/>
    </row>
    <row r="60" spans="1:36" s="323" customFormat="1" ht="15" customHeight="1" x14ac:dyDescent="0.2">
      <c r="A60" s="777"/>
      <c r="B60" s="841" t="s">
        <v>129</v>
      </c>
      <c r="C60" s="772" t="s">
        <v>1064</v>
      </c>
      <c r="D60" s="773"/>
      <c r="E60" s="748"/>
      <c r="F60" s="748"/>
      <c r="G60" s="749"/>
      <c r="H60" s="748"/>
      <c r="I60" s="748"/>
      <c r="J60" s="748"/>
      <c r="K60" s="749"/>
      <c r="L60" s="748"/>
      <c r="M60" s="748">
        <v>2</v>
      </c>
      <c r="N60" s="748"/>
      <c r="O60" s="749">
        <v>2</v>
      </c>
      <c r="P60" s="748"/>
      <c r="Q60" s="748">
        <v>124</v>
      </c>
      <c r="R60" s="748"/>
      <c r="S60" s="749">
        <f>mc.pe.átad!I21</f>
        <v>62</v>
      </c>
      <c r="T60" s="750"/>
      <c r="U60" s="748"/>
      <c r="V60" s="748"/>
      <c r="W60" s="749"/>
      <c r="X60" s="748"/>
      <c r="Y60" s="748"/>
      <c r="Z60" s="748"/>
      <c r="AA60" s="749"/>
      <c r="AB60" s="748"/>
      <c r="AC60" s="748"/>
      <c r="AD60" s="748"/>
      <c r="AE60" s="749"/>
      <c r="AF60" s="755">
        <f t="shared" si="3"/>
        <v>126</v>
      </c>
      <c r="AG60" s="1372">
        <f t="shared" si="2"/>
        <v>64</v>
      </c>
      <c r="AH60" s="288">
        <f t="shared" si="1"/>
        <v>50.793650793650791</v>
      </c>
      <c r="AI60" s="747"/>
      <c r="AJ60" s="324"/>
    </row>
    <row r="61" spans="1:36" s="323" customFormat="1" ht="15" customHeight="1" x14ac:dyDescent="0.2">
      <c r="A61" s="777"/>
      <c r="B61" s="841" t="s">
        <v>132</v>
      </c>
      <c r="C61" s="772" t="s">
        <v>1065</v>
      </c>
      <c r="D61" s="773"/>
      <c r="E61" s="748"/>
      <c r="F61" s="748"/>
      <c r="G61" s="749"/>
      <c r="H61" s="748"/>
      <c r="I61" s="748"/>
      <c r="J61" s="748"/>
      <c r="K61" s="749"/>
      <c r="L61" s="748"/>
      <c r="M61" s="748">
        <v>21874</v>
      </c>
      <c r="N61" s="748"/>
      <c r="O61" s="749">
        <v>8876</v>
      </c>
      <c r="P61" s="748"/>
      <c r="Q61" s="748"/>
      <c r="R61" s="748"/>
      <c r="S61" s="749"/>
      <c r="T61" s="750"/>
      <c r="U61" s="748"/>
      <c r="V61" s="748"/>
      <c r="W61" s="749"/>
      <c r="X61" s="748"/>
      <c r="Y61" s="748"/>
      <c r="Z61" s="748"/>
      <c r="AA61" s="749"/>
      <c r="AB61" s="748"/>
      <c r="AC61" s="748"/>
      <c r="AD61" s="748"/>
      <c r="AE61" s="749"/>
      <c r="AF61" s="755">
        <f t="shared" si="3"/>
        <v>21874</v>
      </c>
      <c r="AG61" s="1372">
        <f t="shared" si="2"/>
        <v>8876</v>
      </c>
      <c r="AH61" s="288">
        <f t="shared" si="1"/>
        <v>40.577854987656579</v>
      </c>
      <c r="AI61" s="747"/>
      <c r="AJ61" s="324"/>
    </row>
    <row r="62" spans="1:36" s="323" customFormat="1" ht="21" customHeight="1" x14ac:dyDescent="0.2">
      <c r="A62" s="777"/>
      <c r="B62" s="841" t="s">
        <v>135</v>
      </c>
      <c r="C62" s="772" t="s">
        <v>1213</v>
      </c>
      <c r="D62" s="773"/>
      <c r="E62" s="748"/>
      <c r="F62" s="748"/>
      <c r="G62" s="749"/>
      <c r="H62" s="748"/>
      <c r="I62" s="748"/>
      <c r="J62" s="748"/>
      <c r="K62" s="749"/>
      <c r="L62" s="748"/>
      <c r="M62" s="748">
        <v>0</v>
      </c>
      <c r="N62" s="748"/>
      <c r="O62" s="749"/>
      <c r="P62" s="748"/>
      <c r="Q62" s="748"/>
      <c r="R62" s="748"/>
      <c r="S62" s="749"/>
      <c r="T62" s="750"/>
      <c r="U62" s="748"/>
      <c r="V62" s="748"/>
      <c r="W62" s="749"/>
      <c r="X62" s="748"/>
      <c r="Y62" s="748"/>
      <c r="Z62" s="748"/>
      <c r="AA62" s="749"/>
      <c r="AB62" s="748"/>
      <c r="AC62" s="748"/>
      <c r="AD62" s="748"/>
      <c r="AE62" s="749"/>
      <c r="AF62" s="755">
        <f t="shared" si="3"/>
        <v>0</v>
      </c>
      <c r="AG62" s="1372">
        <f t="shared" si="2"/>
        <v>0</v>
      </c>
      <c r="AH62" s="288"/>
      <c r="AI62" s="747"/>
      <c r="AJ62" s="324"/>
    </row>
    <row r="63" spans="1:36" s="323" customFormat="1" ht="21" customHeight="1" x14ac:dyDescent="0.2">
      <c r="A63" s="777"/>
      <c r="B63" s="841" t="s">
        <v>138</v>
      </c>
      <c r="C63" s="772" t="s">
        <v>1251</v>
      </c>
      <c r="D63" s="773"/>
      <c r="E63" s="748"/>
      <c r="F63" s="748"/>
      <c r="G63" s="749"/>
      <c r="H63" s="748"/>
      <c r="I63" s="748"/>
      <c r="J63" s="748"/>
      <c r="K63" s="749"/>
      <c r="L63" s="748"/>
      <c r="M63" s="748">
        <v>2542</v>
      </c>
      <c r="N63" s="748"/>
      <c r="O63" s="1485">
        <v>1</v>
      </c>
      <c r="P63" s="748"/>
      <c r="Q63" s="748"/>
      <c r="R63" s="748"/>
      <c r="S63" s="749"/>
      <c r="T63" s="750"/>
      <c r="U63" s="748"/>
      <c r="V63" s="748"/>
      <c r="W63" s="749"/>
      <c r="X63" s="748"/>
      <c r="Y63" s="748"/>
      <c r="Z63" s="748"/>
      <c r="AA63" s="749"/>
      <c r="AB63" s="748"/>
      <c r="AC63" s="748"/>
      <c r="AD63" s="748"/>
      <c r="AE63" s="749"/>
      <c r="AF63" s="755">
        <f t="shared" si="3"/>
        <v>2542</v>
      </c>
      <c r="AG63" s="1372">
        <f t="shared" si="2"/>
        <v>1</v>
      </c>
      <c r="AH63" s="288">
        <f t="shared" si="1"/>
        <v>3.9339103068450038E-2</v>
      </c>
      <c r="AI63" s="747"/>
      <c r="AJ63" s="324"/>
    </row>
    <row r="64" spans="1:36" s="323" customFormat="1" ht="15" customHeight="1" x14ac:dyDescent="0.2">
      <c r="A64" s="777"/>
      <c r="B64" s="841" t="s">
        <v>139</v>
      </c>
      <c r="C64" s="772" t="s">
        <v>1094</v>
      </c>
      <c r="D64" s="773"/>
      <c r="E64" s="748"/>
      <c r="F64" s="748"/>
      <c r="G64" s="749"/>
      <c r="H64" s="748"/>
      <c r="I64" s="748"/>
      <c r="J64" s="748"/>
      <c r="K64" s="749"/>
      <c r="L64" s="748">
        <v>373</v>
      </c>
      <c r="M64" s="748"/>
      <c r="N64" s="748"/>
      <c r="O64" s="749"/>
      <c r="P64" s="748"/>
      <c r="Q64" s="748"/>
      <c r="R64" s="748"/>
      <c r="S64" s="749"/>
      <c r="T64" s="750"/>
      <c r="U64" s="748"/>
      <c r="V64" s="748"/>
      <c r="W64" s="749"/>
      <c r="X64" s="748"/>
      <c r="Y64" s="748"/>
      <c r="Z64" s="748"/>
      <c r="AA64" s="749"/>
      <c r="AB64" s="748"/>
      <c r="AC64" s="748"/>
      <c r="AD64" s="748"/>
      <c r="AE64" s="749"/>
      <c r="AF64" s="755">
        <f t="shared" si="3"/>
        <v>373</v>
      </c>
      <c r="AG64" s="1372">
        <f t="shared" si="2"/>
        <v>0</v>
      </c>
      <c r="AH64" s="288">
        <f t="shared" si="1"/>
        <v>0</v>
      </c>
      <c r="AI64" s="747"/>
      <c r="AJ64" s="324"/>
    </row>
    <row r="65" spans="1:36" s="323" customFormat="1" ht="15" customHeight="1" x14ac:dyDescent="0.2">
      <c r="A65" s="777"/>
      <c r="B65" s="841" t="s">
        <v>142</v>
      </c>
      <c r="C65" s="772" t="s">
        <v>1128</v>
      </c>
      <c r="D65" s="773"/>
      <c r="E65" s="748">
        <v>97</v>
      </c>
      <c r="F65" s="748"/>
      <c r="G65" s="749">
        <v>96</v>
      </c>
      <c r="H65" s="748"/>
      <c r="I65" s="748"/>
      <c r="J65" s="748"/>
      <c r="K65" s="749"/>
      <c r="L65" s="748"/>
      <c r="M65" s="748">
        <v>10018</v>
      </c>
      <c r="N65" s="748"/>
      <c r="O65" s="1487">
        <v>9039</v>
      </c>
      <c r="P65" s="748"/>
      <c r="Q65" s="748"/>
      <c r="R65" s="748"/>
      <c r="S65" s="749"/>
      <c r="T65" s="750"/>
      <c r="U65" s="748"/>
      <c r="V65" s="748"/>
      <c r="W65" s="749"/>
      <c r="X65" s="773"/>
      <c r="Y65" s="748"/>
      <c r="Z65" s="748"/>
      <c r="AA65" s="749"/>
      <c r="AB65" s="748"/>
      <c r="AC65" s="748"/>
      <c r="AD65" s="748"/>
      <c r="AE65" s="749"/>
      <c r="AF65" s="755">
        <f t="shared" si="3"/>
        <v>10115</v>
      </c>
      <c r="AG65" s="1372">
        <f t="shared" si="2"/>
        <v>9135</v>
      </c>
      <c r="AH65" s="288">
        <f t="shared" si="1"/>
        <v>90.311418685121097</v>
      </c>
      <c r="AI65" s="747"/>
      <c r="AJ65" s="324"/>
    </row>
    <row r="66" spans="1:36" s="323" customFormat="1" ht="15" customHeight="1" x14ac:dyDescent="0.2">
      <c r="A66" s="777"/>
      <c r="B66" s="1120" t="s">
        <v>143</v>
      </c>
      <c r="C66" s="772" t="s">
        <v>1252</v>
      </c>
      <c r="D66" s="773"/>
      <c r="E66" s="748"/>
      <c r="F66" s="748"/>
      <c r="G66" s="749"/>
      <c r="H66" s="748"/>
      <c r="I66" s="748"/>
      <c r="J66" s="748"/>
      <c r="K66" s="749"/>
      <c r="L66" s="748">
        <v>1116</v>
      </c>
      <c r="M66" s="748"/>
      <c r="N66" s="748">
        <v>1116</v>
      </c>
      <c r="O66" s="749"/>
      <c r="P66" s="748"/>
      <c r="Q66" s="748"/>
      <c r="R66" s="748"/>
      <c r="S66" s="749"/>
      <c r="T66" s="750"/>
      <c r="U66" s="748"/>
      <c r="V66" s="748"/>
      <c r="W66" s="749"/>
      <c r="X66" s="748"/>
      <c r="Y66" s="748"/>
      <c r="Z66" s="748"/>
      <c r="AA66" s="749"/>
      <c r="AB66" s="748"/>
      <c r="AC66" s="748"/>
      <c r="AD66" s="748"/>
      <c r="AE66" s="749"/>
      <c r="AF66" s="755">
        <f t="shared" si="3"/>
        <v>1116</v>
      </c>
      <c r="AG66" s="1372">
        <f t="shared" si="2"/>
        <v>1116</v>
      </c>
      <c r="AH66" s="288">
        <f t="shared" si="1"/>
        <v>100</v>
      </c>
      <c r="AI66" s="747"/>
      <c r="AJ66" s="324"/>
    </row>
    <row r="67" spans="1:36" s="323" customFormat="1" ht="22.5" customHeight="1" x14ac:dyDescent="0.2">
      <c r="A67" s="777"/>
      <c r="B67" s="1120" t="s">
        <v>144</v>
      </c>
      <c r="C67" s="772" t="s">
        <v>1285</v>
      </c>
      <c r="D67" s="773">
        <v>5145</v>
      </c>
      <c r="E67" s="748"/>
      <c r="F67" s="748"/>
      <c r="G67" s="749"/>
      <c r="H67" s="748">
        <v>1389</v>
      </c>
      <c r="I67" s="748"/>
      <c r="J67" s="748"/>
      <c r="K67" s="749"/>
      <c r="L67" s="748">
        <v>6553</v>
      </c>
      <c r="M67" s="748"/>
      <c r="N67" s="748">
        <v>2045</v>
      </c>
      <c r="O67" s="749"/>
      <c r="P67" s="748"/>
      <c r="Q67" s="748"/>
      <c r="R67" s="748"/>
      <c r="S67" s="749"/>
      <c r="T67" s="750"/>
      <c r="U67" s="748"/>
      <c r="V67" s="748"/>
      <c r="W67" s="749"/>
      <c r="X67" s="748"/>
      <c r="Y67" s="748"/>
      <c r="Z67" s="748"/>
      <c r="AA67" s="749"/>
      <c r="AB67" s="748"/>
      <c r="AC67" s="748"/>
      <c r="AD67" s="748"/>
      <c r="AE67" s="749"/>
      <c r="AF67" s="755">
        <f t="shared" si="3"/>
        <v>13087</v>
      </c>
      <c r="AG67" s="1372">
        <f t="shared" si="2"/>
        <v>2045</v>
      </c>
      <c r="AH67" s="288">
        <f t="shared" si="1"/>
        <v>15.626193932910523</v>
      </c>
      <c r="AI67" s="747"/>
      <c r="AJ67" s="324"/>
    </row>
    <row r="68" spans="1:36" s="323" customFormat="1" ht="15" customHeight="1" x14ac:dyDescent="0.2">
      <c r="A68" s="777"/>
      <c r="B68" s="1120" t="s">
        <v>145</v>
      </c>
      <c r="C68" s="772" t="s">
        <v>1288</v>
      </c>
      <c r="D68" s="773"/>
      <c r="E68" s="748"/>
      <c r="F68" s="748"/>
      <c r="G68" s="749"/>
      <c r="H68" s="748"/>
      <c r="I68" s="748"/>
      <c r="J68" s="748"/>
      <c r="K68" s="749"/>
      <c r="L68" s="748"/>
      <c r="M68" s="748">
        <v>6797</v>
      </c>
      <c r="N68" s="748"/>
      <c r="O68" s="749">
        <v>6795</v>
      </c>
      <c r="P68" s="748"/>
      <c r="Q68" s="748"/>
      <c r="R68" s="748"/>
      <c r="S68" s="749"/>
      <c r="T68" s="750"/>
      <c r="U68" s="748"/>
      <c r="V68" s="748"/>
      <c r="W68" s="749"/>
      <c r="X68" s="748"/>
      <c r="Y68" s="748"/>
      <c r="Z68" s="748"/>
      <c r="AA68" s="749"/>
      <c r="AB68" s="748"/>
      <c r="AC68" s="748"/>
      <c r="AD68" s="748"/>
      <c r="AE68" s="749"/>
      <c r="AF68" s="755">
        <f t="shared" si="3"/>
        <v>6797</v>
      </c>
      <c r="AG68" s="1372">
        <f t="shared" si="2"/>
        <v>6795</v>
      </c>
      <c r="AH68" s="288">
        <f t="shared" si="1"/>
        <v>99.970575253788439</v>
      </c>
      <c r="AI68" s="747"/>
      <c r="AJ68" s="324"/>
    </row>
    <row r="69" spans="1:36" s="323" customFormat="1" ht="21" customHeight="1" x14ac:dyDescent="0.2">
      <c r="A69" s="1174"/>
      <c r="B69" s="1120" t="s">
        <v>146</v>
      </c>
      <c r="C69" s="772" t="s">
        <v>1338</v>
      </c>
      <c r="D69" s="773"/>
      <c r="E69" s="748"/>
      <c r="F69" s="748"/>
      <c r="G69" s="749"/>
      <c r="H69" s="748"/>
      <c r="I69" s="748"/>
      <c r="J69" s="748"/>
      <c r="K69" s="749"/>
      <c r="L69" s="748">
        <v>3820</v>
      </c>
      <c r="M69" s="748"/>
      <c r="N69" s="748">
        <v>3810</v>
      </c>
      <c r="O69" s="749"/>
      <c r="P69" s="748"/>
      <c r="Q69" s="748"/>
      <c r="R69" s="748"/>
      <c r="S69" s="749"/>
      <c r="T69" s="750"/>
      <c r="U69" s="748"/>
      <c r="V69" s="748"/>
      <c r="W69" s="749"/>
      <c r="X69" s="748"/>
      <c r="Y69" s="748"/>
      <c r="Z69" s="748"/>
      <c r="AA69" s="749"/>
      <c r="AB69" s="748"/>
      <c r="AC69" s="748"/>
      <c r="AD69" s="748"/>
      <c r="AE69" s="749"/>
      <c r="AF69" s="755">
        <f t="shared" si="3"/>
        <v>3820</v>
      </c>
      <c r="AG69" s="1372">
        <f t="shared" si="2"/>
        <v>3810</v>
      </c>
      <c r="AH69" s="288">
        <f t="shared" si="1"/>
        <v>99.738219895287955</v>
      </c>
      <c r="AI69" s="747"/>
      <c r="AJ69" s="324"/>
    </row>
    <row r="70" spans="1:36" s="323" customFormat="1" ht="20.25" customHeight="1" x14ac:dyDescent="0.2">
      <c r="A70" s="1174"/>
      <c r="B70" s="1120" t="s">
        <v>148</v>
      </c>
      <c r="C70" s="772" t="s">
        <v>1339</v>
      </c>
      <c r="D70" s="773"/>
      <c r="E70" s="748"/>
      <c r="F70" s="748"/>
      <c r="G70" s="749"/>
      <c r="H70" s="748"/>
      <c r="I70" s="748"/>
      <c r="J70" s="748"/>
      <c r="K70" s="749"/>
      <c r="L70" s="748">
        <v>7372</v>
      </c>
      <c r="M70" s="748"/>
      <c r="N70" s="748">
        <v>940</v>
      </c>
      <c r="O70" s="749"/>
      <c r="P70" s="748"/>
      <c r="Q70" s="748"/>
      <c r="R70" s="748"/>
      <c r="S70" s="749"/>
      <c r="T70" s="750"/>
      <c r="U70" s="748"/>
      <c r="V70" s="748"/>
      <c r="W70" s="749"/>
      <c r="X70" s="748"/>
      <c r="Y70" s="748"/>
      <c r="Z70" s="748"/>
      <c r="AA70" s="749"/>
      <c r="AB70" s="748"/>
      <c r="AC70" s="748"/>
      <c r="AD70" s="748"/>
      <c r="AE70" s="749"/>
      <c r="AF70" s="755">
        <f t="shared" si="3"/>
        <v>7372</v>
      </c>
      <c r="AG70" s="1372">
        <f t="shared" si="2"/>
        <v>940</v>
      </c>
      <c r="AH70" s="288">
        <f t="shared" si="1"/>
        <v>12.750949538795442</v>
      </c>
      <c r="AI70" s="747"/>
      <c r="AJ70" s="324"/>
    </row>
    <row r="71" spans="1:36" s="323" customFormat="1" ht="21" customHeight="1" x14ac:dyDescent="0.2">
      <c r="A71" s="1174"/>
      <c r="B71" s="1120" t="s">
        <v>151</v>
      </c>
      <c r="C71" s="772" t="s">
        <v>1340</v>
      </c>
      <c r="D71" s="773"/>
      <c r="E71" s="748"/>
      <c r="F71" s="748"/>
      <c r="G71" s="749"/>
      <c r="H71" s="748"/>
      <c r="I71" s="748"/>
      <c r="J71" s="748"/>
      <c r="K71" s="749"/>
      <c r="L71" s="748">
        <v>29021</v>
      </c>
      <c r="M71" s="748"/>
      <c r="N71" s="748">
        <v>29020</v>
      </c>
      <c r="O71" s="749"/>
      <c r="P71" s="748"/>
      <c r="Q71" s="748"/>
      <c r="R71" s="748"/>
      <c r="S71" s="749"/>
      <c r="T71" s="750"/>
      <c r="U71" s="748"/>
      <c r="V71" s="748"/>
      <c r="W71" s="749"/>
      <c r="X71" s="748"/>
      <c r="Y71" s="748"/>
      <c r="Z71" s="748"/>
      <c r="AA71" s="749"/>
      <c r="AB71" s="748"/>
      <c r="AC71" s="748"/>
      <c r="AD71" s="748"/>
      <c r="AE71" s="749"/>
      <c r="AF71" s="755">
        <f t="shared" si="3"/>
        <v>29021</v>
      </c>
      <c r="AG71" s="1372">
        <f t="shared" si="2"/>
        <v>29020</v>
      </c>
      <c r="AH71" s="288">
        <f t="shared" si="1"/>
        <v>99.996554219358387</v>
      </c>
      <c r="AI71" s="747"/>
      <c r="AJ71" s="324"/>
    </row>
    <row r="72" spans="1:36" s="323" customFormat="1" ht="15" customHeight="1" x14ac:dyDescent="0.2">
      <c r="A72" s="1174"/>
      <c r="B72" s="1120" t="s">
        <v>153</v>
      </c>
      <c r="C72" s="772" t="s">
        <v>1341</v>
      </c>
      <c r="D72" s="773"/>
      <c r="E72" s="748"/>
      <c r="F72" s="748"/>
      <c r="G72" s="749"/>
      <c r="H72" s="748"/>
      <c r="I72" s="748"/>
      <c r="J72" s="748"/>
      <c r="K72" s="749"/>
      <c r="L72" s="748"/>
      <c r="M72" s="748"/>
      <c r="N72" s="748"/>
      <c r="O72" s="749"/>
      <c r="P72" s="748">
        <v>3913</v>
      </c>
      <c r="Q72" s="748"/>
      <c r="R72" s="748">
        <f>mc.pe.átad!H23</f>
        <v>3912</v>
      </c>
      <c r="S72" s="749"/>
      <c r="T72" s="750">
        <v>19268</v>
      </c>
      <c r="U72" s="748"/>
      <c r="V72" s="748">
        <f>mc.pe.átad!H30+mc.pe.átad!H63+mc.pe.átad!H64</f>
        <v>19268</v>
      </c>
      <c r="W72" s="749"/>
      <c r="X72" s="748"/>
      <c r="Y72" s="748"/>
      <c r="Z72" s="748"/>
      <c r="AA72" s="749"/>
      <c r="AB72" s="748"/>
      <c r="AC72" s="748"/>
      <c r="AD72" s="748"/>
      <c r="AE72" s="749"/>
      <c r="AF72" s="755">
        <f t="shared" si="3"/>
        <v>23181</v>
      </c>
      <c r="AG72" s="1372">
        <f t="shared" si="2"/>
        <v>23180</v>
      </c>
      <c r="AH72" s="288">
        <f t="shared" si="1"/>
        <v>99.995686122255307</v>
      </c>
      <c r="AI72" s="747"/>
      <c r="AJ72" s="324"/>
    </row>
    <row r="73" spans="1:36" s="323" customFormat="1" ht="23.25" customHeight="1" x14ac:dyDescent="0.2">
      <c r="A73" s="1174"/>
      <c r="B73" s="1120" t="s">
        <v>154</v>
      </c>
      <c r="C73" s="772" t="s">
        <v>1342</v>
      </c>
      <c r="D73" s="773"/>
      <c r="E73" s="748"/>
      <c r="F73" s="748"/>
      <c r="G73" s="749"/>
      <c r="H73" s="748"/>
      <c r="I73" s="748"/>
      <c r="J73" s="748"/>
      <c r="K73" s="749"/>
      <c r="L73" s="748">
        <v>1640</v>
      </c>
      <c r="M73" s="748"/>
      <c r="N73" s="748">
        <v>1640</v>
      </c>
      <c r="O73" s="749"/>
      <c r="P73" s="748"/>
      <c r="Q73" s="748"/>
      <c r="R73" s="748"/>
      <c r="S73" s="749"/>
      <c r="T73" s="750"/>
      <c r="U73" s="748"/>
      <c r="V73" s="748"/>
      <c r="W73" s="749"/>
      <c r="X73" s="748"/>
      <c r="Y73" s="748"/>
      <c r="Z73" s="748"/>
      <c r="AA73" s="749"/>
      <c r="AB73" s="748"/>
      <c r="AC73" s="748"/>
      <c r="AD73" s="748"/>
      <c r="AE73" s="749"/>
      <c r="AF73" s="755">
        <f t="shared" si="3"/>
        <v>1640</v>
      </c>
      <c r="AG73" s="1372">
        <f t="shared" si="2"/>
        <v>1640</v>
      </c>
      <c r="AH73" s="288">
        <f t="shared" si="1"/>
        <v>100</v>
      </c>
      <c r="AI73" s="747"/>
      <c r="AJ73" s="324"/>
    </row>
    <row r="74" spans="1:36" s="323" customFormat="1" ht="23.25" customHeight="1" thickBot="1" x14ac:dyDescent="0.25">
      <c r="A74" s="1174"/>
      <c r="B74" s="1120" t="s">
        <v>155</v>
      </c>
      <c r="C74" s="772" t="s">
        <v>1352</v>
      </c>
      <c r="D74" s="773"/>
      <c r="E74" s="1365"/>
      <c r="F74" s="748"/>
      <c r="G74" s="1366"/>
      <c r="H74" s="748"/>
      <c r="I74" s="1365"/>
      <c r="J74" s="748"/>
      <c r="K74" s="749"/>
      <c r="L74" s="748">
        <v>250</v>
      </c>
      <c r="M74" s="1365"/>
      <c r="N74" s="748">
        <v>250</v>
      </c>
      <c r="O74" s="1366"/>
      <c r="P74" s="748"/>
      <c r="Q74" s="1365"/>
      <c r="R74" s="748"/>
      <c r="S74" s="1366"/>
      <c r="T74" s="750"/>
      <c r="U74" s="1365"/>
      <c r="V74" s="748"/>
      <c r="W74" s="1366"/>
      <c r="X74" s="748"/>
      <c r="Y74" s="1365"/>
      <c r="Z74" s="748"/>
      <c r="AA74" s="1366"/>
      <c r="AB74" s="748"/>
      <c r="AC74" s="1365"/>
      <c r="AD74" s="1365"/>
      <c r="AE74" s="749"/>
      <c r="AF74" s="1373">
        <f t="shared" si="3"/>
        <v>250</v>
      </c>
      <c r="AG74" s="1372">
        <f t="shared" si="2"/>
        <v>250</v>
      </c>
      <c r="AH74" s="288">
        <f t="shared" si="1"/>
        <v>100</v>
      </c>
      <c r="AI74" s="747"/>
      <c r="AJ74" s="324"/>
    </row>
    <row r="75" spans="1:36" ht="15.6" customHeight="1" thickBot="1" x14ac:dyDescent="0.25">
      <c r="B75" s="2030" t="s">
        <v>592</v>
      </c>
      <c r="C75" s="2031"/>
      <c r="D75" s="299">
        <f t="shared" ref="D75:H75" si="4">SUM(D12:D73)</f>
        <v>64325</v>
      </c>
      <c r="E75" s="299">
        <f>SUM(E12:E74)</f>
        <v>37793</v>
      </c>
      <c r="F75" s="299">
        <f t="shared" ref="F75:G75" si="5">SUM(F12:F74)</f>
        <v>55075</v>
      </c>
      <c r="G75" s="299">
        <f t="shared" si="5"/>
        <v>28516</v>
      </c>
      <c r="H75" s="299">
        <f t="shared" si="4"/>
        <v>12271</v>
      </c>
      <c r="I75" s="299">
        <f>SUM(I12:I74)</f>
        <v>13590</v>
      </c>
      <c r="J75" s="299">
        <f t="shared" ref="J75:K75" si="6">SUM(J12:J74)</f>
        <v>9974</v>
      </c>
      <c r="K75" s="299">
        <f t="shared" si="6"/>
        <v>10129</v>
      </c>
      <c r="L75" s="463">
        <f>SUM(L12:L74)</f>
        <v>356883</v>
      </c>
      <c r="M75" s="463">
        <f t="shared" ref="M75:O75" si="7">SUM(M12:M74)</f>
        <v>290375</v>
      </c>
      <c r="N75" s="463">
        <f t="shared" si="7"/>
        <v>289598</v>
      </c>
      <c r="O75" s="463">
        <f t="shared" si="7"/>
        <v>223104</v>
      </c>
      <c r="P75" s="299">
        <f t="shared" ref="P75" si="8">SUM(P12:P73)</f>
        <v>9763</v>
      </c>
      <c r="Q75" s="299">
        <f>SUM(Q12:Q74)</f>
        <v>58149</v>
      </c>
      <c r="R75" s="299">
        <f t="shared" ref="R75:W75" si="9">SUM(R12:R74)</f>
        <v>9762</v>
      </c>
      <c r="S75" s="299">
        <f t="shared" si="9"/>
        <v>47305</v>
      </c>
      <c r="T75" s="299">
        <f t="shared" si="9"/>
        <v>159080</v>
      </c>
      <c r="U75" s="299">
        <f t="shared" si="9"/>
        <v>175035</v>
      </c>
      <c r="V75" s="299">
        <f t="shared" si="9"/>
        <v>159079</v>
      </c>
      <c r="W75" s="299">
        <f t="shared" si="9"/>
        <v>172124</v>
      </c>
      <c r="X75" s="299">
        <f t="shared" ref="X75" si="10">SUM(X12:X74)</f>
        <v>0</v>
      </c>
      <c r="Y75" s="299">
        <f t="shared" ref="Y75" si="11">SUM(Y12:Y74)</f>
        <v>0</v>
      </c>
      <c r="Z75" s="299">
        <f t="shared" ref="Z75" si="12">SUM(Z12:Z74)</f>
        <v>0</v>
      </c>
      <c r="AA75" s="299">
        <f t="shared" ref="AA75" si="13">SUM(AA12:AA74)</f>
        <v>0</v>
      </c>
      <c r="AB75" s="299">
        <f t="shared" ref="AB75" si="14">SUM(AB12:AB74)</f>
        <v>2526</v>
      </c>
      <c r="AC75" s="299">
        <f t="shared" ref="AC75" si="15">SUM(AC12:AC74)</f>
        <v>11113</v>
      </c>
      <c r="AD75" s="299">
        <f t="shared" ref="AD75" si="16">SUM(AD12:AD74)</f>
        <v>1546</v>
      </c>
      <c r="AE75" s="299">
        <f t="shared" ref="AE75" si="17">SUM(AE12:AE74)</f>
        <v>8755</v>
      </c>
      <c r="AF75" s="1374">
        <f t="shared" si="3"/>
        <v>1190903</v>
      </c>
      <c r="AG75" s="1375">
        <f>SUM(AG12:AG74)</f>
        <v>1014967</v>
      </c>
      <c r="AH75" s="1375">
        <f>AG75/AF75*100</f>
        <v>85.226672533363342</v>
      </c>
      <c r="AI75" s="747"/>
    </row>
    <row r="76" spans="1:36" x14ac:dyDescent="0.2">
      <c r="AG76" s="331"/>
      <c r="AI76" s="328"/>
    </row>
    <row r="80" spans="1:36" x14ac:dyDescent="0.2">
      <c r="AG80" s="328"/>
    </row>
    <row r="81" spans="20:33" x14ac:dyDescent="0.2">
      <c r="AG81" s="328"/>
    </row>
    <row r="85" spans="20:33" x14ac:dyDescent="0.2">
      <c r="T85" s="327"/>
    </row>
  </sheetData>
  <sheetProtection selectLockedCells="1" selectUnlockedCells="1"/>
  <mergeCells count="43">
    <mergeCell ref="B6:B11"/>
    <mergeCell ref="D7:AF7"/>
    <mergeCell ref="C8:C11"/>
    <mergeCell ref="AB8:AE9"/>
    <mergeCell ref="AD10:AE10"/>
    <mergeCell ref="H10:I10"/>
    <mergeCell ref="L10:M10"/>
    <mergeCell ref="H6:K6"/>
    <mergeCell ref="D6:G6"/>
    <mergeCell ref="AF6:AH6"/>
    <mergeCell ref="AB6:AE6"/>
    <mergeCell ref="X6:AA6"/>
    <mergeCell ref="B75:C75"/>
    <mergeCell ref="D8:G9"/>
    <mergeCell ref="D10:E10"/>
    <mergeCell ref="F10:G10"/>
    <mergeCell ref="AF8:AH10"/>
    <mergeCell ref="J10:K10"/>
    <mergeCell ref="N10:O10"/>
    <mergeCell ref="R10:S10"/>
    <mergeCell ref="V10:W10"/>
    <mergeCell ref="Z10:AA10"/>
    <mergeCell ref="AB10:AC10"/>
    <mergeCell ref="H8:K9"/>
    <mergeCell ref="L8:O9"/>
    <mergeCell ref="P8:S9"/>
    <mergeCell ref="T8:W9"/>
    <mergeCell ref="X8:AA9"/>
    <mergeCell ref="B2:AH2"/>
    <mergeCell ref="B1:AH1"/>
    <mergeCell ref="C5:AH5"/>
    <mergeCell ref="B3:AH3"/>
    <mergeCell ref="B4:AH4"/>
    <mergeCell ref="N41:N43"/>
    <mergeCell ref="O41:O43"/>
    <mergeCell ref="AG41:AG43"/>
    <mergeCell ref="AH41:AH43"/>
    <mergeCell ref="T6:W6"/>
    <mergeCell ref="P6:S6"/>
    <mergeCell ref="P10:Q10"/>
    <mergeCell ref="T10:U10"/>
    <mergeCell ref="X10:Y10"/>
    <mergeCell ref="L6:O6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63" firstPageNumber="0" fitToHeight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O41"/>
  <sheetViews>
    <sheetView workbookViewId="0">
      <selection activeCell="B1" sqref="B1:N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7" width="12.140625" style="17" customWidth="1"/>
    <col min="8" max="9" width="0" style="291" hidden="1" customWidth="1"/>
    <col min="10" max="10" width="9.42578125" style="32" hidden="1" customWidth="1"/>
    <col min="11" max="13" width="12.140625" style="32" customWidth="1"/>
    <col min="14" max="14" width="9" style="32" customWidth="1"/>
    <col min="15" max="16384" width="9.140625" style="32"/>
  </cols>
  <sheetData>
    <row r="1" spans="2:15" ht="18" customHeight="1" x14ac:dyDescent="0.25">
      <c r="B1" s="2042" t="s">
        <v>2073</v>
      </c>
      <c r="C1" s="2042"/>
      <c r="D1" s="2042"/>
      <c r="E1" s="2042"/>
      <c r="F1" s="2042"/>
      <c r="G1" s="2042"/>
      <c r="H1" s="2042"/>
      <c r="I1" s="2042"/>
      <c r="J1" s="2042"/>
      <c r="K1" s="2042"/>
      <c r="L1" s="2042"/>
      <c r="M1" s="2042"/>
      <c r="N1" s="2042"/>
    </row>
    <row r="2" spans="2:15" ht="18" customHeight="1" x14ac:dyDescent="0.25">
      <c r="N2" s="1104"/>
    </row>
    <row r="3" spans="2:15" ht="15.75" customHeight="1" x14ac:dyDescent="0.25">
      <c r="B3" s="1950" t="s">
        <v>77</v>
      </c>
      <c r="C3" s="1950"/>
      <c r="D3" s="1950"/>
      <c r="E3" s="1950"/>
      <c r="F3" s="1950"/>
      <c r="G3" s="1950"/>
      <c r="H3" s="1950"/>
      <c r="I3" s="1950"/>
      <c r="J3" s="1950"/>
      <c r="K3" s="1950"/>
      <c r="L3" s="1950"/>
      <c r="M3" s="1950"/>
      <c r="N3" s="1950"/>
    </row>
    <row r="4" spans="2:15" ht="15.75" customHeight="1" x14ac:dyDescent="0.25">
      <c r="B4" s="2052" t="s">
        <v>1359</v>
      </c>
      <c r="C4" s="2052"/>
      <c r="D4" s="2052"/>
      <c r="E4" s="2052"/>
      <c r="F4" s="2052"/>
      <c r="G4" s="2052"/>
      <c r="H4" s="2052"/>
      <c r="I4" s="2052"/>
      <c r="J4" s="2052"/>
      <c r="K4" s="2052"/>
      <c r="L4" s="2052"/>
      <c r="M4" s="2052"/>
      <c r="N4" s="2052"/>
    </row>
    <row r="5" spans="2:15" ht="15.75" customHeight="1" x14ac:dyDescent="0.25">
      <c r="B5" s="2052" t="s">
        <v>77</v>
      </c>
      <c r="C5" s="2052"/>
      <c r="D5" s="2052"/>
      <c r="E5" s="2052"/>
      <c r="F5" s="2052"/>
      <c r="G5" s="2052"/>
      <c r="H5" s="2052"/>
      <c r="I5" s="2052"/>
      <c r="J5" s="2052"/>
      <c r="K5" s="2052"/>
      <c r="L5" s="2052"/>
      <c r="M5" s="2052"/>
      <c r="N5" s="2052"/>
    </row>
    <row r="6" spans="2:15" ht="15.75" customHeight="1" x14ac:dyDescent="0.25">
      <c r="B6" s="1950" t="s">
        <v>902</v>
      </c>
      <c r="C6" s="1950"/>
      <c r="D6" s="1950"/>
      <c r="E6" s="1950"/>
      <c r="F6" s="1950"/>
      <c r="G6" s="1950"/>
      <c r="H6" s="1950"/>
      <c r="I6" s="1950"/>
      <c r="J6" s="1950"/>
      <c r="K6" s="1950"/>
      <c r="L6" s="1950"/>
      <c r="M6" s="1950"/>
      <c r="N6" s="1950"/>
    </row>
    <row r="7" spans="2:15" s="34" customFormat="1" ht="14.25" customHeight="1" x14ac:dyDescent="0.25">
      <c r="B7" s="2051" t="s">
        <v>314</v>
      </c>
      <c r="C7" s="2051"/>
      <c r="D7" s="2051"/>
      <c r="E7" s="2051"/>
      <c r="F7" s="2051"/>
      <c r="G7" s="2051"/>
      <c r="H7" s="2051"/>
      <c r="I7" s="2051"/>
      <c r="J7" s="2051"/>
      <c r="K7" s="2051"/>
      <c r="L7" s="2051"/>
      <c r="M7" s="2051"/>
      <c r="N7" s="2051"/>
    </row>
    <row r="8" spans="2:15" s="34" customFormat="1" ht="14.25" customHeight="1" x14ac:dyDescent="0.25">
      <c r="B8" s="29"/>
      <c r="C8" s="242"/>
      <c r="D8" s="243"/>
      <c r="E8" s="29"/>
      <c r="F8" s="29"/>
      <c r="G8" s="29"/>
    </row>
    <row r="9" spans="2:15" ht="30.6" customHeight="1" x14ac:dyDescent="0.25">
      <c r="B9" s="2044" t="s">
        <v>468</v>
      </c>
      <c r="C9" s="2046" t="s">
        <v>57</v>
      </c>
      <c r="D9" s="2046"/>
      <c r="E9" s="1377" t="s">
        <v>58</v>
      </c>
      <c r="F9" s="1377" t="s">
        <v>59</v>
      </c>
      <c r="G9" s="1377" t="s">
        <v>60</v>
      </c>
      <c r="H9" s="32"/>
      <c r="I9" s="32"/>
      <c r="K9" s="1378" t="s">
        <v>469</v>
      </c>
      <c r="L9" s="1379" t="s">
        <v>470</v>
      </c>
      <c r="M9" s="1379" t="s">
        <v>471</v>
      </c>
      <c r="N9" s="1379" t="s">
        <v>590</v>
      </c>
    </row>
    <row r="10" spans="2:15" ht="30" customHeight="1" x14ac:dyDescent="0.25">
      <c r="B10" s="2045"/>
      <c r="C10" s="2047" t="s">
        <v>527</v>
      </c>
      <c r="D10" s="2047"/>
      <c r="E10" s="2049" t="s">
        <v>1123</v>
      </c>
      <c r="F10" s="2049"/>
      <c r="G10" s="2049"/>
      <c r="H10" s="32"/>
      <c r="I10" s="32"/>
      <c r="K10" s="1915" t="s">
        <v>1355</v>
      </c>
      <c r="L10" s="1915"/>
      <c r="M10" s="1915"/>
      <c r="N10" s="1916" t="s">
        <v>1357</v>
      </c>
    </row>
    <row r="11" spans="2:15" ht="52.9" customHeight="1" x14ac:dyDescent="0.25">
      <c r="B11" s="2045"/>
      <c r="C11" s="2047"/>
      <c r="D11" s="2048"/>
      <c r="E11" s="244" t="s">
        <v>62</v>
      </c>
      <c r="F11" s="244" t="s">
        <v>63</v>
      </c>
      <c r="G11" s="244" t="s">
        <v>64</v>
      </c>
      <c r="H11" s="32"/>
      <c r="I11" s="32"/>
      <c r="K11" s="1232" t="s">
        <v>62</v>
      </c>
      <c r="L11" s="1232" t="s">
        <v>63</v>
      </c>
      <c r="M11" s="1232" t="s">
        <v>1365</v>
      </c>
      <c r="N11" s="2050"/>
      <c r="O11" s="557"/>
    </row>
    <row r="12" spans="2:15" ht="23.25" customHeight="1" x14ac:dyDescent="0.25">
      <c r="B12" s="899" t="s">
        <v>478</v>
      </c>
      <c r="C12" s="2043" t="s">
        <v>593</v>
      </c>
      <c r="D12" s="2043"/>
      <c r="E12" s="245"/>
      <c r="F12" s="245"/>
      <c r="G12" s="245"/>
      <c r="H12" s="32"/>
      <c r="I12" s="32"/>
      <c r="K12" s="1381"/>
      <c r="L12" s="1381"/>
      <c r="M12" s="1381"/>
      <c r="O12" s="557"/>
    </row>
    <row r="13" spans="2:15" ht="18" customHeight="1" x14ac:dyDescent="0.25">
      <c r="B13" s="900" t="s">
        <v>486</v>
      </c>
      <c r="C13" s="246" t="s">
        <v>559</v>
      </c>
      <c r="D13" s="243"/>
      <c r="E13" s="245"/>
      <c r="F13" s="245"/>
      <c r="G13" s="245"/>
      <c r="H13" s="32"/>
      <c r="I13" s="32"/>
      <c r="K13" s="1382"/>
      <c r="L13" s="1382"/>
      <c r="M13" s="1382"/>
      <c r="O13" s="557"/>
    </row>
    <row r="14" spans="2:15" ht="18" customHeight="1" x14ac:dyDescent="0.25">
      <c r="B14" s="900" t="s">
        <v>488</v>
      </c>
      <c r="C14" s="247"/>
      <c r="D14" s="248" t="s">
        <v>899</v>
      </c>
      <c r="E14" s="245">
        <v>0</v>
      </c>
      <c r="F14" s="245">
        <v>500</v>
      </c>
      <c r="G14" s="245">
        <f>SUM(E14:F14)</f>
        <v>500</v>
      </c>
      <c r="H14" s="32"/>
      <c r="I14" s="32"/>
      <c r="K14" s="1383"/>
      <c r="L14" s="1383">
        <v>390</v>
      </c>
      <c r="M14" s="1383">
        <f>K14+L14</f>
        <v>390</v>
      </c>
      <c r="N14" s="35">
        <f>M14/G14*100</f>
        <v>78</v>
      </c>
      <c r="O14" s="557"/>
    </row>
    <row r="15" spans="2:15" ht="18" customHeight="1" x14ac:dyDescent="0.25">
      <c r="B15" s="900" t="s">
        <v>489</v>
      </c>
      <c r="C15" s="247"/>
      <c r="D15" s="24" t="s">
        <v>559</v>
      </c>
      <c r="E15" s="245"/>
      <c r="F15" s="249">
        <v>0</v>
      </c>
      <c r="G15" s="245">
        <f>SUM(E15:F15)</f>
        <v>0</v>
      </c>
      <c r="H15" s="32"/>
      <c r="I15" s="32"/>
      <c r="K15" s="1383"/>
      <c r="L15" s="1383"/>
      <c r="M15" s="1383">
        <f t="shared" ref="M15:M28" si="0">K15+L15</f>
        <v>0</v>
      </c>
      <c r="N15" s="35"/>
      <c r="O15" s="557"/>
    </row>
    <row r="16" spans="2:15" ht="18" customHeight="1" x14ac:dyDescent="0.25">
      <c r="B16" s="900" t="s">
        <v>490</v>
      </c>
      <c r="C16" s="247"/>
      <c r="D16" s="24" t="s">
        <v>948</v>
      </c>
      <c r="E16" s="245"/>
      <c r="F16" s="249">
        <v>600</v>
      </c>
      <c r="G16" s="245">
        <f>SUM(E16:F16)</f>
        <v>600</v>
      </c>
      <c r="H16" s="32"/>
      <c r="I16" s="32"/>
      <c r="K16" s="1383"/>
      <c r="L16" s="1383">
        <v>296</v>
      </c>
      <c r="M16" s="1383">
        <f t="shared" si="0"/>
        <v>296</v>
      </c>
      <c r="N16" s="35">
        <f t="shared" ref="N16:N30" si="1">M16/G16*100</f>
        <v>49.333333333333336</v>
      </c>
      <c r="O16" s="557"/>
    </row>
    <row r="17" spans="2:15" ht="18" customHeight="1" x14ac:dyDescent="0.25">
      <c r="B17" s="900" t="s">
        <v>491</v>
      </c>
      <c r="C17" s="247"/>
      <c r="D17" s="24" t="s">
        <v>949</v>
      </c>
      <c r="E17" s="245"/>
      <c r="F17" s="249">
        <v>800</v>
      </c>
      <c r="G17" s="245">
        <f t="shared" ref="G17:G21" si="2">SUM(E17:F17)</f>
        <v>800</v>
      </c>
      <c r="H17" s="32"/>
      <c r="I17" s="32"/>
      <c r="K17" s="1383"/>
      <c r="L17" s="1383">
        <v>368</v>
      </c>
      <c r="M17" s="1383">
        <f t="shared" si="0"/>
        <v>368</v>
      </c>
      <c r="N17" s="35">
        <f t="shared" si="1"/>
        <v>46</v>
      </c>
      <c r="O17" s="557"/>
    </row>
    <row r="18" spans="2:15" ht="18" customHeight="1" x14ac:dyDescent="0.25">
      <c r="B18" s="900" t="s">
        <v>492</v>
      </c>
      <c r="C18" s="247"/>
      <c r="D18" s="24" t="s">
        <v>950</v>
      </c>
      <c r="E18" s="245"/>
      <c r="F18" s="249">
        <v>1000</v>
      </c>
      <c r="G18" s="245">
        <f t="shared" si="2"/>
        <v>1000</v>
      </c>
      <c r="H18" s="32"/>
      <c r="I18" s="32"/>
      <c r="K18" s="1383"/>
      <c r="L18" s="1383">
        <v>550</v>
      </c>
      <c r="M18" s="1383">
        <f t="shared" si="0"/>
        <v>550</v>
      </c>
      <c r="N18" s="35">
        <f t="shared" si="1"/>
        <v>55.000000000000007</v>
      </c>
      <c r="O18" s="557"/>
    </row>
    <row r="19" spans="2:15" ht="18" customHeight="1" x14ac:dyDescent="0.25">
      <c r="B19" s="900" t="s">
        <v>493</v>
      </c>
      <c r="C19" s="247"/>
      <c r="D19" s="24" t="s">
        <v>951</v>
      </c>
      <c r="E19" s="245"/>
      <c r="F19" s="249">
        <v>717</v>
      </c>
      <c r="G19" s="245">
        <f t="shared" si="2"/>
        <v>717</v>
      </c>
      <c r="H19" s="32"/>
      <c r="I19" s="32"/>
      <c r="K19" s="1383"/>
      <c r="L19" s="1383">
        <v>716</v>
      </c>
      <c r="M19" s="1383">
        <f t="shared" si="0"/>
        <v>716</v>
      </c>
      <c r="N19" s="35">
        <f t="shared" si="1"/>
        <v>99.86052998605301</v>
      </c>
      <c r="O19" s="557"/>
    </row>
    <row r="20" spans="2:15" ht="18" customHeight="1" x14ac:dyDescent="0.25">
      <c r="B20" s="900" t="s">
        <v>529</v>
      </c>
      <c r="C20" s="247"/>
      <c r="D20" s="24" t="s">
        <v>952</v>
      </c>
      <c r="E20" s="245">
        <v>2137</v>
      </c>
      <c r="F20" s="249">
        <v>0</v>
      </c>
      <c r="G20" s="245">
        <f t="shared" si="2"/>
        <v>2137</v>
      </c>
      <c r="H20" s="32"/>
      <c r="I20" s="32"/>
      <c r="K20" s="1383">
        <v>1546</v>
      </c>
      <c r="L20" s="1383"/>
      <c r="M20" s="1383">
        <f t="shared" si="0"/>
        <v>1546</v>
      </c>
      <c r="N20" s="35">
        <f t="shared" si="1"/>
        <v>72.344408048666352</v>
      </c>
      <c r="O20" s="557"/>
    </row>
    <row r="21" spans="2:15" ht="18" customHeight="1" x14ac:dyDescent="0.25">
      <c r="B21" s="900" t="s">
        <v>530</v>
      </c>
      <c r="C21" s="247"/>
      <c r="D21" s="537" t="s">
        <v>591</v>
      </c>
      <c r="E21" s="245">
        <v>389</v>
      </c>
      <c r="F21" s="249">
        <v>0</v>
      </c>
      <c r="G21" s="245">
        <f t="shared" si="2"/>
        <v>389</v>
      </c>
      <c r="H21" s="32"/>
      <c r="I21" s="32"/>
      <c r="K21" s="1383">
        <v>0</v>
      </c>
      <c r="L21" s="1383"/>
      <c r="M21" s="1383">
        <f t="shared" si="0"/>
        <v>0</v>
      </c>
      <c r="N21" s="35">
        <f t="shared" si="1"/>
        <v>0</v>
      </c>
      <c r="O21" s="557"/>
    </row>
    <row r="22" spans="2:15" ht="18" customHeight="1" x14ac:dyDescent="0.25">
      <c r="B22" s="900" t="s">
        <v>531</v>
      </c>
      <c r="C22" s="714"/>
      <c r="D22" s="537" t="s">
        <v>557</v>
      </c>
      <c r="E22" s="245"/>
      <c r="F22" s="249">
        <v>1846</v>
      </c>
      <c r="G22" s="245">
        <f>SUM(E22:F22)</f>
        <v>1846</v>
      </c>
      <c r="H22" s="32"/>
      <c r="I22" s="32"/>
      <c r="K22" s="1383"/>
      <c r="L22" s="1383">
        <v>1846</v>
      </c>
      <c r="M22" s="1383">
        <f t="shared" si="0"/>
        <v>1846</v>
      </c>
      <c r="N22" s="35">
        <f t="shared" si="1"/>
        <v>100</v>
      </c>
      <c r="O22" s="557"/>
    </row>
    <row r="23" spans="2:15" ht="18" customHeight="1" x14ac:dyDescent="0.25">
      <c r="B23" s="900" t="s">
        <v>532</v>
      </c>
      <c r="C23" s="714"/>
      <c r="D23" s="716" t="s">
        <v>556</v>
      </c>
      <c r="E23" s="715"/>
      <c r="F23" s="249">
        <v>1100</v>
      </c>
      <c r="G23" s="538">
        <f>SUM(E23:F23)</f>
        <v>1100</v>
      </c>
      <c r="H23" s="33"/>
      <c r="I23" s="33"/>
      <c r="J23" s="33"/>
      <c r="K23" s="1383"/>
      <c r="L23" s="1383">
        <v>765</v>
      </c>
      <c r="M23" s="1383">
        <f t="shared" si="0"/>
        <v>765</v>
      </c>
      <c r="N23" s="35">
        <f t="shared" si="1"/>
        <v>69.545454545454547</v>
      </c>
      <c r="O23" s="557"/>
    </row>
    <row r="24" spans="2:15" ht="18" customHeight="1" x14ac:dyDescent="0.25">
      <c r="B24" s="900" t="s">
        <v>533</v>
      </c>
      <c r="C24" s="714"/>
      <c r="D24" s="716" t="s">
        <v>1281</v>
      </c>
      <c r="E24" s="715"/>
      <c r="F24" s="249">
        <v>350</v>
      </c>
      <c r="G24" s="538">
        <f>SUM(E24:F24)</f>
        <v>350</v>
      </c>
      <c r="H24" s="33"/>
      <c r="I24" s="33"/>
      <c r="J24" s="33"/>
      <c r="K24" s="1383"/>
      <c r="L24" s="1383">
        <v>214</v>
      </c>
      <c r="M24" s="1383">
        <f t="shared" si="0"/>
        <v>214</v>
      </c>
      <c r="N24" s="35">
        <f t="shared" si="1"/>
        <v>61.142857142857146</v>
      </c>
      <c r="O24" s="557"/>
    </row>
    <row r="25" spans="2:15" ht="18" customHeight="1" x14ac:dyDescent="0.25">
      <c r="B25" s="900" t="s">
        <v>534</v>
      </c>
      <c r="C25" s="246" t="s">
        <v>900</v>
      </c>
      <c r="D25" s="243"/>
      <c r="E25" s="250">
        <f>SUM(E14:E23)</f>
        <v>2526</v>
      </c>
      <c r="F25" s="250">
        <f>SUM(F14:F24)</f>
        <v>6913</v>
      </c>
      <c r="G25" s="250">
        <f>SUM(G14:G24)</f>
        <v>9439</v>
      </c>
      <c r="H25" s="250">
        <f t="shared" ref="H25:J25" si="3">SUM(H14:H23)</f>
        <v>0</v>
      </c>
      <c r="I25" s="250">
        <f t="shared" si="3"/>
        <v>0</v>
      </c>
      <c r="J25" s="250">
        <f t="shared" si="3"/>
        <v>0</v>
      </c>
      <c r="K25" s="250">
        <f>SUM(K14:K24)</f>
        <v>1546</v>
      </c>
      <c r="L25" s="250">
        <f>SUM(L14:L24)</f>
        <v>5145</v>
      </c>
      <c r="M25" s="250">
        <f>SUM(M14:M24)</f>
        <v>6691</v>
      </c>
      <c r="N25" s="36">
        <f t="shared" si="1"/>
        <v>70.886746477381081</v>
      </c>
      <c r="O25" s="557"/>
    </row>
    <row r="26" spans="2:15" ht="18" customHeight="1" x14ac:dyDescent="0.25">
      <c r="B26" s="900"/>
      <c r="E26" s="249"/>
      <c r="F26" s="245"/>
      <c r="G26" s="245"/>
      <c r="H26" s="32"/>
      <c r="I26" s="32"/>
      <c r="K26" s="1383"/>
      <c r="L26" s="1383"/>
      <c r="M26" s="1383"/>
      <c r="N26" s="35"/>
      <c r="O26" s="557"/>
    </row>
    <row r="27" spans="2:15" ht="18" customHeight="1" x14ac:dyDescent="0.25">
      <c r="B27" s="900"/>
      <c r="C27" s="29"/>
      <c r="E27" s="717"/>
      <c r="F27" s="717"/>
      <c r="G27" s="717"/>
      <c r="H27" s="32"/>
      <c r="I27" s="32"/>
      <c r="K27" s="1383"/>
      <c r="L27" s="1383"/>
      <c r="M27" s="1383"/>
      <c r="N27" s="35"/>
      <c r="O27" s="557"/>
    </row>
    <row r="28" spans="2:15" ht="37.9" customHeight="1" x14ac:dyDescent="0.25">
      <c r="B28" s="901" t="s">
        <v>535</v>
      </c>
      <c r="D28" s="24" t="s">
        <v>596</v>
      </c>
      <c r="E28" s="245"/>
      <c r="F28" s="245">
        <v>4200</v>
      </c>
      <c r="G28" s="245">
        <f>SUM(E28:F28)</f>
        <v>4200</v>
      </c>
      <c r="H28" s="32"/>
      <c r="I28" s="32"/>
      <c r="K28" s="1383"/>
      <c r="L28" s="1383">
        <v>3610</v>
      </c>
      <c r="M28" s="1383">
        <f t="shared" si="0"/>
        <v>3610</v>
      </c>
      <c r="N28" s="35">
        <f t="shared" si="1"/>
        <v>85.952380952380963</v>
      </c>
      <c r="O28" s="557"/>
    </row>
    <row r="29" spans="2:15" ht="23.25" customHeight="1" thickBot="1" x14ac:dyDescent="0.3">
      <c r="B29" s="1384" t="s">
        <v>536</v>
      </c>
      <c r="C29" s="877"/>
      <c r="D29" s="875" t="s">
        <v>594</v>
      </c>
      <c r="E29" s="718">
        <f>E28</f>
        <v>0</v>
      </c>
      <c r="F29" s="718">
        <f t="shared" ref="F29:G29" si="4">F28</f>
        <v>4200</v>
      </c>
      <c r="G29" s="718">
        <f t="shared" si="4"/>
        <v>4200</v>
      </c>
      <c r="H29" s="32"/>
      <c r="I29" s="32"/>
      <c r="K29" s="1380">
        <f>K28</f>
        <v>0</v>
      </c>
      <c r="L29" s="1380">
        <f t="shared" ref="L29:M29" si="5">L28</f>
        <v>3610</v>
      </c>
      <c r="M29" s="1380">
        <f t="shared" si="5"/>
        <v>3610</v>
      </c>
      <c r="N29" s="36">
        <f t="shared" si="1"/>
        <v>85.952380952380963</v>
      </c>
      <c r="O29" s="557"/>
    </row>
    <row r="30" spans="2:15" s="34" customFormat="1" ht="18" customHeight="1" thickBot="1" x14ac:dyDescent="0.3">
      <c r="B30" s="1386" t="s">
        <v>538</v>
      </c>
      <c r="C30" s="876" t="s">
        <v>901</v>
      </c>
      <c r="D30" s="292"/>
      <c r="E30" s="719">
        <f>E25+E27+E28</f>
        <v>2526</v>
      </c>
      <c r="F30" s="719">
        <f>F25+F27+F28</f>
        <v>11113</v>
      </c>
      <c r="G30" s="719">
        <f>G25+G27+G28</f>
        <v>13639</v>
      </c>
      <c r="K30" s="719">
        <f t="shared" ref="K30:M30" si="6">K25+K27+K28</f>
        <v>1546</v>
      </c>
      <c r="L30" s="719">
        <f t="shared" si="6"/>
        <v>8755</v>
      </c>
      <c r="M30" s="719">
        <f t="shared" si="6"/>
        <v>10301</v>
      </c>
      <c r="N30" s="1385">
        <f t="shared" si="1"/>
        <v>75.526064960774249</v>
      </c>
      <c r="O30" s="558"/>
    </row>
    <row r="31" spans="2:15" ht="18" customHeight="1" x14ac:dyDescent="0.25">
      <c r="B31" s="538"/>
      <c r="H31" s="32"/>
      <c r="I31" s="32"/>
    </row>
    <row r="32" spans="2:15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  <row r="40" spans="8:9" ht="18" customHeight="1" x14ac:dyDescent="0.25">
      <c r="H40" s="32"/>
      <c r="I40" s="32"/>
    </row>
    <row r="41" spans="8:9" ht="18" customHeight="1" x14ac:dyDescent="0.25">
      <c r="H41" s="32"/>
      <c r="I41" s="32"/>
    </row>
  </sheetData>
  <sheetProtection selectLockedCells="1" selectUnlockedCells="1"/>
  <mergeCells count="13">
    <mergeCell ref="B1:N1"/>
    <mergeCell ref="C12:D12"/>
    <mergeCell ref="B9:B11"/>
    <mergeCell ref="C9:D9"/>
    <mergeCell ref="C10:D11"/>
    <mergeCell ref="E10:G10"/>
    <mergeCell ref="K10:M10"/>
    <mergeCell ref="N10:N11"/>
    <mergeCell ref="B7:N7"/>
    <mergeCell ref="B5:N5"/>
    <mergeCell ref="B3:N3"/>
    <mergeCell ref="B4:N4"/>
    <mergeCell ref="B6:N6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75" firstPageNumber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9"/>
  <sheetViews>
    <sheetView workbookViewId="0">
      <selection activeCell="B1" sqref="B1:O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35" customWidth="1"/>
    <col min="5" max="6" width="9.42578125" style="3" customWidth="1"/>
    <col min="7" max="7" width="9.7109375" style="3" customWidth="1"/>
    <col min="8" max="9" width="0" style="240" hidden="1" customWidth="1"/>
    <col min="10" max="10" width="9.85546875" style="257" hidden="1" customWidth="1"/>
    <col min="11" max="11" width="0" style="257" hidden="1" customWidth="1"/>
    <col min="12" max="16384" width="9.140625" style="4"/>
  </cols>
  <sheetData>
    <row r="1" spans="1:15" ht="17.25" customHeight="1" x14ac:dyDescent="0.2">
      <c r="B1" s="2053" t="s">
        <v>2074</v>
      </c>
      <c r="C1" s="2053"/>
      <c r="D1" s="2053"/>
      <c r="E1" s="2053"/>
      <c r="F1" s="2053"/>
      <c r="G1" s="2053"/>
      <c r="H1" s="2053"/>
      <c r="I1" s="2053"/>
      <c r="J1" s="2053"/>
      <c r="K1" s="2053"/>
      <c r="L1" s="2053"/>
      <c r="M1" s="2053"/>
      <c r="N1" s="2053"/>
      <c r="O1" s="2053"/>
    </row>
    <row r="3" spans="1:15" ht="12.75" customHeight="1" x14ac:dyDescent="0.2">
      <c r="B3" s="1878" t="s">
        <v>77</v>
      </c>
      <c r="C3" s="1878"/>
      <c r="D3" s="1878"/>
      <c r="E3" s="1878"/>
      <c r="F3" s="1878"/>
      <c r="G3" s="1878"/>
      <c r="H3" s="1878"/>
      <c r="I3" s="1878"/>
      <c r="J3" s="1878"/>
      <c r="K3" s="1878"/>
      <c r="L3" s="1878"/>
      <c r="M3" s="1878"/>
      <c r="N3" s="1878"/>
      <c r="O3" s="1878"/>
    </row>
    <row r="4" spans="1:15" ht="12.75" customHeight="1" x14ac:dyDescent="0.2">
      <c r="B4" s="1878" t="s">
        <v>1359</v>
      </c>
      <c r="C4" s="1878"/>
      <c r="D4" s="1878"/>
      <c r="E4" s="1878"/>
      <c r="F4" s="1878"/>
      <c r="G4" s="1878"/>
      <c r="H4" s="1878"/>
      <c r="I4" s="1878"/>
      <c r="J4" s="1878"/>
      <c r="K4" s="1878"/>
      <c r="L4" s="1878"/>
      <c r="M4" s="1878"/>
      <c r="N4" s="1878"/>
      <c r="O4" s="1878"/>
    </row>
    <row r="5" spans="1:15" ht="12.75" customHeight="1" x14ac:dyDescent="0.2">
      <c r="B5" s="1307"/>
      <c r="C5" s="1307"/>
      <c r="D5" s="1878" t="s">
        <v>506</v>
      </c>
      <c r="E5" s="1878"/>
      <c r="F5" s="1878"/>
      <c r="G5" s="1878"/>
      <c r="H5" s="1878"/>
      <c r="I5" s="1878"/>
      <c r="J5" s="1878"/>
      <c r="K5" s="1878"/>
      <c r="L5" s="1878"/>
      <c r="M5" s="1878"/>
      <c r="N5" s="1878"/>
      <c r="O5" s="1878"/>
    </row>
    <row r="6" spans="1:15" ht="12.75" customHeight="1" x14ac:dyDescent="0.2">
      <c r="B6" s="1878" t="s">
        <v>902</v>
      </c>
      <c r="C6" s="1878"/>
      <c r="D6" s="1878"/>
      <c r="E6" s="1878"/>
      <c r="F6" s="1878"/>
      <c r="G6" s="1878"/>
      <c r="H6" s="1878"/>
      <c r="I6" s="1878"/>
      <c r="J6" s="1878"/>
      <c r="K6" s="1878"/>
      <c r="L6" s="1878"/>
      <c r="M6" s="1878"/>
      <c r="N6" s="1878"/>
      <c r="O6" s="1878"/>
    </row>
    <row r="7" spans="1:15" s="140" customFormat="1" ht="14.25" customHeight="1" x14ac:dyDescent="0.2">
      <c r="B7" s="228"/>
      <c r="C7" s="2061" t="s">
        <v>302</v>
      </c>
      <c r="D7" s="2061"/>
      <c r="E7" s="2061"/>
      <c r="F7" s="2061"/>
      <c r="G7" s="2061"/>
      <c r="H7" s="2061"/>
      <c r="I7" s="2061"/>
      <c r="J7" s="2061"/>
      <c r="K7" s="2061"/>
      <c r="L7" s="2061"/>
      <c r="M7" s="2061"/>
      <c r="N7" s="2061"/>
      <c r="O7" s="2061"/>
    </row>
    <row r="8" spans="1:15" s="140" customFormat="1" ht="6" customHeight="1" x14ac:dyDescent="0.2">
      <c r="B8" s="228"/>
      <c r="C8" s="223"/>
      <c r="D8" s="251"/>
      <c r="E8" s="228"/>
      <c r="F8" s="228"/>
      <c r="G8" s="228"/>
      <c r="H8" s="290"/>
      <c r="I8" s="290"/>
      <c r="J8" s="259"/>
      <c r="K8" s="259"/>
    </row>
    <row r="9" spans="1:15" ht="27" customHeight="1" x14ac:dyDescent="0.25">
      <c r="B9" s="2054" t="s">
        <v>468</v>
      </c>
      <c r="C9" s="2057" t="s">
        <v>57</v>
      </c>
      <c r="D9" s="2057"/>
      <c r="E9" s="20" t="s">
        <v>58</v>
      </c>
      <c r="F9" s="20" t="s">
        <v>59</v>
      </c>
      <c r="G9" s="20" t="s">
        <v>60</v>
      </c>
      <c r="H9" s="257"/>
      <c r="I9" s="4"/>
      <c r="J9" s="4"/>
      <c r="K9" s="4"/>
      <c r="L9" s="1378" t="s">
        <v>469</v>
      </c>
      <c r="M9" s="1379" t="s">
        <v>470</v>
      </c>
      <c r="N9" s="1379" t="s">
        <v>471</v>
      </c>
      <c r="O9" s="1379" t="s">
        <v>590</v>
      </c>
    </row>
    <row r="10" spans="1:15" ht="30" customHeight="1" x14ac:dyDescent="0.2">
      <c r="B10" s="2055"/>
      <c r="C10" s="2047" t="s">
        <v>85</v>
      </c>
      <c r="D10" s="2047"/>
      <c r="E10" s="2059" t="s">
        <v>1006</v>
      </c>
      <c r="F10" s="2059"/>
      <c r="G10" s="2059"/>
      <c r="H10" s="257"/>
      <c r="I10" s="4"/>
      <c r="J10" s="4"/>
      <c r="K10" s="4"/>
      <c r="L10" s="1915" t="s">
        <v>1355</v>
      </c>
      <c r="M10" s="1915"/>
      <c r="N10" s="1915"/>
      <c r="O10" s="1916" t="s">
        <v>1357</v>
      </c>
    </row>
    <row r="11" spans="1:15" ht="41.25" customHeight="1" x14ac:dyDescent="0.2">
      <c r="B11" s="2056"/>
      <c r="C11" s="2047"/>
      <c r="D11" s="2047"/>
      <c r="E11" s="244" t="s">
        <v>62</v>
      </c>
      <c r="F11" s="244" t="s">
        <v>63</v>
      </c>
      <c r="G11" s="244" t="s">
        <v>64</v>
      </c>
      <c r="H11" s="257"/>
      <c r="I11" s="4"/>
      <c r="J11" s="4"/>
      <c r="K11" s="4"/>
      <c r="L11" s="1232" t="s">
        <v>62</v>
      </c>
      <c r="M11" s="1232" t="s">
        <v>63</v>
      </c>
      <c r="N11" s="1232" t="s">
        <v>1365</v>
      </c>
      <c r="O11" s="1916"/>
    </row>
    <row r="12" spans="1:15" ht="18" customHeight="1" x14ac:dyDescent="0.2">
      <c r="A12" s="896"/>
      <c r="B12" s="897" t="s">
        <v>478</v>
      </c>
      <c r="C12" s="2060" t="s">
        <v>597</v>
      </c>
      <c r="D12" s="2060"/>
      <c r="E12" s="252"/>
      <c r="F12" s="231"/>
      <c r="G12" s="534"/>
      <c r="H12" s="257"/>
      <c r="I12" s="4"/>
      <c r="J12" s="4"/>
      <c r="K12" s="4"/>
      <c r="L12" s="1241"/>
      <c r="M12" s="1241"/>
      <c r="N12" s="1241"/>
      <c r="O12" s="1388"/>
    </row>
    <row r="13" spans="1:15" ht="26.45" customHeight="1" x14ac:dyDescent="0.2">
      <c r="A13" s="896"/>
      <c r="B13" s="898" t="s">
        <v>486</v>
      </c>
      <c r="C13" s="231"/>
      <c r="D13" s="314" t="s">
        <v>903</v>
      </c>
      <c r="E13" s="254">
        <f>'tám, végl. pe.átv  '!C29</f>
        <v>0</v>
      </c>
      <c r="F13" s="253"/>
      <c r="G13" s="534">
        <f>SUM(E13:F13)</f>
        <v>0</v>
      </c>
      <c r="H13" s="257"/>
      <c r="I13" s="4"/>
      <c r="J13" s="4"/>
      <c r="K13" s="4"/>
      <c r="L13" s="1387"/>
      <c r="M13" s="1387"/>
      <c r="N13" s="1387">
        <f>L13+M13</f>
        <v>0</v>
      </c>
      <c r="O13" s="896"/>
    </row>
    <row r="14" spans="1:15" ht="20.25" customHeight="1" x14ac:dyDescent="0.2">
      <c r="A14" s="896"/>
      <c r="B14" s="898" t="s">
        <v>487</v>
      </c>
      <c r="C14" s="231"/>
      <c r="D14" s="314" t="s">
        <v>104</v>
      </c>
      <c r="E14" s="252">
        <v>0</v>
      </c>
      <c r="F14" s="231">
        <f>SUM(F13)</f>
        <v>0</v>
      </c>
      <c r="G14" s="534">
        <f>SUM(E14:F14)</f>
        <v>0</v>
      </c>
      <c r="H14" s="257"/>
      <c r="I14" s="4"/>
      <c r="J14" s="4"/>
      <c r="K14" s="4"/>
      <c r="L14" s="1387"/>
      <c r="M14" s="1387"/>
      <c r="N14" s="1387">
        <f>L14+M14</f>
        <v>0</v>
      </c>
      <c r="O14" s="896"/>
    </row>
    <row r="15" spans="1:15" ht="18" customHeight="1" x14ac:dyDescent="0.2">
      <c r="A15" s="896"/>
      <c r="B15" s="898" t="s">
        <v>488</v>
      </c>
      <c r="D15" s="255" t="s">
        <v>594</v>
      </c>
      <c r="E15" s="256">
        <f>SUM(E13:E14)</f>
        <v>0</v>
      </c>
      <c r="F15" s="233"/>
      <c r="G15" s="535">
        <f>SUM(G13:G14)</f>
        <v>0</v>
      </c>
      <c r="H15" s="257"/>
      <c r="I15" s="4"/>
      <c r="J15" s="4"/>
      <c r="K15" s="4"/>
      <c r="L15" s="256">
        <f t="shared" ref="L15:N15" si="0">SUM(L13:L14)</f>
        <v>0</v>
      </c>
      <c r="M15" s="256">
        <f t="shared" si="0"/>
        <v>0</v>
      </c>
      <c r="N15" s="256">
        <f t="shared" si="0"/>
        <v>0</v>
      </c>
      <c r="O15" s="896"/>
    </row>
    <row r="16" spans="1:15" ht="18" customHeight="1" x14ac:dyDescent="0.2">
      <c r="A16" s="896"/>
      <c r="B16" s="898" t="s">
        <v>489</v>
      </c>
      <c r="D16" s="255"/>
      <c r="E16" s="252"/>
      <c r="F16" s="231"/>
      <c r="G16" s="534"/>
      <c r="H16" s="257"/>
      <c r="I16" s="4"/>
      <c r="J16" s="4"/>
      <c r="K16" s="4"/>
      <c r="L16" s="1387"/>
      <c r="M16" s="1387"/>
      <c r="N16" s="1387"/>
      <c r="O16" s="896"/>
    </row>
    <row r="17" spans="1:15" ht="18" customHeight="1" thickBot="1" x14ac:dyDescent="0.25">
      <c r="A17" s="896"/>
      <c r="B17" s="1392" t="s">
        <v>490</v>
      </c>
      <c r="D17" s="1393"/>
      <c r="E17" s="1389"/>
      <c r="F17" s="1389"/>
      <c r="G17" s="1390"/>
      <c r="H17" s="257"/>
      <c r="I17" s="4"/>
      <c r="J17" s="4"/>
      <c r="K17" s="4"/>
      <c r="L17" s="1387"/>
      <c r="M17" s="1387"/>
      <c r="N17" s="1391"/>
      <c r="O17" s="1391"/>
    </row>
    <row r="18" spans="1:15" ht="18" customHeight="1" thickBot="1" x14ac:dyDescent="0.25">
      <c r="B18" s="1392" t="s">
        <v>491</v>
      </c>
      <c r="C18" s="2058" t="s">
        <v>595</v>
      </c>
      <c r="D18" s="2058"/>
      <c r="E18" s="1394">
        <f>E15</f>
        <v>0</v>
      </c>
      <c r="F18" s="1394">
        <f t="shared" ref="F18:G18" si="1">F15</f>
        <v>0</v>
      </c>
      <c r="G18" s="1394">
        <f t="shared" si="1"/>
        <v>0</v>
      </c>
      <c r="H18" s="1395"/>
      <c r="I18" s="1396"/>
      <c r="J18" s="1396"/>
      <c r="K18" s="1396"/>
      <c r="L18" s="1397">
        <f t="shared" ref="L18:N18" si="2">L15</f>
        <v>0</v>
      </c>
      <c r="M18" s="1397">
        <f t="shared" si="2"/>
        <v>0</v>
      </c>
      <c r="N18" s="1394">
        <f t="shared" si="2"/>
        <v>0</v>
      </c>
      <c r="O18" s="1391"/>
    </row>
    <row r="19" spans="1:15" ht="18" customHeight="1" x14ac:dyDescent="0.2">
      <c r="B19" s="5"/>
      <c r="H19" s="257"/>
      <c r="I19" s="4"/>
      <c r="J19" s="4"/>
      <c r="K19" s="4"/>
    </row>
  </sheetData>
  <sheetProtection selectLockedCells="1" selectUnlockedCells="1"/>
  <mergeCells count="14">
    <mergeCell ref="B1:O1"/>
    <mergeCell ref="B9:B11"/>
    <mergeCell ref="C9:D9"/>
    <mergeCell ref="C18:D18"/>
    <mergeCell ref="E10:G10"/>
    <mergeCell ref="C12:D12"/>
    <mergeCell ref="C10:D11"/>
    <mergeCell ref="L10:N10"/>
    <mergeCell ref="O10:O11"/>
    <mergeCell ref="B3:O3"/>
    <mergeCell ref="B4:O4"/>
    <mergeCell ref="D5:O5"/>
    <mergeCell ref="B6:O6"/>
    <mergeCell ref="C7:O7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scale="110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56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2" customWidth="1"/>
    <col min="2" max="2" width="39.85546875" style="152" customWidth="1"/>
    <col min="3" max="3" width="11" style="153" customWidth="1"/>
    <col min="4" max="8" width="10.85546875" style="153" customWidth="1"/>
    <col min="9" max="9" width="7.140625" style="153" customWidth="1"/>
    <col min="10" max="10" width="33.7109375" style="153" customWidth="1"/>
    <col min="11" max="11" width="10.85546875" style="280" customWidth="1"/>
    <col min="12" max="12" width="11" style="280" customWidth="1"/>
    <col min="13" max="13" width="10.85546875" style="280" customWidth="1"/>
    <col min="14" max="14" width="10.85546875" style="152" customWidth="1"/>
    <col min="15" max="16" width="10.85546875" style="10" customWidth="1"/>
    <col min="17" max="17" width="7.28515625" style="10" customWidth="1"/>
    <col min="18" max="16384" width="9.140625" style="10"/>
  </cols>
  <sheetData>
    <row r="1" spans="1:17" ht="12.75" customHeight="1" x14ac:dyDescent="0.2">
      <c r="B1" s="1816" t="s">
        <v>2075</v>
      </c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17" x14ac:dyDescent="0.2">
      <c r="M2" s="334"/>
    </row>
    <row r="3" spans="1:17" x14ac:dyDescent="0.2">
      <c r="M3" s="334"/>
    </row>
    <row r="4" spans="1:17" s="120" customFormat="1" x14ac:dyDescent="0.2">
      <c r="A4" s="155"/>
      <c r="B4" s="1823" t="s">
        <v>77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</row>
    <row r="5" spans="1:17" s="120" customFormat="1" x14ac:dyDescent="0.2">
      <c r="A5" s="155"/>
      <c r="B5" s="1823" t="s">
        <v>1359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</row>
    <row r="6" spans="1:17" s="120" customFormat="1" x14ac:dyDescent="0.2">
      <c r="A6" s="155"/>
      <c r="B6" s="1964" t="s">
        <v>182</v>
      </c>
      <c r="C6" s="1964"/>
      <c r="D6" s="1964"/>
      <c r="E6" s="1964"/>
      <c r="F6" s="1964"/>
      <c r="G6" s="1964"/>
      <c r="H6" s="1964"/>
      <c r="I6" s="1964"/>
      <c r="J6" s="1964"/>
      <c r="K6" s="1964"/>
      <c r="L6" s="1964"/>
      <c r="M6" s="1964"/>
      <c r="N6" s="1964"/>
      <c r="O6" s="1964"/>
      <c r="P6" s="1964"/>
      <c r="Q6" s="1964"/>
    </row>
    <row r="7" spans="1:17" s="120" customFormat="1" x14ac:dyDescent="0.2">
      <c r="A7" s="155"/>
      <c r="B7" s="1823" t="s">
        <v>1102</v>
      </c>
      <c r="C7" s="1823"/>
      <c r="D7" s="1823"/>
      <c r="E7" s="1823"/>
      <c r="F7" s="1823"/>
      <c r="G7" s="1823"/>
      <c r="H7" s="1823"/>
      <c r="I7" s="1823"/>
      <c r="J7" s="1823"/>
      <c r="K7" s="1823"/>
      <c r="L7" s="1823"/>
      <c r="M7" s="1823"/>
      <c r="N7" s="1823"/>
      <c r="O7" s="1823"/>
      <c r="P7" s="1823"/>
      <c r="Q7" s="1823"/>
    </row>
    <row r="8" spans="1:17" s="120" customFormat="1" x14ac:dyDescent="0.2">
      <c r="A8" s="155"/>
      <c r="B8" s="1824" t="s">
        <v>304</v>
      </c>
      <c r="C8" s="1824"/>
      <c r="D8" s="1824"/>
      <c r="E8" s="1824"/>
      <c r="F8" s="1824"/>
      <c r="G8" s="1824"/>
      <c r="H8" s="1824"/>
      <c r="I8" s="1824"/>
      <c r="J8" s="1824"/>
      <c r="K8" s="1824"/>
      <c r="L8" s="1824"/>
      <c r="M8" s="1824"/>
      <c r="N8" s="1824"/>
      <c r="O8" s="1824"/>
      <c r="P8" s="1824"/>
      <c r="Q8" s="1824"/>
    </row>
    <row r="9" spans="1:17" s="120" customFormat="1" ht="12.75" customHeight="1" x14ac:dyDescent="0.2">
      <c r="A9" s="1829" t="s">
        <v>56</v>
      </c>
      <c r="B9" s="1828" t="s">
        <v>57</v>
      </c>
      <c r="C9" s="1850" t="s">
        <v>58</v>
      </c>
      <c r="D9" s="1850"/>
      <c r="E9" s="1827"/>
      <c r="F9" s="1834" t="s">
        <v>59</v>
      </c>
      <c r="G9" s="1834"/>
      <c r="H9" s="1834"/>
      <c r="I9" s="1835"/>
      <c r="J9" s="1962" t="s">
        <v>60</v>
      </c>
      <c r="K9" s="1845" t="s">
        <v>469</v>
      </c>
      <c r="L9" s="1846"/>
      <c r="M9" s="1846"/>
      <c r="N9" s="1822" t="s">
        <v>470</v>
      </c>
      <c r="O9" s="1822"/>
      <c r="P9" s="1822"/>
      <c r="Q9" s="1822"/>
    </row>
    <row r="10" spans="1:17" s="120" customFormat="1" ht="12.75" customHeight="1" x14ac:dyDescent="0.2">
      <c r="A10" s="1829"/>
      <c r="B10" s="1828"/>
      <c r="C10" s="1825" t="s">
        <v>1103</v>
      </c>
      <c r="D10" s="1825"/>
      <c r="E10" s="1826"/>
      <c r="F10" s="1817" t="s">
        <v>1355</v>
      </c>
      <c r="G10" s="1818"/>
      <c r="H10" s="1819"/>
      <c r="I10" s="1820" t="s">
        <v>1357</v>
      </c>
      <c r="J10" s="1962"/>
      <c r="K10" s="1838" t="s">
        <v>1103</v>
      </c>
      <c r="L10" s="1838"/>
      <c r="M10" s="1838"/>
      <c r="N10" s="1817" t="s">
        <v>1355</v>
      </c>
      <c r="O10" s="1818"/>
      <c r="P10" s="1819"/>
      <c r="Q10" s="1820" t="s">
        <v>1357</v>
      </c>
    </row>
    <row r="11" spans="1:17" s="297" customFormat="1" ht="36.6" customHeight="1" x14ac:dyDescent="0.2">
      <c r="A11" s="1829"/>
      <c r="B11" s="295" t="s">
        <v>61</v>
      </c>
      <c r="C11" s="132" t="s">
        <v>62</v>
      </c>
      <c r="D11" s="132" t="s">
        <v>63</v>
      </c>
      <c r="E11" s="157" t="s">
        <v>64</v>
      </c>
      <c r="F11" s="132" t="s">
        <v>62</v>
      </c>
      <c r="G11" s="132" t="s">
        <v>63</v>
      </c>
      <c r="H11" s="157" t="s">
        <v>1356</v>
      </c>
      <c r="I11" s="1821"/>
      <c r="J11" s="296" t="s">
        <v>65</v>
      </c>
      <c r="K11" s="335" t="s">
        <v>62</v>
      </c>
      <c r="L11" s="335" t="s">
        <v>63</v>
      </c>
      <c r="M11" s="335" t="s">
        <v>64</v>
      </c>
      <c r="N11" s="132" t="s">
        <v>62</v>
      </c>
      <c r="O11" s="1348" t="s">
        <v>63</v>
      </c>
      <c r="P11" s="157" t="s">
        <v>1356</v>
      </c>
      <c r="Q11" s="1821"/>
    </row>
    <row r="12" spans="1:17" ht="11.45" customHeight="1" x14ac:dyDescent="0.2">
      <c r="A12" s="159">
        <v>1</v>
      </c>
      <c r="B12" s="160" t="s">
        <v>24</v>
      </c>
      <c r="C12" s="161"/>
      <c r="D12" s="161"/>
      <c r="E12" s="1190"/>
      <c r="F12" s="161"/>
      <c r="G12" s="161"/>
      <c r="H12" s="1190"/>
      <c r="I12" s="161"/>
      <c r="J12" s="135" t="s">
        <v>25</v>
      </c>
      <c r="K12" s="340"/>
      <c r="L12" s="340"/>
      <c r="M12" s="434"/>
      <c r="N12" s="185"/>
      <c r="P12" s="1350"/>
      <c r="Q12" s="1251"/>
    </row>
    <row r="13" spans="1:17" x14ac:dyDescent="0.2">
      <c r="A13" s="159">
        <f t="shared" ref="A13:A55" si="0">A12+1</f>
        <v>2</v>
      </c>
      <c r="B13" s="162" t="s">
        <v>35</v>
      </c>
      <c r="C13" s="116"/>
      <c r="D13" s="116"/>
      <c r="E13" s="425">
        <f t="shared" ref="E13:E19" si="1">SUM(C13:D13)</f>
        <v>0</v>
      </c>
      <c r="F13" s="117"/>
      <c r="G13" s="117"/>
      <c r="H13" s="425"/>
      <c r="I13" s="117"/>
      <c r="J13" s="136" t="s">
        <v>215</v>
      </c>
      <c r="K13" s="275">
        <v>242882</v>
      </c>
      <c r="L13" s="275">
        <v>27869</v>
      </c>
      <c r="M13" s="435">
        <f>SUM(K13:L13)</f>
        <v>270751</v>
      </c>
      <c r="N13" s="553">
        <v>242777</v>
      </c>
      <c r="O13" s="280">
        <v>27679</v>
      </c>
      <c r="P13" s="437">
        <f>N13+O13</f>
        <v>270456</v>
      </c>
      <c r="Q13" s="437">
        <f>P13/M13*100</f>
        <v>99.891043800392239</v>
      </c>
    </row>
    <row r="14" spans="1:17" x14ac:dyDescent="0.2">
      <c r="A14" s="159">
        <f t="shared" si="0"/>
        <v>3</v>
      </c>
      <c r="B14" s="162" t="s">
        <v>36</v>
      </c>
      <c r="C14" s="116"/>
      <c r="D14" s="116"/>
      <c r="E14" s="425">
        <f t="shared" si="1"/>
        <v>0</v>
      </c>
      <c r="F14" s="117"/>
      <c r="G14" s="117"/>
      <c r="H14" s="425">
        <f>F14+G14</f>
        <v>0</v>
      </c>
      <c r="I14" s="117"/>
      <c r="J14" s="495" t="s">
        <v>216</v>
      </c>
      <c r="K14" s="275">
        <v>49709</v>
      </c>
      <c r="L14" s="275">
        <v>4972</v>
      </c>
      <c r="M14" s="435">
        <f>SUM(K14:L14)</f>
        <v>54681</v>
      </c>
      <c r="N14" s="553">
        <v>49693</v>
      </c>
      <c r="O14" s="280">
        <v>4943</v>
      </c>
      <c r="P14" s="437">
        <f t="shared" ref="P14:P15" si="2">N14+O14</f>
        <v>54636</v>
      </c>
      <c r="Q14" s="437">
        <f t="shared" ref="Q14:Q55" si="3">P14/M14*100</f>
        <v>99.917704504306798</v>
      </c>
    </row>
    <row r="15" spans="1:17" x14ac:dyDescent="0.2">
      <c r="A15" s="159">
        <f t="shared" si="0"/>
        <v>4</v>
      </c>
      <c r="B15" s="162" t="s">
        <v>192</v>
      </c>
      <c r="C15" s="116">
        <f>'tám, végl. pe.átv  '!C55</f>
        <v>0</v>
      </c>
      <c r="D15" s="116">
        <f>'tám, végl. pe.átv  '!D55</f>
        <v>2005</v>
      </c>
      <c r="E15" s="436">
        <f t="shared" si="1"/>
        <v>2005</v>
      </c>
      <c r="F15" s="275">
        <f>'tám, végl. pe.átv  '!F55</f>
        <v>0</v>
      </c>
      <c r="G15" s="275">
        <f>'tám, végl. pe.átv  '!G55</f>
        <v>2005</v>
      </c>
      <c r="H15" s="425">
        <f t="shared" ref="H15:H28" si="4">F15+G15</f>
        <v>2005</v>
      </c>
      <c r="I15" s="117">
        <f t="shared" ref="I15:I55" si="5">H15/E15*100</f>
        <v>100</v>
      </c>
      <c r="J15" s="136" t="s">
        <v>217</v>
      </c>
      <c r="K15" s="275">
        <v>211328</v>
      </c>
      <c r="L15" s="275">
        <v>32926</v>
      </c>
      <c r="M15" s="435">
        <f>SUM(K15:L15)</f>
        <v>244254</v>
      </c>
      <c r="N15" s="553">
        <v>210692</v>
      </c>
      <c r="O15" s="280">
        <v>31948</v>
      </c>
      <c r="P15" s="437">
        <f t="shared" si="2"/>
        <v>242640</v>
      </c>
      <c r="Q15" s="437">
        <f t="shared" si="3"/>
        <v>99.339212459161359</v>
      </c>
    </row>
    <row r="16" spans="1:17" ht="12" customHeight="1" x14ac:dyDescent="0.2">
      <c r="A16" s="159">
        <f t="shared" si="0"/>
        <v>5</v>
      </c>
      <c r="B16" s="125"/>
      <c r="C16" s="116"/>
      <c r="D16" s="116"/>
      <c r="E16" s="425"/>
      <c r="F16" s="117"/>
      <c r="G16" s="117"/>
      <c r="H16" s="425"/>
      <c r="I16" s="117"/>
      <c r="J16" s="136"/>
      <c r="K16" s="355"/>
      <c r="L16" s="355"/>
      <c r="M16" s="436"/>
      <c r="N16" s="553"/>
      <c r="O16" s="280"/>
      <c r="P16" s="437"/>
      <c r="Q16" s="437"/>
    </row>
    <row r="17" spans="1:17" x14ac:dyDescent="0.2">
      <c r="A17" s="159">
        <f t="shared" si="0"/>
        <v>6</v>
      </c>
      <c r="B17" s="162" t="s">
        <v>38</v>
      </c>
      <c r="C17" s="116"/>
      <c r="D17" s="116"/>
      <c r="E17" s="425">
        <f t="shared" si="1"/>
        <v>0</v>
      </c>
      <c r="F17" s="117"/>
      <c r="G17" s="117"/>
      <c r="H17" s="425">
        <f t="shared" si="4"/>
        <v>0</v>
      </c>
      <c r="I17" s="117"/>
      <c r="J17" s="136" t="s">
        <v>28</v>
      </c>
      <c r="K17" s="282"/>
      <c r="L17" s="282"/>
      <c r="M17" s="437"/>
      <c r="N17" s="553"/>
      <c r="O17" s="280"/>
      <c r="P17" s="437"/>
      <c r="Q17" s="437"/>
    </row>
    <row r="18" spans="1:17" x14ac:dyDescent="0.2">
      <c r="A18" s="159">
        <f t="shared" si="0"/>
        <v>7</v>
      </c>
      <c r="B18" s="162"/>
      <c r="C18" s="116"/>
      <c r="D18" s="116"/>
      <c r="E18" s="425"/>
      <c r="F18" s="117"/>
      <c r="G18" s="117"/>
      <c r="H18" s="425"/>
      <c r="I18" s="117"/>
      <c r="J18" s="136" t="s">
        <v>30</v>
      </c>
      <c r="K18" s="282"/>
      <c r="L18" s="282"/>
      <c r="M18" s="437"/>
      <c r="N18" s="553"/>
      <c r="O18" s="280"/>
      <c r="P18" s="437"/>
      <c r="Q18" s="437"/>
    </row>
    <row r="19" spans="1:17" x14ac:dyDescent="0.2">
      <c r="A19" s="159">
        <f t="shared" si="0"/>
        <v>8</v>
      </c>
      <c r="B19" s="162" t="s">
        <v>39</v>
      </c>
      <c r="C19" s="116"/>
      <c r="D19" s="116"/>
      <c r="E19" s="425">
        <f t="shared" si="1"/>
        <v>0</v>
      </c>
      <c r="F19" s="117"/>
      <c r="G19" s="117"/>
      <c r="H19" s="425">
        <f t="shared" si="4"/>
        <v>0</v>
      </c>
      <c r="I19" s="117"/>
      <c r="J19" s="136" t="s">
        <v>445</v>
      </c>
      <c r="K19" s="282"/>
      <c r="L19" s="282"/>
      <c r="M19" s="437"/>
      <c r="N19" s="553"/>
      <c r="O19" s="280"/>
      <c r="P19" s="437"/>
      <c r="Q19" s="437"/>
    </row>
    <row r="20" spans="1:17" x14ac:dyDescent="0.2">
      <c r="A20" s="159">
        <f t="shared" si="0"/>
        <v>9</v>
      </c>
      <c r="B20" s="165" t="s">
        <v>40</v>
      </c>
      <c r="C20" s="163"/>
      <c r="D20" s="163"/>
      <c r="E20" s="417"/>
      <c r="F20" s="163"/>
      <c r="G20" s="163"/>
      <c r="H20" s="425"/>
      <c r="I20" s="117"/>
      <c r="J20" s="136" t="s">
        <v>444</v>
      </c>
      <c r="K20" s="282"/>
      <c r="L20" s="282"/>
      <c r="M20" s="437"/>
      <c r="N20" s="553"/>
      <c r="O20" s="280"/>
      <c r="P20" s="437"/>
      <c r="Q20" s="437"/>
    </row>
    <row r="21" spans="1:17" x14ac:dyDescent="0.2">
      <c r="A21" s="159">
        <f t="shared" si="0"/>
        <v>10</v>
      </c>
      <c r="B21" s="114" t="s">
        <v>194</v>
      </c>
      <c r="C21" s="336">
        <v>111767</v>
      </c>
      <c r="D21" s="336">
        <v>32894</v>
      </c>
      <c r="E21" s="435">
        <f>SUM(C21:D21)</f>
        <v>144661</v>
      </c>
      <c r="F21" s="336">
        <v>111743</v>
      </c>
      <c r="G21" s="336">
        <v>32846</v>
      </c>
      <c r="H21" s="425">
        <f t="shared" si="4"/>
        <v>144589</v>
      </c>
      <c r="I21" s="117">
        <f t="shared" si="5"/>
        <v>99.950228465170298</v>
      </c>
      <c r="J21" s="136" t="s">
        <v>190</v>
      </c>
      <c r="K21" s="282"/>
      <c r="L21" s="282"/>
      <c r="M21" s="437"/>
      <c r="N21" s="553"/>
      <c r="O21" s="280"/>
      <c r="P21" s="437"/>
      <c r="Q21" s="437"/>
    </row>
    <row r="22" spans="1:17" x14ac:dyDescent="0.2">
      <c r="A22" s="159">
        <f t="shared" si="0"/>
        <v>11</v>
      </c>
      <c r="C22" s="163"/>
      <c r="D22" s="163"/>
      <c r="E22" s="417"/>
      <c r="F22" s="163"/>
      <c r="G22" s="163"/>
      <c r="H22" s="425"/>
      <c r="I22" s="117"/>
      <c r="J22" s="136" t="s">
        <v>907</v>
      </c>
      <c r="K22" s="282"/>
      <c r="L22" s="282"/>
      <c r="M22" s="437"/>
      <c r="N22" s="553"/>
      <c r="O22" s="280"/>
      <c r="P22" s="437"/>
      <c r="Q22" s="437"/>
    </row>
    <row r="23" spans="1:17" s="122" customFormat="1" x14ac:dyDescent="0.2">
      <c r="A23" s="159">
        <f t="shared" si="0"/>
        <v>12</v>
      </c>
      <c r="B23" s="152" t="s">
        <v>42</v>
      </c>
      <c r="C23" s="163"/>
      <c r="D23" s="163"/>
      <c r="E23" s="417"/>
      <c r="F23" s="163"/>
      <c r="G23" s="163"/>
      <c r="H23" s="425"/>
      <c r="I23" s="117"/>
      <c r="J23" s="136" t="s">
        <v>908</v>
      </c>
      <c r="K23" s="282"/>
      <c r="L23" s="282"/>
      <c r="M23" s="437"/>
      <c r="N23" s="1266"/>
      <c r="O23" s="1267"/>
      <c r="P23" s="437"/>
      <c r="Q23" s="437"/>
    </row>
    <row r="24" spans="1:17" s="122" customFormat="1" x14ac:dyDescent="0.2">
      <c r="A24" s="159">
        <f t="shared" si="0"/>
        <v>13</v>
      </c>
      <c r="B24" s="114" t="s">
        <v>43</v>
      </c>
      <c r="C24" s="163"/>
      <c r="D24" s="163"/>
      <c r="E24" s="417"/>
      <c r="F24" s="163"/>
      <c r="G24" s="163"/>
      <c r="H24" s="425">
        <f t="shared" si="4"/>
        <v>0</v>
      </c>
      <c r="I24" s="117"/>
      <c r="J24" s="166"/>
      <c r="K24" s="282"/>
      <c r="L24" s="282"/>
      <c r="M24" s="437"/>
      <c r="N24" s="1266"/>
      <c r="O24" s="1267"/>
      <c r="P24" s="439"/>
      <c r="Q24" s="437"/>
    </row>
    <row r="25" spans="1:17" x14ac:dyDescent="0.2">
      <c r="A25" s="159">
        <f t="shared" si="0"/>
        <v>14</v>
      </c>
      <c r="B25" s="162" t="s">
        <v>44</v>
      </c>
      <c r="C25" s="127"/>
      <c r="D25" s="127"/>
      <c r="E25" s="1412"/>
      <c r="F25" s="127"/>
      <c r="G25" s="127"/>
      <c r="H25" s="425">
        <f t="shared" si="4"/>
        <v>0</v>
      </c>
      <c r="I25" s="117"/>
      <c r="J25" s="167" t="s">
        <v>66</v>
      </c>
      <c r="K25" s="337">
        <f>SUM(K13:K23)</f>
        <v>503919</v>
      </c>
      <c r="L25" s="337">
        <f>SUM(L13:L23)</f>
        <v>65767</v>
      </c>
      <c r="M25" s="438">
        <f>SUM(M13:M23)</f>
        <v>569686</v>
      </c>
      <c r="N25" s="337">
        <f t="shared" ref="N25:P25" si="6">SUM(N13:N23)</f>
        <v>503162</v>
      </c>
      <c r="O25" s="337">
        <f t="shared" si="6"/>
        <v>64570</v>
      </c>
      <c r="P25" s="438">
        <f t="shared" si="6"/>
        <v>567732</v>
      </c>
      <c r="Q25" s="438">
        <f t="shared" si="3"/>
        <v>99.657004033801073</v>
      </c>
    </row>
    <row r="26" spans="1:17" x14ac:dyDescent="0.2">
      <c r="A26" s="159">
        <f t="shared" si="0"/>
        <v>15</v>
      </c>
      <c r="B26" s="162" t="s">
        <v>45</v>
      </c>
      <c r="C26" s="163">
        <v>1285</v>
      </c>
      <c r="D26" s="163">
        <v>0</v>
      </c>
      <c r="E26" s="417">
        <f>'felh. bev.  '!F53</f>
        <v>1285</v>
      </c>
      <c r="F26" s="163">
        <v>1285</v>
      </c>
      <c r="G26" s="163"/>
      <c r="H26" s="425">
        <f t="shared" si="4"/>
        <v>1285</v>
      </c>
      <c r="I26" s="117">
        <f t="shared" si="5"/>
        <v>100</v>
      </c>
      <c r="J26" s="166"/>
      <c r="K26" s="282"/>
      <c r="L26" s="282"/>
      <c r="M26" s="437"/>
      <c r="N26" s="553"/>
      <c r="O26" s="280"/>
      <c r="P26" s="437"/>
      <c r="Q26" s="437"/>
    </row>
    <row r="27" spans="1:17" x14ac:dyDescent="0.2">
      <c r="A27" s="159">
        <f t="shared" si="0"/>
        <v>16</v>
      </c>
      <c r="B27" s="114" t="s">
        <v>46</v>
      </c>
      <c r="C27" s="124"/>
      <c r="D27" s="124"/>
      <c r="E27" s="482"/>
      <c r="F27" s="124"/>
      <c r="G27" s="124"/>
      <c r="H27" s="425">
        <f t="shared" si="4"/>
        <v>0</v>
      </c>
      <c r="I27" s="117"/>
      <c r="J27" s="137" t="s">
        <v>34</v>
      </c>
      <c r="K27" s="339"/>
      <c r="L27" s="339"/>
      <c r="M27" s="437"/>
      <c r="N27" s="553"/>
      <c r="O27" s="280"/>
      <c r="P27" s="437"/>
      <c r="Q27" s="437"/>
    </row>
    <row r="28" spans="1:17" x14ac:dyDescent="0.2">
      <c r="A28" s="159">
        <f t="shared" si="0"/>
        <v>17</v>
      </c>
      <c r="B28" s="162" t="s">
        <v>47</v>
      </c>
      <c r="C28" s="117"/>
      <c r="D28" s="117"/>
      <c r="E28" s="425"/>
      <c r="F28" s="117"/>
      <c r="G28" s="117"/>
      <c r="H28" s="425">
        <f t="shared" si="4"/>
        <v>0</v>
      </c>
      <c r="I28" s="117"/>
      <c r="J28" s="136" t="s">
        <v>273</v>
      </c>
      <c r="K28" s="282">
        <f>'felhalm. kiad.  '!H120</f>
        <v>40400</v>
      </c>
      <c r="L28" s="282">
        <f>'felhalm. kiad.  '!I120</f>
        <v>0</v>
      </c>
      <c r="M28" s="437">
        <f>SUM(K28:L28)</f>
        <v>40400</v>
      </c>
      <c r="N28" s="553">
        <f>'felhalm. kiad.  '!K120</f>
        <v>40351</v>
      </c>
      <c r="O28" s="282">
        <f>'felhalm. kiad.  '!L120</f>
        <v>0</v>
      </c>
      <c r="P28" s="437">
        <f>N28+O28</f>
        <v>40351</v>
      </c>
      <c r="Q28" s="437">
        <f t="shared" si="3"/>
        <v>99.878712871287135</v>
      </c>
    </row>
    <row r="29" spans="1:17" x14ac:dyDescent="0.2">
      <c r="A29" s="159">
        <f t="shared" si="0"/>
        <v>18</v>
      </c>
      <c r="B29" s="162"/>
      <c r="C29" s="117"/>
      <c r="D29" s="117"/>
      <c r="E29" s="425"/>
      <c r="F29" s="117"/>
      <c r="G29" s="117"/>
      <c r="H29" s="425"/>
      <c r="I29" s="117"/>
      <c r="J29" s="136" t="s">
        <v>31</v>
      </c>
      <c r="K29" s="282"/>
      <c r="L29" s="282"/>
      <c r="M29" s="437"/>
      <c r="N29" s="553"/>
      <c r="O29" s="280"/>
      <c r="P29" s="437"/>
      <c r="Q29" s="437"/>
    </row>
    <row r="30" spans="1:17" x14ac:dyDescent="0.2">
      <c r="A30" s="159">
        <f t="shared" si="0"/>
        <v>19</v>
      </c>
      <c r="B30" s="152" t="s">
        <v>50</v>
      </c>
      <c r="C30" s="117"/>
      <c r="D30" s="117"/>
      <c r="E30" s="425"/>
      <c r="F30" s="117"/>
      <c r="G30" s="117"/>
      <c r="H30" s="425"/>
      <c r="I30" s="117"/>
      <c r="J30" s="136" t="s">
        <v>32</v>
      </c>
      <c r="K30" s="282"/>
      <c r="L30" s="282"/>
      <c r="M30" s="437"/>
      <c r="N30" s="553"/>
      <c r="O30" s="280"/>
      <c r="P30" s="437"/>
      <c r="Q30" s="437"/>
    </row>
    <row r="31" spans="1:17" s="122" customFormat="1" x14ac:dyDescent="0.2">
      <c r="A31" s="159">
        <f t="shared" si="0"/>
        <v>20</v>
      </c>
      <c r="B31" s="152" t="s">
        <v>48</v>
      </c>
      <c r="C31" s="117"/>
      <c r="D31" s="117"/>
      <c r="E31" s="425"/>
      <c r="F31" s="117"/>
      <c r="G31" s="117"/>
      <c r="H31" s="425"/>
      <c r="I31" s="117"/>
      <c r="J31" s="136" t="s">
        <v>446</v>
      </c>
      <c r="K31" s="282"/>
      <c r="L31" s="282"/>
      <c r="M31" s="437"/>
      <c r="N31" s="1266"/>
      <c r="O31" s="1267"/>
      <c r="P31" s="439"/>
      <c r="Q31" s="437"/>
    </row>
    <row r="32" spans="1:17" x14ac:dyDescent="0.2">
      <c r="A32" s="159">
        <f t="shared" si="0"/>
        <v>21</v>
      </c>
      <c r="C32" s="117"/>
      <c r="D32" s="117"/>
      <c r="E32" s="425"/>
      <c r="F32" s="117"/>
      <c r="G32" s="117"/>
      <c r="H32" s="425"/>
      <c r="I32" s="117"/>
      <c r="J32" s="136" t="s">
        <v>443</v>
      </c>
      <c r="K32" s="282"/>
      <c r="L32" s="282"/>
      <c r="M32" s="437"/>
      <c r="N32" s="553"/>
      <c r="O32" s="280"/>
      <c r="P32" s="437"/>
      <c r="Q32" s="437"/>
    </row>
    <row r="33" spans="1:17" s="11" customFormat="1" x14ac:dyDescent="0.2">
      <c r="A33" s="159">
        <f t="shared" si="0"/>
        <v>22</v>
      </c>
      <c r="B33" s="169" t="s">
        <v>52</v>
      </c>
      <c r="C33" s="1398">
        <f>C15+C21</f>
        <v>111767</v>
      </c>
      <c r="D33" s="1398">
        <f>D15+D21</f>
        <v>34899</v>
      </c>
      <c r="E33" s="1399">
        <f>E15+E21</f>
        <v>146666</v>
      </c>
      <c r="F33" s="1398">
        <f>F15+F21</f>
        <v>111743</v>
      </c>
      <c r="G33" s="1398">
        <f t="shared" ref="G33:H33" si="7">G15+G21</f>
        <v>34851</v>
      </c>
      <c r="H33" s="1399">
        <f t="shared" si="7"/>
        <v>146594</v>
      </c>
      <c r="I33" s="123">
        <f t="shared" si="5"/>
        <v>99.950908867767581</v>
      </c>
      <c r="J33" s="136" t="s">
        <v>439</v>
      </c>
      <c r="K33" s="280"/>
      <c r="L33" s="280"/>
      <c r="M33" s="437"/>
      <c r="N33" s="796"/>
      <c r="O33" s="184"/>
      <c r="P33" s="420"/>
      <c r="Q33" s="437"/>
    </row>
    <row r="34" spans="1:17" x14ac:dyDescent="0.2">
      <c r="A34" s="159">
        <f t="shared" si="0"/>
        <v>23</v>
      </c>
      <c r="B34" s="170" t="s">
        <v>67</v>
      </c>
      <c r="C34" s="172">
        <f>C17+C24+C25+C26+C27+C28+C31</f>
        <v>1285</v>
      </c>
      <c r="D34" s="172">
        <f t="shared" ref="D34:E34" si="8">D17+D24+D25+D26+D27+D28+D31</f>
        <v>0</v>
      </c>
      <c r="E34" s="421">
        <f t="shared" si="8"/>
        <v>1285</v>
      </c>
      <c r="F34" s="172">
        <f>F17+F24+F25+F26+F27+F28+F31</f>
        <v>1285</v>
      </c>
      <c r="G34" s="172">
        <f t="shared" ref="G34:H34" si="9">G17+G24+G25+G26+G27+G28+G31</f>
        <v>0</v>
      </c>
      <c r="H34" s="421">
        <f t="shared" si="9"/>
        <v>1285</v>
      </c>
      <c r="I34" s="172">
        <f t="shared" si="5"/>
        <v>100</v>
      </c>
      <c r="J34" s="171" t="s">
        <v>68</v>
      </c>
      <c r="K34" s="338">
        <f>SUM(K28:K33)</f>
        <v>40400</v>
      </c>
      <c r="L34" s="338">
        <f>SUM(L28:L33)</f>
        <v>0</v>
      </c>
      <c r="M34" s="439">
        <f>SUM(M28:M32)</f>
        <v>40400</v>
      </c>
      <c r="N34" s="338">
        <f t="shared" ref="N34:P34" si="10">SUM(N28:N33)</f>
        <v>40351</v>
      </c>
      <c r="O34" s="338">
        <f t="shared" si="10"/>
        <v>0</v>
      </c>
      <c r="P34" s="439">
        <f t="shared" si="10"/>
        <v>40351</v>
      </c>
      <c r="Q34" s="439">
        <f t="shared" si="3"/>
        <v>99.878712871287135</v>
      </c>
    </row>
    <row r="35" spans="1:17" x14ac:dyDescent="0.2">
      <c r="A35" s="159">
        <f t="shared" si="0"/>
        <v>24</v>
      </c>
      <c r="B35" s="173" t="s">
        <v>51</v>
      </c>
      <c r="C35" s="168">
        <f>SUM(C33:C34)</f>
        <v>113052</v>
      </c>
      <c r="D35" s="168">
        <f>SUM(D33:D34)</f>
        <v>34899</v>
      </c>
      <c r="E35" s="422">
        <f>SUM(C35:D35)</f>
        <v>147951</v>
      </c>
      <c r="F35" s="168">
        <f t="shared" ref="F35:H35" si="11">SUM(F33:F34)</f>
        <v>113028</v>
      </c>
      <c r="G35" s="168">
        <f t="shared" si="11"/>
        <v>34851</v>
      </c>
      <c r="H35" s="422">
        <f t="shared" si="11"/>
        <v>147879</v>
      </c>
      <c r="I35" s="168">
        <f t="shared" si="5"/>
        <v>99.951335239369783</v>
      </c>
      <c r="J35" s="174" t="s">
        <v>69</v>
      </c>
      <c r="K35" s="339">
        <f>K25+K34</f>
        <v>544319</v>
      </c>
      <c r="L35" s="339">
        <f>L25+L34</f>
        <v>65767</v>
      </c>
      <c r="M35" s="420">
        <f>M25+M34</f>
        <v>610086</v>
      </c>
      <c r="N35" s="339">
        <f t="shared" ref="N35:P35" si="12">N25+N34</f>
        <v>543513</v>
      </c>
      <c r="O35" s="339">
        <f t="shared" si="12"/>
        <v>64570</v>
      </c>
      <c r="P35" s="420">
        <f t="shared" si="12"/>
        <v>608083</v>
      </c>
      <c r="Q35" s="420">
        <f t="shared" si="3"/>
        <v>99.671685631206103</v>
      </c>
    </row>
    <row r="36" spans="1:17" x14ac:dyDescent="0.2">
      <c r="A36" s="159">
        <f t="shared" si="0"/>
        <v>25</v>
      </c>
      <c r="B36" s="175"/>
      <c r="C36" s="164"/>
      <c r="D36" s="164"/>
      <c r="E36" s="419"/>
      <c r="F36" s="164"/>
      <c r="G36" s="164"/>
      <c r="H36" s="419"/>
      <c r="I36" s="117"/>
      <c r="J36" s="166"/>
      <c r="K36" s="282"/>
      <c r="L36" s="282"/>
      <c r="M36" s="437"/>
      <c r="N36" s="553"/>
      <c r="O36" s="280"/>
      <c r="P36" s="437"/>
      <c r="Q36" s="437"/>
    </row>
    <row r="37" spans="1:17" x14ac:dyDescent="0.2">
      <c r="A37" s="159">
        <f t="shared" si="0"/>
        <v>26</v>
      </c>
      <c r="B37" s="175"/>
      <c r="C37" s="164"/>
      <c r="D37" s="164"/>
      <c r="E37" s="419"/>
      <c r="F37" s="164"/>
      <c r="G37" s="164"/>
      <c r="H37" s="419"/>
      <c r="I37" s="117"/>
      <c r="J37" s="167"/>
      <c r="K37" s="337"/>
      <c r="L37" s="337"/>
      <c r="M37" s="438"/>
      <c r="N37" s="553"/>
      <c r="O37" s="280"/>
      <c r="P37" s="437"/>
      <c r="Q37" s="437"/>
    </row>
    <row r="38" spans="1:17" s="11" customFormat="1" x14ac:dyDescent="0.2">
      <c r="A38" s="159">
        <f t="shared" si="0"/>
        <v>27</v>
      </c>
      <c r="B38" s="175"/>
      <c r="C38" s="164"/>
      <c r="D38" s="164"/>
      <c r="E38" s="419"/>
      <c r="F38" s="164"/>
      <c r="G38" s="164"/>
      <c r="H38" s="419"/>
      <c r="I38" s="117"/>
      <c r="J38" s="166"/>
      <c r="K38" s="282"/>
      <c r="L38" s="282"/>
      <c r="M38" s="437"/>
      <c r="N38" s="796"/>
      <c r="O38" s="184"/>
      <c r="P38" s="420"/>
      <c r="Q38" s="437"/>
    </row>
    <row r="39" spans="1:17" s="11" customFormat="1" x14ac:dyDescent="0.2">
      <c r="A39" s="721">
        <f t="shared" si="0"/>
        <v>28</v>
      </c>
      <c r="B39" s="124" t="s">
        <v>53</v>
      </c>
      <c r="C39" s="124"/>
      <c r="D39" s="124"/>
      <c r="E39" s="482"/>
      <c r="F39" s="124"/>
      <c r="G39" s="124"/>
      <c r="H39" s="482"/>
      <c r="I39" s="117"/>
      <c r="J39" s="137" t="s">
        <v>33</v>
      </c>
      <c r="K39" s="339"/>
      <c r="L39" s="339"/>
      <c r="M39" s="420"/>
      <c r="N39" s="796"/>
      <c r="O39" s="184"/>
      <c r="P39" s="420"/>
      <c r="Q39" s="437"/>
    </row>
    <row r="40" spans="1:17" s="11" customFormat="1" x14ac:dyDescent="0.2">
      <c r="A40" s="159">
        <f t="shared" si="0"/>
        <v>29</v>
      </c>
      <c r="B40" s="133" t="s">
        <v>680</v>
      </c>
      <c r="C40" s="124"/>
      <c r="D40" s="124"/>
      <c r="E40" s="482"/>
      <c r="F40" s="124"/>
      <c r="G40" s="124"/>
      <c r="H40" s="482"/>
      <c r="I40" s="117"/>
      <c r="J40" s="176" t="s">
        <v>4</v>
      </c>
      <c r="K40" s="184"/>
      <c r="M40" s="440"/>
      <c r="N40" s="796"/>
      <c r="O40" s="184"/>
      <c r="P40" s="420"/>
      <c r="Q40" s="437"/>
    </row>
    <row r="41" spans="1:17" s="11" customFormat="1" x14ac:dyDescent="0.2">
      <c r="A41" s="159">
        <f t="shared" si="0"/>
        <v>30</v>
      </c>
      <c r="B41" s="114" t="s">
        <v>937</v>
      </c>
      <c r="C41" s="124"/>
      <c r="D41" s="124"/>
      <c r="E41" s="482"/>
      <c r="F41" s="124"/>
      <c r="G41" s="124"/>
      <c r="H41" s="482"/>
      <c r="I41" s="117"/>
      <c r="J41" s="496" t="s">
        <v>3</v>
      </c>
      <c r="K41" s="339"/>
      <c r="L41" s="339"/>
      <c r="M41" s="420"/>
      <c r="N41" s="796"/>
      <c r="O41" s="184"/>
      <c r="P41" s="420"/>
      <c r="Q41" s="437"/>
    </row>
    <row r="42" spans="1:17" x14ac:dyDescent="0.2">
      <c r="A42" s="159">
        <f t="shared" si="0"/>
        <v>31</v>
      </c>
      <c r="B42" s="116" t="s">
        <v>682</v>
      </c>
      <c r="C42" s="180"/>
      <c r="D42" s="180"/>
      <c r="E42" s="1353"/>
      <c r="F42" s="180"/>
      <c r="G42" s="180"/>
      <c r="H42" s="1353"/>
      <c r="I42" s="117"/>
      <c r="J42" s="136" t="s">
        <v>5</v>
      </c>
      <c r="K42" s="339"/>
      <c r="L42" s="339"/>
      <c r="M42" s="420"/>
      <c r="N42" s="553"/>
      <c r="O42" s="280"/>
      <c r="P42" s="437"/>
      <c r="Q42" s="437"/>
    </row>
    <row r="43" spans="1:17" x14ac:dyDescent="0.2">
      <c r="A43" s="159">
        <f t="shared" si="0"/>
        <v>32</v>
      </c>
      <c r="B43" s="116" t="s">
        <v>207</v>
      </c>
      <c r="C43" s="117"/>
      <c r="D43" s="117"/>
      <c r="E43" s="425"/>
      <c r="F43" s="117"/>
      <c r="G43" s="117"/>
      <c r="H43" s="425"/>
      <c r="I43" s="117"/>
      <c r="J43" s="136" t="s">
        <v>6</v>
      </c>
      <c r="K43" s="184"/>
      <c r="L43" s="184"/>
      <c r="M43" s="420"/>
      <c r="N43" s="553"/>
      <c r="O43" s="280"/>
      <c r="P43" s="437"/>
      <c r="Q43" s="437"/>
    </row>
    <row r="44" spans="1:17" x14ac:dyDescent="0.2">
      <c r="A44" s="159">
        <f t="shared" si="0"/>
        <v>33</v>
      </c>
      <c r="B44" s="494" t="s">
        <v>272</v>
      </c>
      <c r="C44" s="117">
        <v>2162</v>
      </c>
      <c r="D44" s="117">
        <v>0</v>
      </c>
      <c r="E44" s="425">
        <f>C44+D44</f>
        <v>2162</v>
      </c>
      <c r="F44" s="117">
        <v>2162</v>
      </c>
      <c r="G44" s="117"/>
      <c r="H44" s="425">
        <f>F44+G44</f>
        <v>2162</v>
      </c>
      <c r="I44" s="117">
        <f t="shared" si="5"/>
        <v>100</v>
      </c>
      <c r="J44" s="136" t="s">
        <v>7</v>
      </c>
      <c r="K44" s="184"/>
      <c r="L44" s="184"/>
      <c r="M44" s="420"/>
      <c r="N44" s="553"/>
      <c r="O44" s="280"/>
      <c r="P44" s="437"/>
      <c r="Q44" s="437"/>
    </row>
    <row r="45" spans="1:17" x14ac:dyDescent="0.2">
      <c r="A45" s="159">
        <f t="shared" si="0"/>
        <v>34</v>
      </c>
      <c r="B45" s="494" t="s">
        <v>935</v>
      </c>
      <c r="C45" s="117"/>
      <c r="D45" s="117"/>
      <c r="E45" s="425"/>
      <c r="F45" s="117"/>
      <c r="G45" s="117"/>
      <c r="H45" s="425"/>
      <c r="I45" s="117"/>
      <c r="J45" s="136"/>
      <c r="K45" s="184"/>
      <c r="L45" s="184"/>
      <c r="M45" s="420"/>
      <c r="N45" s="553"/>
      <c r="O45" s="280"/>
      <c r="P45" s="437"/>
      <c r="Q45" s="437"/>
    </row>
    <row r="46" spans="1:17" x14ac:dyDescent="0.2">
      <c r="A46" s="159">
        <f t="shared" si="0"/>
        <v>35</v>
      </c>
      <c r="B46" s="117" t="s">
        <v>683</v>
      </c>
      <c r="C46" s="117"/>
      <c r="D46" s="117"/>
      <c r="E46" s="425"/>
      <c r="F46" s="117"/>
      <c r="G46" s="117"/>
      <c r="H46" s="425"/>
      <c r="I46" s="117"/>
      <c r="J46" s="136" t="s">
        <v>8</v>
      </c>
      <c r="K46" s="339"/>
      <c r="L46" s="339"/>
      <c r="M46" s="437"/>
      <c r="N46" s="553"/>
      <c r="O46" s="280"/>
      <c r="P46" s="437"/>
      <c r="Q46" s="437"/>
    </row>
    <row r="47" spans="1:17" x14ac:dyDescent="0.2">
      <c r="A47" s="159">
        <f t="shared" si="0"/>
        <v>36</v>
      </c>
      <c r="B47" s="117" t="s">
        <v>684</v>
      </c>
      <c r="C47" s="124"/>
      <c r="D47" s="124"/>
      <c r="E47" s="482"/>
      <c r="F47" s="124"/>
      <c r="G47" s="124"/>
      <c r="H47" s="425"/>
      <c r="I47" s="117"/>
      <c r="J47" s="136" t="s">
        <v>9</v>
      </c>
      <c r="K47" s="339"/>
      <c r="L47" s="339"/>
      <c r="M47" s="437"/>
      <c r="N47" s="553"/>
      <c r="O47" s="280"/>
      <c r="P47" s="437"/>
      <c r="Q47" s="437"/>
    </row>
    <row r="48" spans="1:17" x14ac:dyDescent="0.2">
      <c r="A48" s="159">
        <f t="shared" si="0"/>
        <v>37</v>
      </c>
      <c r="B48" s="116" t="s">
        <v>211</v>
      </c>
      <c r="C48" s="117"/>
      <c r="D48" s="117"/>
      <c r="E48" s="425"/>
      <c r="F48" s="117"/>
      <c r="G48" s="117"/>
      <c r="H48" s="425"/>
      <c r="I48" s="117"/>
      <c r="J48" s="136" t="s">
        <v>10</v>
      </c>
      <c r="K48" s="282"/>
      <c r="L48" s="282"/>
      <c r="M48" s="437"/>
      <c r="N48" s="553"/>
      <c r="O48" s="280"/>
      <c r="P48" s="437"/>
      <c r="Q48" s="437"/>
    </row>
    <row r="49" spans="1:17" x14ac:dyDescent="0.2">
      <c r="A49" s="159">
        <f t="shared" si="0"/>
        <v>38</v>
      </c>
      <c r="B49" s="494" t="s">
        <v>212</v>
      </c>
      <c r="C49" s="117">
        <f>K25-(C33+C44)</f>
        <v>389990</v>
      </c>
      <c r="D49" s="117">
        <f>L25-(D33+D44)</f>
        <v>30868</v>
      </c>
      <c r="E49" s="425">
        <f>M25-(E33+E44)</f>
        <v>420858</v>
      </c>
      <c r="F49" s="117">
        <v>389990</v>
      </c>
      <c r="G49" s="117">
        <v>29781</v>
      </c>
      <c r="H49" s="425">
        <f t="shared" ref="H49:H50" si="13">F49+G49</f>
        <v>419771</v>
      </c>
      <c r="I49" s="117">
        <f t="shared" si="5"/>
        <v>99.741718109195972</v>
      </c>
      <c r="J49" s="136" t="s">
        <v>11</v>
      </c>
      <c r="K49" s="282"/>
      <c r="L49" s="282"/>
      <c r="M49" s="437"/>
      <c r="N49" s="553"/>
      <c r="O49" s="280"/>
      <c r="P49" s="437"/>
      <c r="Q49" s="437"/>
    </row>
    <row r="50" spans="1:17" x14ac:dyDescent="0.2">
      <c r="A50" s="159">
        <f t="shared" si="0"/>
        <v>39</v>
      </c>
      <c r="B50" s="494" t="s">
        <v>213</v>
      </c>
      <c r="C50" s="117">
        <f>K34-C34</f>
        <v>39115</v>
      </c>
      <c r="D50" s="117">
        <f>L34-D34</f>
        <v>0</v>
      </c>
      <c r="E50" s="425">
        <f>M34-E34</f>
        <v>39115</v>
      </c>
      <c r="F50" s="117">
        <v>39066</v>
      </c>
      <c r="G50" s="117"/>
      <c r="H50" s="425">
        <f t="shared" si="13"/>
        <v>39066</v>
      </c>
      <c r="I50" s="117">
        <f t="shared" si="5"/>
        <v>99.874728365077331</v>
      </c>
      <c r="J50" s="136" t="s">
        <v>12</v>
      </c>
      <c r="K50" s="282"/>
      <c r="L50" s="282"/>
      <c r="M50" s="437"/>
      <c r="N50" s="553"/>
      <c r="O50" s="280"/>
      <c r="P50" s="437"/>
      <c r="Q50" s="437"/>
    </row>
    <row r="51" spans="1:17" x14ac:dyDescent="0.2">
      <c r="A51" s="159">
        <f t="shared" si="0"/>
        <v>40</v>
      </c>
      <c r="B51" s="116" t="s">
        <v>1</v>
      </c>
      <c r="C51" s="117"/>
      <c r="D51" s="117"/>
      <c r="E51" s="425"/>
      <c r="F51" s="117"/>
      <c r="G51" s="117"/>
      <c r="H51" s="425"/>
      <c r="I51" s="117"/>
      <c r="J51" s="136" t="s">
        <v>13</v>
      </c>
      <c r="K51" s="282"/>
      <c r="L51" s="282"/>
      <c r="M51" s="437"/>
      <c r="N51" s="553"/>
      <c r="O51" s="280"/>
      <c r="P51" s="437"/>
      <c r="Q51" s="437"/>
    </row>
    <row r="52" spans="1:17" x14ac:dyDescent="0.2">
      <c r="A52" s="159">
        <f t="shared" si="0"/>
        <v>41</v>
      </c>
      <c r="B52" s="116"/>
      <c r="C52" s="117"/>
      <c r="D52" s="117"/>
      <c r="E52" s="425"/>
      <c r="F52" s="117"/>
      <c r="G52" s="117"/>
      <c r="H52" s="425"/>
      <c r="I52" s="117"/>
      <c r="J52" s="136" t="s">
        <v>14</v>
      </c>
      <c r="K52" s="282"/>
      <c r="L52" s="282"/>
      <c r="M52" s="437"/>
      <c r="N52" s="553"/>
      <c r="O52" s="280"/>
      <c r="P52" s="437"/>
      <c r="Q52" s="437"/>
    </row>
    <row r="53" spans="1:17" x14ac:dyDescent="0.2">
      <c r="A53" s="159">
        <f t="shared" si="0"/>
        <v>42</v>
      </c>
      <c r="B53" s="116"/>
      <c r="C53" s="117"/>
      <c r="D53" s="117"/>
      <c r="E53" s="425"/>
      <c r="F53" s="117"/>
      <c r="G53" s="117"/>
      <c r="H53" s="425"/>
      <c r="I53" s="1367"/>
      <c r="J53" s="136" t="s">
        <v>15</v>
      </c>
      <c r="K53" s="282"/>
      <c r="L53" s="282"/>
      <c r="M53" s="437"/>
      <c r="N53" s="553"/>
      <c r="O53" s="280"/>
      <c r="P53" s="437"/>
      <c r="Q53" s="437"/>
    </row>
    <row r="54" spans="1:17" ht="12" thickBot="1" x14ac:dyDescent="0.25">
      <c r="A54" s="159">
        <f t="shared" si="0"/>
        <v>43</v>
      </c>
      <c r="B54" s="173" t="s">
        <v>447</v>
      </c>
      <c r="C54" s="124">
        <f>SUM(C40:C52)</f>
        <v>431267</v>
      </c>
      <c r="D54" s="124">
        <f>SUM(D40:D52)</f>
        <v>30868</v>
      </c>
      <c r="E54" s="1225">
        <f>SUM(E40:E52)</f>
        <v>462135</v>
      </c>
      <c r="F54" s="124">
        <f t="shared" ref="F54:H54" si="14">SUM(F40:F52)</f>
        <v>431218</v>
      </c>
      <c r="G54" s="124">
        <f t="shared" si="14"/>
        <v>29781</v>
      </c>
      <c r="H54" s="1225">
        <f t="shared" si="14"/>
        <v>460999</v>
      </c>
      <c r="I54" s="1400">
        <f t="shared" si="5"/>
        <v>99.754184383351188</v>
      </c>
      <c r="J54" s="137" t="s">
        <v>440</v>
      </c>
      <c r="K54" s="339">
        <f>SUM(K40:K53)</f>
        <v>0</v>
      </c>
      <c r="L54" s="339">
        <f>SUM(L40:L53)</f>
        <v>0</v>
      </c>
      <c r="M54" s="420">
        <f>SUM(M40:M53)</f>
        <v>0</v>
      </c>
      <c r="N54" s="339">
        <f t="shared" ref="N54:P54" si="15">SUM(N40:N53)</f>
        <v>0</v>
      </c>
      <c r="O54" s="339">
        <f t="shared" si="15"/>
        <v>0</v>
      </c>
      <c r="P54" s="1203">
        <f t="shared" si="15"/>
        <v>0</v>
      </c>
      <c r="Q54" s="437"/>
    </row>
    <row r="55" spans="1:17" ht="12" thickBot="1" x14ac:dyDescent="0.25">
      <c r="A55" s="846">
        <f t="shared" si="0"/>
        <v>44</v>
      </c>
      <c r="B55" s="1008" t="s">
        <v>442</v>
      </c>
      <c r="C55" s="973">
        <f>C35+C54</f>
        <v>544319</v>
      </c>
      <c r="D55" s="293">
        <f>D35+D54</f>
        <v>65767</v>
      </c>
      <c r="E55" s="842">
        <f>E35+E54</f>
        <v>610086</v>
      </c>
      <c r="F55" s="973">
        <f t="shared" ref="F55:H55" si="16">F35+F54</f>
        <v>544246</v>
      </c>
      <c r="G55" s="973">
        <f t="shared" si="16"/>
        <v>64632</v>
      </c>
      <c r="H55" s="1206">
        <f t="shared" si="16"/>
        <v>608878</v>
      </c>
      <c r="I55" s="1401">
        <f t="shared" si="5"/>
        <v>99.801995128555646</v>
      </c>
      <c r="J55" s="1008" t="s">
        <v>441</v>
      </c>
      <c r="K55" s="1007">
        <f>K35+K54</f>
        <v>544319</v>
      </c>
      <c r="L55" s="849">
        <f>L35+L54</f>
        <v>65767</v>
      </c>
      <c r="M55" s="745">
        <f>M35+M54</f>
        <v>610086</v>
      </c>
      <c r="N55" s="1007">
        <f t="shared" ref="N55:P55" si="17">N35+N54</f>
        <v>543513</v>
      </c>
      <c r="O55" s="1007">
        <f t="shared" si="17"/>
        <v>64570</v>
      </c>
      <c r="P55" s="1007">
        <f t="shared" si="17"/>
        <v>608083</v>
      </c>
      <c r="Q55" s="1007">
        <f t="shared" si="3"/>
        <v>99.671685631206103</v>
      </c>
    </row>
    <row r="56" spans="1:17" x14ac:dyDescent="0.2">
      <c r="B56" s="178"/>
      <c r="C56" s="177"/>
      <c r="D56" s="177"/>
      <c r="E56" s="177"/>
      <c r="F56" s="177"/>
      <c r="G56" s="177"/>
      <c r="H56" s="177"/>
      <c r="I56" s="1226"/>
      <c r="J56" s="177"/>
      <c r="K56" s="184"/>
      <c r="L56" s="184"/>
      <c r="M56" s="184"/>
    </row>
  </sheetData>
  <sheetProtection selectLockedCells="1" selectUnlockedCells="1"/>
  <mergeCells count="19">
    <mergeCell ref="A9:A11"/>
    <mergeCell ref="B9:B10"/>
    <mergeCell ref="C9:E9"/>
    <mergeCell ref="C10:E10"/>
    <mergeCell ref="K10:M10"/>
    <mergeCell ref="F9:I9"/>
    <mergeCell ref="F10:H10"/>
    <mergeCell ref="I10:I11"/>
    <mergeCell ref="J9:J10"/>
    <mergeCell ref="K9:M9"/>
    <mergeCell ref="N9:Q9"/>
    <mergeCell ref="N10:P10"/>
    <mergeCell ref="Q10:Q11"/>
    <mergeCell ref="B1:Q1"/>
    <mergeCell ref="B5:Q5"/>
    <mergeCell ref="B7:Q7"/>
    <mergeCell ref="B6:Q6"/>
    <mergeCell ref="B4:Q4"/>
    <mergeCell ref="B8:Q8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53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2" customWidth="1"/>
    <col min="2" max="2" width="41.85546875" style="152" customWidth="1"/>
    <col min="3" max="3" width="11.28515625" style="153" customWidth="1"/>
    <col min="4" max="4" width="11.140625" style="153" customWidth="1"/>
    <col min="5" max="5" width="13.42578125" style="153" customWidth="1"/>
    <col min="6" max="6" width="11.28515625" style="153" customWidth="1"/>
    <col min="7" max="7" width="11.140625" style="153" customWidth="1"/>
    <col min="8" max="8" width="13.42578125" style="153" customWidth="1"/>
    <col min="9" max="9" width="7.42578125" style="153" customWidth="1"/>
    <col min="10" max="10" width="32.42578125" style="153" customWidth="1"/>
    <col min="11" max="11" width="11.5703125" style="153" customWidth="1"/>
    <col min="12" max="12" width="14.7109375" style="153" customWidth="1"/>
    <col min="13" max="13" width="14.5703125" style="153" customWidth="1"/>
    <col min="14" max="29" width="9.140625" style="152"/>
    <col min="30" max="16384" width="9.140625" style="10"/>
  </cols>
  <sheetData>
    <row r="1" spans="1:29" ht="12.75" customHeight="1" x14ac:dyDescent="0.2">
      <c r="B1" s="1816" t="s">
        <v>2062</v>
      </c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29" ht="12.75" customHeight="1" x14ac:dyDescent="0.2"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  <c r="N2" s="679"/>
    </row>
    <row r="3" spans="1:29" ht="12.75" customHeight="1" x14ac:dyDescent="0.2">
      <c r="A3" s="1221"/>
      <c r="B3" s="1836" t="s">
        <v>86</v>
      </c>
      <c r="C3" s="1836"/>
      <c r="D3" s="1836"/>
      <c r="E3" s="1836"/>
      <c r="F3" s="1836"/>
      <c r="G3" s="1836"/>
      <c r="H3" s="1836"/>
      <c r="I3" s="1836"/>
      <c r="J3" s="1836"/>
      <c r="K3" s="1836"/>
      <c r="L3" s="1836"/>
      <c r="M3" s="1836"/>
      <c r="N3" s="1836"/>
      <c r="O3" s="1836"/>
      <c r="P3" s="1836"/>
      <c r="Q3" s="1836"/>
      <c r="R3" s="1220"/>
      <c r="S3" s="1220"/>
      <c r="T3" s="1220"/>
    </row>
    <row r="4" spans="1:29" x14ac:dyDescent="0.2">
      <c r="A4" s="1220"/>
      <c r="B4" s="1836" t="s">
        <v>1359</v>
      </c>
      <c r="C4" s="1836"/>
      <c r="D4" s="1836"/>
      <c r="E4" s="1836"/>
      <c r="F4" s="1836"/>
      <c r="G4" s="1836"/>
      <c r="H4" s="1836"/>
      <c r="I4" s="1836"/>
      <c r="J4" s="1836"/>
      <c r="K4" s="1836"/>
      <c r="L4" s="1836"/>
      <c r="M4" s="1836"/>
      <c r="N4" s="1836"/>
      <c r="O4" s="1836"/>
      <c r="P4" s="1836"/>
      <c r="Q4" s="1836"/>
      <c r="R4" s="1220"/>
      <c r="S4" s="1220"/>
    </row>
    <row r="5" spans="1:29" s="120" customFormat="1" x14ac:dyDescent="0.2">
      <c r="A5" s="155"/>
      <c r="B5" s="1823" t="s">
        <v>54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</row>
    <row r="6" spans="1:29" s="120" customFormat="1" x14ac:dyDescent="0.2">
      <c r="A6" s="155"/>
      <c r="B6" s="1823" t="s">
        <v>1115</v>
      </c>
      <c r="C6" s="1823"/>
      <c r="D6" s="1823"/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3"/>
      <c r="P6" s="1823"/>
      <c r="Q6" s="1823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</row>
    <row r="7" spans="1:29" s="120" customFormat="1" ht="12.75" customHeight="1" x14ac:dyDescent="0.2">
      <c r="A7" s="1847" t="s">
        <v>305</v>
      </c>
      <c r="B7" s="1847"/>
      <c r="C7" s="1847"/>
      <c r="D7" s="1847"/>
      <c r="E7" s="1847"/>
      <c r="F7" s="1847"/>
      <c r="G7" s="1847"/>
      <c r="H7" s="1847"/>
      <c r="I7" s="1847"/>
      <c r="J7" s="1847"/>
      <c r="K7" s="1847"/>
      <c r="L7" s="1847"/>
      <c r="M7" s="1847"/>
      <c r="N7" s="1847"/>
      <c r="O7" s="1847"/>
      <c r="P7" s="1847"/>
      <c r="Q7" s="1847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</row>
    <row r="8" spans="1:29" s="120" customFormat="1" ht="12.75" customHeight="1" x14ac:dyDescent="0.2">
      <c r="A8" s="1840" t="s">
        <v>56</v>
      </c>
      <c r="B8" s="1841" t="s">
        <v>57</v>
      </c>
      <c r="C8" s="1842" t="s">
        <v>58</v>
      </c>
      <c r="D8" s="1842"/>
      <c r="E8" s="1843"/>
      <c r="F8" s="1834" t="s">
        <v>59</v>
      </c>
      <c r="G8" s="1834"/>
      <c r="H8" s="1834"/>
      <c r="I8" s="1835"/>
      <c r="J8" s="1844" t="s">
        <v>60</v>
      </c>
      <c r="K8" s="1845" t="s">
        <v>469</v>
      </c>
      <c r="L8" s="1846"/>
      <c r="M8" s="1846"/>
      <c r="N8" s="1834" t="s">
        <v>470</v>
      </c>
      <c r="O8" s="1834"/>
      <c r="P8" s="1834"/>
      <c r="Q8" s="1835"/>
      <c r="R8" s="155"/>
      <c r="S8" s="155"/>
      <c r="T8" s="155"/>
      <c r="U8" s="155"/>
      <c r="V8" s="155"/>
      <c r="W8" s="155"/>
    </row>
    <row r="9" spans="1:29" s="120" customFormat="1" ht="12.75" customHeight="1" x14ac:dyDescent="0.2">
      <c r="A9" s="1840"/>
      <c r="B9" s="1841"/>
      <c r="C9" s="1838" t="s">
        <v>1103</v>
      </c>
      <c r="D9" s="1838"/>
      <c r="E9" s="1839"/>
      <c r="F9" s="1817" t="s">
        <v>1355</v>
      </c>
      <c r="G9" s="1818"/>
      <c r="H9" s="1819"/>
      <c r="I9" s="1820" t="s">
        <v>1357</v>
      </c>
      <c r="J9" s="1844"/>
      <c r="K9" s="1838" t="s">
        <v>1103</v>
      </c>
      <c r="L9" s="1838"/>
      <c r="M9" s="1839"/>
      <c r="N9" s="1817" t="s">
        <v>1355</v>
      </c>
      <c r="O9" s="1818"/>
      <c r="P9" s="1819"/>
      <c r="Q9" s="1820" t="s">
        <v>1357</v>
      </c>
      <c r="R9" s="155"/>
      <c r="S9" s="155"/>
      <c r="T9" s="155"/>
      <c r="U9" s="155"/>
      <c r="V9" s="155"/>
      <c r="W9" s="155"/>
    </row>
    <row r="10" spans="1:29" s="121" customFormat="1" ht="36.6" customHeight="1" x14ac:dyDescent="0.2">
      <c r="A10" s="1840"/>
      <c r="B10" s="800" t="s">
        <v>61</v>
      </c>
      <c r="C10" s="801" t="s">
        <v>62</v>
      </c>
      <c r="D10" s="801" t="s">
        <v>63</v>
      </c>
      <c r="E10" s="802" t="s">
        <v>64</v>
      </c>
      <c r="F10" s="132" t="s">
        <v>62</v>
      </c>
      <c r="G10" s="132" t="s">
        <v>63</v>
      </c>
      <c r="H10" s="157" t="s">
        <v>1356</v>
      </c>
      <c r="I10" s="1821"/>
      <c r="J10" s="803" t="s">
        <v>65</v>
      </c>
      <c r="K10" s="335" t="s">
        <v>62</v>
      </c>
      <c r="L10" s="335" t="s">
        <v>63</v>
      </c>
      <c r="M10" s="335" t="s">
        <v>64</v>
      </c>
      <c r="N10" s="132" t="s">
        <v>62</v>
      </c>
      <c r="O10" s="132" t="s">
        <v>63</v>
      </c>
      <c r="P10" s="157" t="s">
        <v>1356</v>
      </c>
      <c r="Q10" s="1837"/>
      <c r="R10" s="542"/>
      <c r="S10" s="182"/>
      <c r="T10" s="182"/>
      <c r="U10" s="182"/>
      <c r="V10" s="182"/>
      <c r="W10" s="182"/>
    </row>
    <row r="11" spans="1:29" ht="11.45" customHeight="1" x14ac:dyDescent="0.2">
      <c r="A11" s="804">
        <v>1</v>
      </c>
      <c r="B11" s="805" t="s">
        <v>24</v>
      </c>
      <c r="C11" s="806"/>
      <c r="D11" s="806"/>
      <c r="E11" s="1210"/>
      <c r="F11" s="339"/>
      <c r="G11" s="339"/>
      <c r="H11" s="1214"/>
      <c r="I11" s="339"/>
      <c r="J11" s="807" t="s">
        <v>25</v>
      </c>
      <c r="K11" s="340"/>
      <c r="L11" s="340"/>
      <c r="M11" s="434"/>
      <c r="N11" s="179"/>
      <c r="P11" s="1186"/>
      <c r="R11" s="179"/>
      <c r="X11" s="10"/>
      <c r="Y11" s="10"/>
      <c r="Z11" s="10"/>
      <c r="AA11" s="10"/>
      <c r="AB11" s="10"/>
      <c r="AC11" s="10"/>
    </row>
    <row r="12" spans="1:29" x14ac:dyDescent="0.2">
      <c r="A12" s="804">
        <f>A11+1</f>
        <v>2</v>
      </c>
      <c r="B12" s="81" t="s">
        <v>35</v>
      </c>
      <c r="C12" s="287"/>
      <c r="D12" s="287"/>
      <c r="E12" s="436">
        <f>SUM(C12:D12)</f>
        <v>0</v>
      </c>
      <c r="F12" s="275"/>
      <c r="G12" s="275"/>
      <c r="H12" s="436"/>
      <c r="I12" s="275"/>
      <c r="J12" s="461" t="s">
        <v>26</v>
      </c>
      <c r="K12" s="275">
        <f>Össz.önkor.mérleg.!K12</f>
        <v>602487</v>
      </c>
      <c r="L12" s="275">
        <f>Össz.önkor.mérleg.!L12</f>
        <v>405477</v>
      </c>
      <c r="M12" s="436">
        <f>Össz.önkor.mérleg.!M12</f>
        <v>1007964</v>
      </c>
      <c r="N12" s="166">
        <f>Össz.önkor.mérleg.!Q12</f>
        <v>590595</v>
      </c>
      <c r="O12" s="164">
        <f>Össz.önkor.mérleg.!R12</f>
        <v>394349</v>
      </c>
      <c r="P12" s="419">
        <f>N12+O12</f>
        <v>984944</v>
      </c>
      <c r="Q12" s="153">
        <f>P12/M12*100</f>
        <v>97.716188276565433</v>
      </c>
      <c r="R12" s="179"/>
      <c r="X12" s="10"/>
      <c r="Y12" s="10"/>
      <c r="Z12" s="10"/>
      <c r="AA12" s="10"/>
      <c r="AB12" s="10"/>
      <c r="AC12" s="10"/>
    </row>
    <row r="13" spans="1:29" x14ac:dyDescent="0.2">
      <c r="A13" s="804">
        <f t="shared" ref="A13:A47" si="0">A12+1</f>
        <v>3</v>
      </c>
      <c r="B13" s="81" t="s">
        <v>36</v>
      </c>
      <c r="C13" s="287">
        <f>Össz.önkor.mérleg.!C13</f>
        <v>812195</v>
      </c>
      <c r="D13" s="287">
        <f>Össz.önkor.mérleg.!D13</f>
        <v>129474</v>
      </c>
      <c r="E13" s="436">
        <f>Össz.önkor.mérleg.!E13</f>
        <v>941669</v>
      </c>
      <c r="F13" s="287">
        <f>Össz.önkor.mérleg.!F13</f>
        <v>812194</v>
      </c>
      <c r="G13" s="287">
        <f>Össz.önkor.mérleg.!G13</f>
        <v>129474</v>
      </c>
      <c r="H13" s="436">
        <f>F13+G13</f>
        <v>941668</v>
      </c>
      <c r="I13" s="287">
        <f>H13/E13*100</f>
        <v>99.999893805572867</v>
      </c>
      <c r="J13" s="461" t="s">
        <v>27</v>
      </c>
      <c r="K13" s="275">
        <f>Össz.önkor.mérleg.!K13</f>
        <v>121531</v>
      </c>
      <c r="L13" s="275">
        <f>Össz.önkor.mérleg.!L13</f>
        <v>86230</v>
      </c>
      <c r="M13" s="436">
        <f>Össz.önkor.mérleg.!M13</f>
        <v>207761</v>
      </c>
      <c r="N13" s="166">
        <f>Össz.önkor.mérleg.!Q13</f>
        <v>118821</v>
      </c>
      <c r="O13" s="164">
        <f>Össz.önkor.mérleg.!R13</f>
        <v>82273</v>
      </c>
      <c r="P13" s="419">
        <f t="shared" ref="P13:P23" si="1">N13+O13</f>
        <v>201094</v>
      </c>
      <c r="Q13" s="153">
        <f t="shared" ref="Q13:Q26" si="2">P13/M13*100</f>
        <v>96.791024301962352</v>
      </c>
      <c r="R13" s="179"/>
      <c r="X13" s="10"/>
      <c r="Y13" s="10"/>
      <c r="Z13" s="10"/>
      <c r="AA13" s="10"/>
      <c r="AB13" s="10"/>
      <c r="AC13" s="10"/>
    </row>
    <row r="14" spans="1:29" x14ac:dyDescent="0.2">
      <c r="A14" s="804">
        <f t="shared" si="0"/>
        <v>4</v>
      </c>
      <c r="B14" s="81" t="s">
        <v>909</v>
      </c>
      <c r="C14" s="287">
        <f>Össz.önkor.mérleg.!C14</f>
        <v>0</v>
      </c>
      <c r="D14" s="287">
        <f>Össz.önkor.mérleg.!D14</f>
        <v>0</v>
      </c>
      <c r="E14" s="436">
        <f>Össz.önkor.mérleg.!E14</f>
        <v>0</v>
      </c>
      <c r="F14" s="287">
        <f>Össz.önkor.mérleg.!F14</f>
        <v>0</v>
      </c>
      <c r="G14" s="287">
        <f>Össz.önkor.mérleg.!G14</f>
        <v>0</v>
      </c>
      <c r="H14" s="436">
        <f t="shared" ref="H14:H15" si="3">F14+G14</f>
        <v>0</v>
      </c>
      <c r="I14" s="287"/>
      <c r="J14" s="461" t="s">
        <v>29</v>
      </c>
      <c r="K14" s="275">
        <f>Össz.önkor.mérleg.!K14</f>
        <v>713876</v>
      </c>
      <c r="L14" s="275">
        <f>Össz.önkor.mérleg.!L14</f>
        <v>584018</v>
      </c>
      <c r="M14" s="436">
        <f>Össz.önkor.mérleg.!M14</f>
        <v>1297894</v>
      </c>
      <c r="N14" s="166">
        <f>Össz.önkor.mérleg.!Q14</f>
        <v>634663</v>
      </c>
      <c r="O14" s="164">
        <f>Össz.önkor.mérleg.!R14</f>
        <v>509493</v>
      </c>
      <c r="P14" s="419">
        <f t="shared" si="1"/>
        <v>1144156</v>
      </c>
      <c r="Q14" s="153">
        <f t="shared" si="2"/>
        <v>88.154810793485453</v>
      </c>
      <c r="R14" s="179"/>
      <c r="X14" s="10"/>
      <c r="Y14" s="10"/>
      <c r="Z14" s="10"/>
      <c r="AA14" s="10"/>
      <c r="AB14" s="10"/>
      <c r="AC14" s="10"/>
    </row>
    <row r="15" spans="1:29" ht="12" customHeight="1" x14ac:dyDescent="0.2">
      <c r="A15" s="804">
        <f t="shared" si="0"/>
        <v>5</v>
      </c>
      <c r="B15" s="81" t="s">
        <v>37</v>
      </c>
      <c r="C15" s="287">
        <f>Össz.önkor.mérleg.!C15</f>
        <v>80341</v>
      </c>
      <c r="D15" s="287">
        <f>Össz.önkor.mérleg.!D15</f>
        <v>6342</v>
      </c>
      <c r="E15" s="436">
        <f>Össz.önkor.mérleg.!E15</f>
        <v>86683</v>
      </c>
      <c r="F15" s="287">
        <f>Össz.önkor.mérleg.!F15</f>
        <v>79782</v>
      </c>
      <c r="G15" s="287">
        <f>Össz.önkor.mérleg.!G15</f>
        <v>7009</v>
      </c>
      <c r="H15" s="436">
        <f t="shared" si="3"/>
        <v>86791</v>
      </c>
      <c r="I15" s="287">
        <f t="shared" ref="I15:I46" si="4">H15/E15*100</f>
        <v>100.12459190383352</v>
      </c>
      <c r="J15" s="461"/>
      <c r="K15" s="275"/>
      <c r="L15" s="287"/>
      <c r="M15" s="435"/>
      <c r="N15" s="166">
        <f>Össz.önkor.mérleg.!Q15</f>
        <v>0</v>
      </c>
      <c r="O15" s="164">
        <f>Össz.önkor.mérleg.!R15</f>
        <v>0</v>
      </c>
      <c r="P15" s="419">
        <f t="shared" si="1"/>
        <v>0</v>
      </c>
      <c r="Q15" s="153"/>
      <c r="R15" s="179"/>
      <c r="X15" s="10"/>
      <c r="Y15" s="10"/>
      <c r="Z15" s="10"/>
      <c r="AA15" s="10"/>
      <c r="AB15" s="10"/>
      <c r="AC15" s="10"/>
    </row>
    <row r="16" spans="1:29" x14ac:dyDescent="0.2">
      <c r="A16" s="804">
        <f t="shared" si="0"/>
        <v>6</v>
      </c>
      <c r="B16" s="81" t="s">
        <v>39</v>
      </c>
      <c r="C16" s="287">
        <f>Össz.önkor.mérleg.!C19</f>
        <v>527224</v>
      </c>
      <c r="D16" s="287">
        <f>Össz.önkor.mérleg.!D19</f>
        <v>876260</v>
      </c>
      <c r="E16" s="436">
        <f>Össz.önkor.mérleg.!E19</f>
        <v>1403484</v>
      </c>
      <c r="F16" s="287">
        <f>Össz.önkor.mérleg.!F19</f>
        <v>527303</v>
      </c>
      <c r="G16" s="287">
        <f>Össz.önkor.mérleg.!G19</f>
        <v>876370</v>
      </c>
      <c r="H16" s="436">
        <f>Össz.önkor.mérleg.!H19</f>
        <v>1403673</v>
      </c>
      <c r="I16" s="287">
        <f t="shared" si="4"/>
        <v>100.0134664876835</v>
      </c>
      <c r="J16" s="461" t="s">
        <v>28</v>
      </c>
      <c r="K16" s="275">
        <f>Össz.önkor.mérleg.!K16</f>
        <v>2526</v>
      </c>
      <c r="L16" s="275">
        <f>Össz.önkor.mérleg.!L16</f>
        <v>11113</v>
      </c>
      <c r="M16" s="436">
        <f>Össz.önkor.mérleg.!M16</f>
        <v>13639</v>
      </c>
      <c r="N16" s="166">
        <f>Össz.önkor.mérleg.!Q16</f>
        <v>1546</v>
      </c>
      <c r="O16" s="164">
        <f>Össz.önkor.mérleg.!R16</f>
        <v>8755</v>
      </c>
      <c r="P16" s="419">
        <f t="shared" si="1"/>
        <v>10301</v>
      </c>
      <c r="Q16" s="153">
        <f t="shared" si="2"/>
        <v>75.526064960774249</v>
      </c>
      <c r="R16" s="179"/>
      <c r="X16" s="10"/>
      <c r="Y16" s="10"/>
      <c r="Z16" s="10"/>
      <c r="AA16" s="10"/>
      <c r="AB16" s="10"/>
      <c r="AC16" s="10"/>
    </row>
    <row r="17" spans="1:29" x14ac:dyDescent="0.2">
      <c r="A17" s="804">
        <f t="shared" si="0"/>
        <v>7</v>
      </c>
      <c r="B17" s="81"/>
      <c r="C17" s="287"/>
      <c r="D17" s="287"/>
      <c r="E17" s="436"/>
      <c r="F17" s="287"/>
      <c r="G17" s="287"/>
      <c r="H17" s="436"/>
      <c r="I17" s="287"/>
      <c r="J17" s="461" t="s">
        <v>30</v>
      </c>
      <c r="K17" s="275"/>
      <c r="L17" s="282"/>
      <c r="M17" s="435"/>
      <c r="N17" s="166"/>
      <c r="O17" s="164"/>
      <c r="P17" s="419"/>
      <c r="Q17" s="153"/>
      <c r="R17" s="179"/>
      <c r="X17" s="10"/>
      <c r="Y17" s="10"/>
      <c r="Z17" s="10"/>
      <c r="AA17" s="10"/>
      <c r="AB17" s="10"/>
      <c r="AC17" s="10"/>
    </row>
    <row r="18" spans="1:29" x14ac:dyDescent="0.2">
      <c r="A18" s="804">
        <f t="shared" si="0"/>
        <v>8</v>
      </c>
      <c r="B18" s="80" t="s">
        <v>41</v>
      </c>
      <c r="C18" s="336">
        <f>Össz.önkor.mérleg.!C22</f>
        <v>317530</v>
      </c>
      <c r="D18" s="336">
        <f>Össz.önkor.mérleg.!D22</f>
        <v>237221</v>
      </c>
      <c r="E18" s="435">
        <f>Össz.önkor.mérleg.!E22</f>
        <v>554751</v>
      </c>
      <c r="F18" s="287">
        <f>Össz.önkor.mérleg.!F22</f>
        <v>320729</v>
      </c>
      <c r="G18" s="287">
        <f>Össz.önkor.mérleg.!G22</f>
        <v>235958</v>
      </c>
      <c r="H18" s="436">
        <f>Össz.önkor.mérleg.!H22</f>
        <v>556687</v>
      </c>
      <c r="I18" s="287">
        <f t="shared" si="4"/>
        <v>100.34898540065724</v>
      </c>
      <c r="J18" s="461" t="s">
        <v>445</v>
      </c>
      <c r="K18" s="275">
        <f>Össz.önkor.mérleg.!K19</f>
        <v>9789</v>
      </c>
      <c r="L18" s="275">
        <f>Össz.önkor.mérleg.!L19</f>
        <v>58149</v>
      </c>
      <c r="M18" s="436">
        <f>Össz.önkor.mérleg.!M19</f>
        <v>67938</v>
      </c>
      <c r="N18" s="166">
        <f>Össz.önkor.mérleg.!Q19</f>
        <v>9787</v>
      </c>
      <c r="O18" s="164">
        <f>Össz.önkor.mérleg.!R19</f>
        <v>47305</v>
      </c>
      <c r="P18" s="419">
        <f t="shared" si="1"/>
        <v>57092</v>
      </c>
      <c r="Q18" s="153">
        <f t="shared" si="2"/>
        <v>84.035444081368311</v>
      </c>
      <c r="R18" s="179"/>
      <c r="X18" s="10"/>
      <c r="Y18" s="10"/>
      <c r="Z18" s="10"/>
      <c r="AA18" s="10"/>
      <c r="AB18" s="10"/>
      <c r="AC18" s="10"/>
    </row>
    <row r="19" spans="1:29" x14ac:dyDescent="0.2">
      <c r="A19" s="804">
        <f t="shared" si="0"/>
        <v>9</v>
      </c>
      <c r="B19" s="770" t="s">
        <v>40</v>
      </c>
      <c r="C19" s="336"/>
      <c r="D19" s="336"/>
      <c r="E19" s="435"/>
      <c r="F19" s="287"/>
      <c r="G19" s="287"/>
      <c r="H19" s="436"/>
      <c r="I19" s="287"/>
      <c r="J19" s="461" t="s">
        <v>444</v>
      </c>
      <c r="K19" s="275">
        <f>Össz.önkor.mérleg.!K20</f>
        <v>159098</v>
      </c>
      <c r="L19" s="275">
        <f>Össz.önkor.mérleg.!L20</f>
        <v>175035</v>
      </c>
      <c r="M19" s="436">
        <f>Össz.önkor.mérleg.!M20</f>
        <v>334133</v>
      </c>
      <c r="N19" s="166">
        <f>Össz.önkor.mérleg.!Q20</f>
        <v>159088</v>
      </c>
      <c r="O19" s="164">
        <f>Össz.önkor.mérleg.!R20</f>
        <v>172124</v>
      </c>
      <c r="P19" s="419">
        <f>Össz.önkor.mérleg.!S20</f>
        <v>331212</v>
      </c>
      <c r="Q19" s="153">
        <f t="shared" si="2"/>
        <v>99.125797212487242</v>
      </c>
      <c r="R19" s="179"/>
      <c r="X19" s="10"/>
      <c r="Y19" s="10"/>
      <c r="Z19" s="10"/>
      <c r="AA19" s="10"/>
      <c r="AB19" s="10"/>
      <c r="AC19" s="10"/>
    </row>
    <row r="20" spans="1:29" x14ac:dyDescent="0.2">
      <c r="A20" s="804">
        <f t="shared" si="0"/>
        <v>10</v>
      </c>
      <c r="B20" s="770"/>
      <c r="C20" s="336"/>
      <c r="D20" s="336"/>
      <c r="E20" s="435"/>
      <c r="F20" s="287"/>
      <c r="G20" s="287"/>
      <c r="H20" s="436"/>
      <c r="I20" s="287"/>
      <c r="J20" s="461" t="s">
        <v>190</v>
      </c>
      <c r="K20" s="275">
        <f>Össz.önkor.mérleg.!K21</f>
        <v>0</v>
      </c>
      <c r="L20" s="275">
        <f>Össz.önkor.mérleg.!L21</f>
        <v>0</v>
      </c>
      <c r="M20" s="275">
        <f>Össz.önkor.mérleg.!M21</f>
        <v>0</v>
      </c>
      <c r="N20" s="166"/>
      <c r="O20" s="164"/>
      <c r="P20" s="419"/>
      <c r="Q20" s="1188"/>
      <c r="R20" s="179"/>
      <c r="X20" s="10"/>
      <c r="Y20" s="10"/>
      <c r="Z20" s="10"/>
      <c r="AA20" s="10"/>
      <c r="AB20" s="10"/>
      <c r="AC20" s="10"/>
    </row>
    <row r="21" spans="1:29" x14ac:dyDescent="0.2">
      <c r="A21" s="804">
        <f t="shared" si="0"/>
        <v>11</v>
      </c>
      <c r="B21" s="80" t="s">
        <v>1084</v>
      </c>
      <c r="C21" s="287">
        <f>Össz.önkor.mérleg.!C31</f>
        <v>0</v>
      </c>
      <c r="D21" s="287">
        <f>Össz.önkor.mérleg.!D31</f>
        <v>20198</v>
      </c>
      <c r="E21" s="436">
        <f>Össz.önkor.mérleg.!E31</f>
        <v>20198</v>
      </c>
      <c r="F21" s="287">
        <f>Össz.önkor.mérleg.!F31</f>
        <v>0</v>
      </c>
      <c r="G21" s="287">
        <f>Össz.önkor.mérleg.!G31</f>
        <v>20216</v>
      </c>
      <c r="H21" s="436">
        <f>Össz.önkor.mérleg.!H31</f>
        <v>20216</v>
      </c>
      <c r="I21" s="287">
        <f t="shared" si="4"/>
        <v>100.08911773442915</v>
      </c>
      <c r="J21" s="461" t="s">
        <v>437</v>
      </c>
      <c r="K21" s="275">
        <f>Össz.önkor.mérleg.!K22</f>
        <v>0</v>
      </c>
      <c r="L21" s="275">
        <f>Össz.önkor.mérleg.!L22</f>
        <v>2469</v>
      </c>
      <c r="M21" s="436">
        <f>Össz.önkor.mérleg.!M22</f>
        <v>2469</v>
      </c>
      <c r="N21" s="166">
        <f>Össz.önkor.mérleg.!Q21</f>
        <v>0</v>
      </c>
      <c r="O21" s="164">
        <f>Össz.önkor.mérleg.!R21</f>
        <v>0</v>
      </c>
      <c r="P21" s="419">
        <f t="shared" si="1"/>
        <v>0</v>
      </c>
      <c r="Q21" s="153">
        <f t="shared" si="2"/>
        <v>0</v>
      </c>
      <c r="R21" s="179"/>
      <c r="U21" s="175"/>
      <c r="V21" s="175"/>
      <c r="X21" s="10"/>
      <c r="Y21" s="10"/>
      <c r="Z21" s="10"/>
      <c r="AA21" s="10"/>
      <c r="AB21" s="10"/>
      <c r="AC21" s="10"/>
    </row>
    <row r="22" spans="1:29" x14ac:dyDescent="0.2">
      <c r="A22" s="804">
        <f t="shared" si="0"/>
        <v>12</v>
      </c>
      <c r="B22" s="10"/>
      <c r="C22" s="336"/>
      <c r="D22" s="336"/>
      <c r="E22" s="435"/>
      <c r="F22" s="336"/>
      <c r="G22" s="336"/>
      <c r="H22" s="435"/>
      <c r="I22" s="287"/>
      <c r="J22" s="461" t="s">
        <v>438</v>
      </c>
      <c r="K22" s="275">
        <f>Össz.önkor.mérleg.!K23</f>
        <v>130068</v>
      </c>
      <c r="L22" s="275">
        <f>Össz.önkor.mérleg.!L23</f>
        <v>1789</v>
      </c>
      <c r="M22" s="436">
        <f>Össz.önkor.mérleg.!M23</f>
        <v>131857</v>
      </c>
      <c r="N22" s="166">
        <f>Össz.önkor.mérleg.!Q22</f>
        <v>0</v>
      </c>
      <c r="O22" s="164">
        <f>Össz.önkor.mérleg.!R22</f>
        <v>0</v>
      </c>
      <c r="P22" s="419">
        <f t="shared" si="1"/>
        <v>0</v>
      </c>
      <c r="Q22" s="153">
        <f t="shared" si="2"/>
        <v>0</v>
      </c>
      <c r="R22" s="179"/>
      <c r="X22" s="10"/>
      <c r="Y22" s="10"/>
      <c r="Z22" s="10"/>
      <c r="AA22" s="10"/>
      <c r="AB22" s="10"/>
      <c r="AC22" s="10"/>
    </row>
    <row r="23" spans="1:29" x14ac:dyDescent="0.2">
      <c r="A23" s="804">
        <f t="shared" si="0"/>
        <v>13</v>
      </c>
      <c r="B23" s="10"/>
      <c r="C23" s="336"/>
      <c r="D23" s="336"/>
      <c r="E23" s="435"/>
      <c r="F23" s="336"/>
      <c r="G23" s="336"/>
      <c r="H23" s="435"/>
      <c r="I23" s="287"/>
      <c r="J23" s="461"/>
      <c r="K23" s="275"/>
      <c r="L23" s="282"/>
      <c r="M23" s="435"/>
      <c r="N23" s="166"/>
      <c r="O23" s="153"/>
      <c r="P23" s="419">
        <f t="shared" si="1"/>
        <v>0</v>
      </c>
      <c r="Q23" s="153"/>
      <c r="R23" s="179"/>
      <c r="U23" s="175"/>
      <c r="X23" s="10"/>
      <c r="Y23" s="10"/>
      <c r="Z23" s="10"/>
      <c r="AA23" s="10"/>
      <c r="AB23" s="10"/>
      <c r="AC23" s="10"/>
    </row>
    <row r="24" spans="1:29" s="122" customFormat="1" x14ac:dyDescent="0.2">
      <c r="A24" s="804">
        <f t="shared" si="0"/>
        <v>14</v>
      </c>
      <c r="B24" s="12" t="s">
        <v>52</v>
      </c>
      <c r="C24" s="808">
        <f>SUM(C13:C22)</f>
        <v>1737290</v>
      </c>
      <c r="D24" s="808">
        <f>SUM(D13:D22)</f>
        <v>1269495</v>
      </c>
      <c r="E24" s="1211">
        <f>SUM(E13:E22)</f>
        <v>3006785</v>
      </c>
      <c r="F24" s="808">
        <f t="shared" ref="F24:H24" si="5">SUM(F13:F22)</f>
        <v>1740008</v>
      </c>
      <c r="G24" s="808">
        <f t="shared" si="5"/>
        <v>1269027</v>
      </c>
      <c r="H24" s="1211">
        <f t="shared" si="5"/>
        <v>3009035</v>
      </c>
      <c r="I24" s="287">
        <f t="shared" si="4"/>
        <v>100.0748307577695</v>
      </c>
      <c r="J24" s="794" t="s">
        <v>66</v>
      </c>
      <c r="K24" s="337">
        <f>SUM(K12:K23)</f>
        <v>1739375</v>
      </c>
      <c r="L24" s="337">
        <f>SUM(L12:L23)</f>
        <v>1324280</v>
      </c>
      <c r="M24" s="438">
        <f>SUM(M12:M23)</f>
        <v>3063655</v>
      </c>
      <c r="N24" s="794">
        <f t="shared" ref="N24:P24" si="6">SUM(N12:N23)</f>
        <v>1514500</v>
      </c>
      <c r="O24" s="337">
        <f t="shared" si="6"/>
        <v>1214299</v>
      </c>
      <c r="P24" s="438">
        <f t="shared" si="6"/>
        <v>2728799</v>
      </c>
      <c r="Q24" s="197">
        <f t="shared" si="2"/>
        <v>89.070048683680113</v>
      </c>
      <c r="R24" s="493"/>
      <c r="S24" s="183"/>
      <c r="T24" s="183"/>
      <c r="U24" s="183"/>
      <c r="V24" s="183"/>
      <c r="W24" s="183"/>
    </row>
    <row r="25" spans="1:29" s="122" customFormat="1" x14ac:dyDescent="0.2">
      <c r="A25" s="804">
        <f t="shared" si="0"/>
        <v>15</v>
      </c>
      <c r="B25" s="10"/>
      <c r="C25" s="336"/>
      <c r="D25" s="336"/>
      <c r="E25" s="435"/>
      <c r="F25" s="336"/>
      <c r="G25" s="336"/>
      <c r="H25" s="435"/>
      <c r="I25" s="287"/>
      <c r="J25" s="553"/>
      <c r="K25" s="282"/>
      <c r="L25" s="282"/>
      <c r="M25" s="437"/>
      <c r="N25" s="1185"/>
      <c r="O25" s="172"/>
      <c r="P25" s="421"/>
      <c r="Q25" s="153"/>
      <c r="R25" s="493"/>
      <c r="S25" s="183"/>
      <c r="T25" s="183"/>
      <c r="U25" s="574"/>
      <c r="V25" s="183"/>
      <c r="W25" s="183"/>
    </row>
    <row r="26" spans="1:29" x14ac:dyDescent="0.2">
      <c r="A26" s="804">
        <f t="shared" si="0"/>
        <v>16</v>
      </c>
      <c r="B26" s="809" t="s">
        <v>51</v>
      </c>
      <c r="C26" s="793">
        <f>SUM(C24:C25)</f>
        <v>1737290</v>
      </c>
      <c r="D26" s="793">
        <f>SUM(D24:D25)</f>
        <v>1269495</v>
      </c>
      <c r="E26" s="1212">
        <f>SUM(E24:E25)</f>
        <v>3006785</v>
      </c>
      <c r="F26" s="793">
        <f t="shared" ref="F26:H26" si="7">SUM(F24:F25)</f>
        <v>1740008</v>
      </c>
      <c r="G26" s="793">
        <f t="shared" si="7"/>
        <v>1269027</v>
      </c>
      <c r="H26" s="1212">
        <f t="shared" si="7"/>
        <v>3009035</v>
      </c>
      <c r="I26" s="287">
        <f t="shared" si="4"/>
        <v>100.0748307577695</v>
      </c>
      <c r="J26" s="796" t="s">
        <v>69</v>
      </c>
      <c r="K26" s="184">
        <f>SUM(K24:K25)</f>
        <v>1739375</v>
      </c>
      <c r="L26" s="184">
        <f>SUM(L24:L25)</f>
        <v>1324280</v>
      </c>
      <c r="M26" s="420">
        <f>SUM(M24:M25)</f>
        <v>3063655</v>
      </c>
      <c r="N26" s="796">
        <f t="shared" ref="N26:P26" si="8">SUM(N24:N25)</f>
        <v>1514500</v>
      </c>
      <c r="O26" s="339">
        <f t="shared" si="8"/>
        <v>1214299</v>
      </c>
      <c r="P26" s="420">
        <f t="shared" si="8"/>
        <v>2728799</v>
      </c>
      <c r="Q26" s="177">
        <f t="shared" si="2"/>
        <v>89.070048683680113</v>
      </c>
      <c r="R26" s="179"/>
      <c r="U26" s="175"/>
      <c r="X26" s="10"/>
      <c r="Y26" s="10"/>
      <c r="Z26" s="10"/>
      <c r="AA26" s="10"/>
      <c r="AB26" s="10"/>
      <c r="AC26" s="10"/>
    </row>
    <row r="27" spans="1:29" ht="12" thickBot="1" x14ac:dyDescent="0.25">
      <c r="A27" s="810">
        <f t="shared" si="0"/>
        <v>17</v>
      </c>
      <c r="B27" s="772"/>
      <c r="C27" s="1018"/>
      <c r="D27" s="1018"/>
      <c r="E27" s="1213"/>
      <c r="F27" s="1018"/>
      <c r="G27" s="1018"/>
      <c r="H27" s="1213"/>
      <c r="I27" s="1215"/>
      <c r="J27" s="553"/>
      <c r="K27" s="282"/>
      <c r="L27" s="282"/>
      <c r="M27" s="437"/>
      <c r="N27" s="166"/>
      <c r="O27" s="164"/>
      <c r="P27" s="419"/>
      <c r="Q27" s="153"/>
      <c r="R27" s="179"/>
      <c r="X27" s="10"/>
      <c r="Y27" s="10"/>
      <c r="Z27" s="10"/>
      <c r="AA27" s="10"/>
      <c r="AB27" s="10"/>
      <c r="AC27" s="10"/>
    </row>
    <row r="28" spans="1:29" ht="12" thickBot="1" x14ac:dyDescent="0.25">
      <c r="A28" s="810">
        <f t="shared" si="0"/>
        <v>18</v>
      </c>
      <c r="B28" s="1062" t="s">
        <v>627</v>
      </c>
      <c r="C28" s="1061">
        <f>C26-K26</f>
        <v>-2085</v>
      </c>
      <c r="D28" s="1061">
        <f>D26-L26</f>
        <v>-54785</v>
      </c>
      <c r="E28" s="463">
        <f>E26-M26</f>
        <v>-56870</v>
      </c>
      <c r="F28" s="1061">
        <f t="shared" ref="F28:H28" si="9">F26-N26</f>
        <v>225508</v>
      </c>
      <c r="G28" s="1061">
        <f t="shared" si="9"/>
        <v>54728</v>
      </c>
      <c r="H28" s="463">
        <f t="shared" si="9"/>
        <v>280236</v>
      </c>
      <c r="I28" s="1216">
        <f t="shared" si="4"/>
        <v>-492.7659574468085</v>
      </c>
      <c r="J28" s="795"/>
      <c r="K28" s="339"/>
      <c r="L28" s="339"/>
      <c r="M28" s="437"/>
      <c r="N28" s="166"/>
      <c r="O28" s="153"/>
      <c r="P28" s="419"/>
      <c r="Q28" s="153"/>
      <c r="R28" s="179"/>
      <c r="X28" s="10"/>
      <c r="Y28" s="10"/>
      <c r="Z28" s="10"/>
      <c r="AA28" s="10"/>
      <c r="AB28" s="10"/>
      <c r="AC28" s="10"/>
    </row>
    <row r="29" spans="1:29" x14ac:dyDescent="0.2">
      <c r="A29" s="810">
        <f t="shared" si="0"/>
        <v>19</v>
      </c>
      <c r="B29" s="766" t="s">
        <v>1169</v>
      </c>
      <c r="C29" s="275"/>
      <c r="D29" s="275"/>
      <c r="E29" s="483">
        <f>C29+D29</f>
        <v>0</v>
      </c>
      <c r="F29" s="577"/>
      <c r="G29" s="577"/>
      <c r="H29" s="483"/>
      <c r="I29" s="287"/>
      <c r="J29" s="461"/>
      <c r="K29" s="282"/>
      <c r="L29" s="282"/>
      <c r="M29" s="437"/>
      <c r="N29" s="166"/>
      <c r="O29" s="153"/>
      <c r="P29" s="419"/>
      <c r="Q29" s="153"/>
      <c r="R29" s="179"/>
      <c r="X29" s="10"/>
      <c r="Y29" s="10"/>
      <c r="Z29" s="10"/>
      <c r="AA29" s="10"/>
      <c r="AB29" s="10"/>
      <c r="AC29" s="10"/>
    </row>
    <row r="30" spans="1:29" x14ac:dyDescent="0.2">
      <c r="A30" s="810">
        <f t="shared" si="0"/>
        <v>20</v>
      </c>
      <c r="B30" s="577" t="s">
        <v>53</v>
      </c>
      <c r="C30" s="577"/>
      <c r="D30" s="577"/>
      <c r="E30" s="483"/>
      <c r="F30" s="577"/>
      <c r="G30" s="577"/>
      <c r="H30" s="483"/>
      <c r="I30" s="287"/>
      <c r="J30" s="795" t="s">
        <v>33</v>
      </c>
      <c r="K30" s="282"/>
      <c r="L30" s="282"/>
      <c r="M30" s="437"/>
      <c r="N30" s="166"/>
      <c r="O30" s="153"/>
      <c r="P30" s="419"/>
      <c r="Q30" s="153"/>
      <c r="R30" s="179"/>
      <c r="X30" s="10"/>
      <c r="Y30" s="10"/>
      <c r="Z30" s="10"/>
      <c r="AA30" s="10"/>
      <c r="AB30" s="10"/>
      <c r="AC30" s="10"/>
    </row>
    <row r="31" spans="1:29" s="122" customFormat="1" x14ac:dyDescent="0.2">
      <c r="A31" s="810">
        <f t="shared" si="0"/>
        <v>21</v>
      </c>
      <c r="B31" s="811" t="s">
        <v>680</v>
      </c>
      <c r="C31" s="577"/>
      <c r="D31" s="577"/>
      <c r="E31" s="483"/>
      <c r="F31" s="577"/>
      <c r="G31" s="577"/>
      <c r="H31" s="483"/>
      <c r="I31" s="287"/>
      <c r="J31" s="797" t="s">
        <v>4</v>
      </c>
      <c r="K31" s="282"/>
      <c r="L31" s="282"/>
      <c r="M31" s="437"/>
      <c r="N31" s="1185"/>
      <c r="O31" s="1184"/>
      <c r="P31" s="421"/>
      <c r="Q31" s="1184"/>
      <c r="R31" s="493"/>
      <c r="S31" s="183"/>
      <c r="T31" s="183"/>
      <c r="U31" s="183"/>
      <c r="V31" s="183"/>
      <c r="W31" s="183"/>
    </row>
    <row r="32" spans="1:29" ht="21.75" x14ac:dyDescent="0.2">
      <c r="A32" s="810">
        <f t="shared" si="0"/>
        <v>22</v>
      </c>
      <c r="B32" s="845" t="s">
        <v>974</v>
      </c>
      <c r="C32" s="462">
        <f>Össz.önkor.mérleg.!C43</f>
        <v>588859</v>
      </c>
      <c r="D32" s="462">
        <f>Össz.önkor.mérleg.!D43</f>
        <v>0</v>
      </c>
      <c r="E32" s="765">
        <f>Össz.önkor.mérleg.!E43</f>
        <v>588859</v>
      </c>
      <c r="F32" s="462"/>
      <c r="G32" s="462"/>
      <c r="H32" s="765"/>
      <c r="I32" s="287">
        <f t="shared" si="4"/>
        <v>0</v>
      </c>
      <c r="J32" s="185" t="s">
        <v>3</v>
      </c>
      <c r="K32" s="282"/>
      <c r="L32" s="282"/>
      <c r="M32" s="437"/>
      <c r="N32" s="166"/>
      <c r="O32" s="153"/>
      <c r="P32" s="419"/>
      <c r="Q32" s="153"/>
      <c r="R32" s="179"/>
      <c r="X32" s="10"/>
      <c r="Y32" s="10"/>
      <c r="Z32" s="10"/>
      <c r="AA32" s="10"/>
      <c r="AB32" s="10"/>
      <c r="AC32" s="10"/>
    </row>
    <row r="33" spans="1:29" x14ac:dyDescent="0.2">
      <c r="A33" s="810">
        <f t="shared" si="0"/>
        <v>23</v>
      </c>
      <c r="B33" s="10" t="s">
        <v>973</v>
      </c>
      <c r="C33" s="1025">
        <f>-'felhalm. mérleg'!C35</f>
        <v>-588859</v>
      </c>
      <c r="D33" s="1025">
        <v>0</v>
      </c>
      <c r="E33" s="765">
        <f>C33+D33</f>
        <v>-588859</v>
      </c>
      <c r="F33" s="462"/>
      <c r="G33" s="462"/>
      <c r="H33" s="765"/>
      <c r="I33" s="287">
        <f t="shared" si="4"/>
        <v>0</v>
      </c>
      <c r="J33" s="185"/>
      <c r="K33" s="282"/>
      <c r="L33" s="282"/>
      <c r="M33" s="437"/>
      <c r="N33" s="166"/>
      <c r="O33" s="153"/>
      <c r="P33" s="419"/>
      <c r="Q33" s="153"/>
      <c r="R33" s="179"/>
      <c r="X33" s="10"/>
      <c r="Y33" s="10"/>
      <c r="Z33" s="10"/>
      <c r="AA33" s="10"/>
      <c r="AB33" s="10"/>
      <c r="AC33" s="10"/>
    </row>
    <row r="34" spans="1:29" s="11" customFormat="1" x14ac:dyDescent="0.2">
      <c r="A34" s="810">
        <f t="shared" si="0"/>
        <v>24</v>
      </c>
      <c r="B34" s="287" t="s">
        <v>634</v>
      </c>
      <c r="C34" s="798"/>
      <c r="D34" s="799"/>
      <c r="E34" s="1198">
        <f>SUM(C34:D34)</f>
        <v>0</v>
      </c>
      <c r="F34" s="799"/>
      <c r="G34" s="799"/>
      <c r="H34" s="765"/>
      <c r="I34" s="287"/>
      <c r="J34" s="461" t="s">
        <v>5</v>
      </c>
      <c r="K34" s="280"/>
      <c r="L34" s="280"/>
      <c r="M34" s="437"/>
      <c r="N34" s="174"/>
      <c r="O34" s="177"/>
      <c r="P34" s="422"/>
      <c r="Q34" s="177"/>
      <c r="R34" s="473"/>
      <c r="S34" s="178"/>
      <c r="T34" s="178"/>
      <c r="U34" s="178"/>
      <c r="V34" s="178"/>
      <c r="W34" s="178"/>
    </row>
    <row r="35" spans="1:29" x14ac:dyDescent="0.2">
      <c r="A35" s="810">
        <f t="shared" si="0"/>
        <v>25</v>
      </c>
      <c r="B35" s="287" t="s">
        <v>681</v>
      </c>
      <c r="C35" s="275"/>
      <c r="D35" s="275"/>
      <c r="E35" s="436"/>
      <c r="F35" s="275"/>
      <c r="G35" s="275"/>
      <c r="H35" s="765"/>
      <c r="I35" s="287"/>
      <c r="J35" s="461" t="s">
        <v>6</v>
      </c>
      <c r="K35" s="338"/>
      <c r="L35" s="338"/>
      <c r="M35" s="439"/>
      <c r="N35" s="166"/>
      <c r="O35" s="153"/>
      <c r="P35" s="419"/>
      <c r="Q35" s="153"/>
      <c r="R35" s="179"/>
      <c r="T35" s="175"/>
      <c r="X35" s="10"/>
      <c r="Y35" s="10"/>
      <c r="Z35" s="10"/>
      <c r="AA35" s="10"/>
      <c r="AB35" s="10"/>
      <c r="AC35" s="10"/>
    </row>
    <row r="36" spans="1:29" x14ac:dyDescent="0.2">
      <c r="A36" s="810">
        <f t="shared" si="0"/>
        <v>26</v>
      </c>
      <c r="B36" s="287" t="s">
        <v>636</v>
      </c>
      <c r="C36" s="275">
        <f>Össz.önkor.mérleg.!C46</f>
        <v>630751</v>
      </c>
      <c r="D36" s="275">
        <f>Össz.önkor.mérleg.!D46</f>
        <v>262319</v>
      </c>
      <c r="E36" s="436">
        <f>SUM(C36:D36)</f>
        <v>893070</v>
      </c>
      <c r="F36" s="275">
        <f>Össz.önkor.mérleg.!F46</f>
        <v>630751</v>
      </c>
      <c r="G36" s="275">
        <f>Össz.önkor.mérleg.!G46</f>
        <v>262319</v>
      </c>
      <c r="H36" s="765">
        <f t="shared" ref="H36:H45" si="10">F36+G36</f>
        <v>893070</v>
      </c>
      <c r="I36" s="287">
        <f t="shared" si="4"/>
        <v>100</v>
      </c>
      <c r="J36" s="461" t="s">
        <v>7</v>
      </c>
      <c r="K36" s="339"/>
      <c r="L36" s="339"/>
      <c r="M36" s="420"/>
      <c r="N36" s="166"/>
      <c r="O36" s="153"/>
      <c r="P36" s="419"/>
      <c r="Q36" s="153"/>
      <c r="R36" s="179"/>
      <c r="X36" s="10"/>
      <c r="Y36" s="10"/>
      <c r="Z36" s="10"/>
      <c r="AA36" s="10"/>
      <c r="AB36" s="10"/>
      <c r="AC36" s="10"/>
    </row>
    <row r="37" spans="1:29" x14ac:dyDescent="0.2">
      <c r="A37" s="810">
        <f t="shared" si="0"/>
        <v>27</v>
      </c>
      <c r="B37" s="287" t="s">
        <v>935</v>
      </c>
      <c r="C37" s="275">
        <f>Össz.önkor.mérleg.!C47</f>
        <v>0</v>
      </c>
      <c r="D37" s="275">
        <f>Össz.önkor.mérleg.!D47</f>
        <v>0</v>
      </c>
      <c r="E37" s="436">
        <f>Össz.önkor.mérleg.!E47</f>
        <v>0</v>
      </c>
      <c r="F37" s="275"/>
      <c r="G37" s="275"/>
      <c r="H37" s="765">
        <f t="shared" si="10"/>
        <v>0</v>
      </c>
      <c r="I37" s="287"/>
      <c r="J37" s="461"/>
      <c r="K37" s="339"/>
      <c r="L37" s="339"/>
      <c r="M37" s="420"/>
      <c r="N37" s="166"/>
      <c r="O37" s="153"/>
      <c r="P37" s="419"/>
      <c r="Q37" s="153"/>
      <c r="R37" s="179"/>
      <c r="U37" s="175"/>
      <c r="X37" s="10"/>
      <c r="Y37" s="10"/>
      <c r="Z37" s="10"/>
      <c r="AA37" s="10"/>
      <c r="AB37" s="10"/>
      <c r="AC37" s="10"/>
    </row>
    <row r="38" spans="1:29" x14ac:dyDescent="0.2">
      <c r="A38" s="810">
        <f t="shared" si="0"/>
        <v>28</v>
      </c>
      <c r="B38" s="80" t="s">
        <v>635</v>
      </c>
      <c r="C38" s="275">
        <f>-(C28+C36-K46)-C29-C39</f>
        <v>-629439</v>
      </c>
      <c r="D38" s="275">
        <f>-(D28+D36-L46)-D29-D39</f>
        <v>-208004</v>
      </c>
      <c r="E38" s="436">
        <f>-(E28+E36-M46)-E29-E39</f>
        <v>-837443</v>
      </c>
      <c r="F38" s="275"/>
      <c r="G38" s="275"/>
      <c r="H38" s="765">
        <f t="shared" si="10"/>
        <v>0</v>
      </c>
      <c r="I38" s="287">
        <f t="shared" si="4"/>
        <v>0</v>
      </c>
      <c r="J38" s="461" t="s">
        <v>8</v>
      </c>
      <c r="K38" s="282"/>
      <c r="L38" s="282"/>
      <c r="M38" s="437"/>
      <c r="N38" s="166"/>
      <c r="O38" s="153"/>
      <c r="P38" s="419"/>
      <c r="Q38" s="153"/>
      <c r="R38" s="179"/>
      <c r="X38" s="10"/>
      <c r="Y38" s="10"/>
      <c r="Z38" s="10"/>
      <c r="AA38" s="10"/>
      <c r="AB38" s="10"/>
      <c r="AC38" s="10"/>
    </row>
    <row r="39" spans="1:29" x14ac:dyDescent="0.2">
      <c r="A39" s="810">
        <f t="shared" si="0"/>
        <v>29</v>
      </c>
      <c r="B39" s="275" t="s">
        <v>683</v>
      </c>
      <c r="C39" s="275">
        <f>Össz.önkor.mérleg.!C48</f>
        <v>33212</v>
      </c>
      <c r="D39" s="275">
        <f>Össz.önkor.mérleg.!D48</f>
        <v>4730</v>
      </c>
      <c r="E39" s="436">
        <f>Össz.önkor.mérleg.!E48</f>
        <v>37942</v>
      </c>
      <c r="F39" s="275">
        <f>Össz.önkor.mérleg.!F48</f>
        <v>33212</v>
      </c>
      <c r="G39" s="275">
        <f>Össz.önkor.mérleg.!G48</f>
        <v>4730</v>
      </c>
      <c r="H39" s="765">
        <f t="shared" si="10"/>
        <v>37942</v>
      </c>
      <c r="I39" s="287">
        <f t="shared" si="4"/>
        <v>100</v>
      </c>
      <c r="J39" s="461" t="s">
        <v>9</v>
      </c>
      <c r="K39" s="282">
        <f>Össz.önkor.mérleg.!K49</f>
        <v>32439</v>
      </c>
      <c r="L39" s="282">
        <f>Össz.önkor.mérleg.!L49</f>
        <v>4260</v>
      </c>
      <c r="M39" s="437">
        <f>Össz.önkor.mérleg.!M49</f>
        <v>36699</v>
      </c>
      <c r="N39" s="166">
        <f>Össz.önkor.mérleg.!Q49</f>
        <v>32439</v>
      </c>
      <c r="O39" s="164">
        <f>Össz.önkor.mérleg.!R49</f>
        <v>4260</v>
      </c>
      <c r="P39" s="419">
        <f>N39+O39</f>
        <v>36699</v>
      </c>
      <c r="Q39" s="153">
        <f>P39/M39*100</f>
        <v>100</v>
      </c>
      <c r="R39" s="179"/>
      <c r="X39" s="10"/>
      <c r="Y39" s="10"/>
      <c r="Z39" s="10"/>
      <c r="AA39" s="10"/>
      <c r="AB39" s="10"/>
      <c r="AC39" s="10"/>
    </row>
    <row r="40" spans="1:29" s="11" customFormat="1" x14ac:dyDescent="0.2">
      <c r="A40" s="810">
        <f t="shared" si="0"/>
        <v>30</v>
      </c>
      <c r="B40" s="275" t="s">
        <v>684</v>
      </c>
      <c r="C40" s="275"/>
      <c r="D40" s="275"/>
      <c r="E40" s="436"/>
      <c r="F40" s="275"/>
      <c r="G40" s="275"/>
      <c r="H40" s="765"/>
      <c r="I40" s="287"/>
      <c r="J40" s="461" t="s">
        <v>10</v>
      </c>
      <c r="K40" s="282"/>
      <c r="L40" s="282"/>
      <c r="M40" s="437"/>
      <c r="N40" s="174"/>
      <c r="O40" s="177"/>
      <c r="P40" s="422"/>
      <c r="Q40" s="153"/>
      <c r="R40" s="473"/>
      <c r="S40" s="178"/>
      <c r="T40" s="178"/>
      <c r="U40" s="178"/>
      <c r="V40" s="178"/>
      <c r="W40" s="178"/>
    </row>
    <row r="41" spans="1:29" s="11" customFormat="1" x14ac:dyDescent="0.2">
      <c r="A41" s="810">
        <f t="shared" si="0"/>
        <v>31</v>
      </c>
      <c r="B41" s="287" t="s">
        <v>685</v>
      </c>
      <c r="C41" s="275"/>
      <c r="D41" s="275"/>
      <c r="E41" s="436"/>
      <c r="F41" s="275"/>
      <c r="G41" s="275"/>
      <c r="H41" s="765"/>
      <c r="I41" s="287"/>
      <c r="J41" s="461" t="s">
        <v>11</v>
      </c>
      <c r="K41" s="339"/>
      <c r="L41" s="339"/>
      <c r="M41" s="420"/>
      <c r="N41" s="174"/>
      <c r="O41" s="177"/>
      <c r="P41" s="422"/>
      <c r="Q41" s="153"/>
      <c r="R41" s="473"/>
      <c r="S41" s="178"/>
      <c r="T41" s="178"/>
      <c r="U41" s="178"/>
      <c r="V41" s="178"/>
      <c r="W41" s="178"/>
    </row>
    <row r="42" spans="1:29" s="11" customFormat="1" x14ac:dyDescent="0.2">
      <c r="A42" s="810">
        <f t="shared" si="0"/>
        <v>32</v>
      </c>
      <c r="B42" s="287" t="s">
        <v>686</v>
      </c>
      <c r="C42" s="275"/>
      <c r="D42" s="275"/>
      <c r="E42" s="436"/>
      <c r="F42" s="275"/>
      <c r="G42" s="275"/>
      <c r="H42" s="765"/>
      <c r="I42" s="287"/>
      <c r="J42" s="461" t="s">
        <v>12</v>
      </c>
      <c r="K42" s="184"/>
      <c r="M42" s="440"/>
      <c r="N42" s="174"/>
      <c r="O42" s="177"/>
      <c r="P42" s="422"/>
      <c r="Q42" s="153"/>
      <c r="R42" s="473"/>
      <c r="S42" s="178"/>
      <c r="T42" s="178"/>
      <c r="U42" s="178"/>
      <c r="V42" s="178"/>
      <c r="W42" s="178"/>
    </row>
    <row r="43" spans="1:29" s="11" customFormat="1" x14ac:dyDescent="0.2">
      <c r="A43" s="810">
        <f t="shared" si="0"/>
        <v>33</v>
      </c>
      <c r="B43" s="287" t="s">
        <v>0</v>
      </c>
      <c r="C43" s="275"/>
      <c r="D43" s="275"/>
      <c r="E43" s="436"/>
      <c r="F43" s="275"/>
      <c r="G43" s="275"/>
      <c r="H43" s="765"/>
      <c r="I43" s="287"/>
      <c r="J43" s="461" t="s">
        <v>13</v>
      </c>
      <c r="K43" s="339"/>
      <c r="L43" s="339"/>
      <c r="M43" s="420"/>
      <c r="N43" s="174"/>
      <c r="O43" s="177"/>
      <c r="P43" s="422"/>
      <c r="Q43" s="153"/>
      <c r="R43" s="473"/>
      <c r="S43" s="178"/>
      <c r="T43" s="178"/>
      <c r="U43" s="178"/>
      <c r="V43" s="178"/>
      <c r="W43" s="178"/>
    </row>
    <row r="44" spans="1:29" x14ac:dyDescent="0.2">
      <c r="A44" s="810">
        <f t="shared" si="0"/>
        <v>34</v>
      </c>
      <c r="B44" s="287" t="s">
        <v>1</v>
      </c>
      <c r="C44" s="275">
        <f>Össz.önkor.mérleg.!C53</f>
        <v>0</v>
      </c>
      <c r="D44" s="275">
        <f>Össz.önkor.mérleg.!D53</f>
        <v>0</v>
      </c>
      <c r="E44" s="436">
        <f>Össz.önkor.mérleg.!E53</f>
        <v>0</v>
      </c>
      <c r="F44" s="275"/>
      <c r="G44" s="275"/>
      <c r="H44" s="765">
        <f t="shared" si="10"/>
        <v>0</v>
      </c>
      <c r="I44" s="287"/>
      <c r="J44" s="461" t="s">
        <v>14</v>
      </c>
      <c r="K44" s="339"/>
      <c r="L44" s="339"/>
      <c r="M44" s="420"/>
      <c r="N44" s="166"/>
      <c r="O44" s="153"/>
      <c r="P44" s="419"/>
      <c r="Q44" s="153"/>
      <c r="R44" s="179"/>
      <c r="X44" s="10"/>
      <c r="Y44" s="10"/>
      <c r="Z44" s="10"/>
      <c r="AA44" s="10"/>
      <c r="AB44" s="10"/>
      <c r="AC44" s="10"/>
    </row>
    <row r="45" spans="1:29" x14ac:dyDescent="0.2">
      <c r="A45" s="810">
        <f t="shared" si="0"/>
        <v>35</v>
      </c>
      <c r="B45" s="287" t="s">
        <v>2</v>
      </c>
      <c r="C45" s="275"/>
      <c r="D45" s="275"/>
      <c r="E45" s="436"/>
      <c r="F45" s="275"/>
      <c r="G45" s="275"/>
      <c r="H45" s="765">
        <f t="shared" si="10"/>
        <v>0</v>
      </c>
      <c r="I45" s="287"/>
      <c r="J45" s="461" t="s">
        <v>15</v>
      </c>
      <c r="K45" s="184"/>
      <c r="L45" s="184"/>
      <c r="M45" s="420"/>
      <c r="N45" s="166"/>
      <c r="O45" s="153"/>
      <c r="P45" s="419"/>
      <c r="Q45" s="153"/>
      <c r="R45" s="179"/>
      <c r="X45" s="10"/>
      <c r="Y45" s="10"/>
      <c r="Z45" s="10"/>
      <c r="AA45" s="10"/>
      <c r="AB45" s="10"/>
      <c r="AC45" s="10"/>
    </row>
    <row r="46" spans="1:29" ht="12" thickBot="1" x14ac:dyDescent="0.25">
      <c r="A46" s="810">
        <f t="shared" si="0"/>
        <v>36</v>
      </c>
      <c r="B46" s="809" t="s">
        <v>447</v>
      </c>
      <c r="C46" s="577">
        <f>SUM(C31:C44)</f>
        <v>34524</v>
      </c>
      <c r="D46" s="577">
        <f t="shared" ref="D46:H46" si="11">SUM(D31:D44)</f>
        <v>59045</v>
      </c>
      <c r="E46" s="1194">
        <f t="shared" si="11"/>
        <v>93569</v>
      </c>
      <c r="F46" s="577">
        <f t="shared" si="11"/>
        <v>663963</v>
      </c>
      <c r="G46" s="577">
        <f t="shared" si="11"/>
        <v>267049</v>
      </c>
      <c r="H46" s="483">
        <f t="shared" si="11"/>
        <v>931012</v>
      </c>
      <c r="I46" s="288">
        <f t="shared" si="4"/>
        <v>995.00048092851262</v>
      </c>
      <c r="J46" s="795" t="s">
        <v>440</v>
      </c>
      <c r="K46" s="184">
        <f>SUM(K31:K45)</f>
        <v>32439</v>
      </c>
      <c r="L46" s="184">
        <f>SUM(L31:L45)</f>
        <v>4260</v>
      </c>
      <c r="M46" s="420">
        <f>SUM(M31:M45)</f>
        <v>36699</v>
      </c>
      <c r="N46" s="339">
        <f t="shared" ref="N46:P46" si="12">SUM(N31:N45)</f>
        <v>32439</v>
      </c>
      <c r="O46" s="1202">
        <f t="shared" si="12"/>
        <v>4260</v>
      </c>
      <c r="P46" s="1203">
        <f t="shared" si="12"/>
        <v>36699</v>
      </c>
      <c r="Q46" s="177">
        <f t="shared" ref="Q46:Q47" si="13">P46/M46*100</f>
        <v>100</v>
      </c>
      <c r="R46" s="179"/>
      <c r="X46" s="10"/>
      <c r="Y46" s="10"/>
      <c r="Z46" s="10"/>
      <c r="AA46" s="10"/>
      <c r="AB46" s="10"/>
      <c r="AC46" s="10"/>
    </row>
    <row r="47" spans="1:29" ht="12" thickBot="1" x14ac:dyDescent="0.25">
      <c r="A47" s="1012">
        <f t="shared" si="0"/>
        <v>37</v>
      </c>
      <c r="B47" s="1013" t="s">
        <v>442</v>
      </c>
      <c r="C47" s="827">
        <f>C26+C46+C29</f>
        <v>1771814</v>
      </c>
      <c r="D47" s="827">
        <f t="shared" ref="D47:E47" si="14">D26+D46+D29</f>
        <v>1328540</v>
      </c>
      <c r="E47" s="827">
        <f t="shared" si="14"/>
        <v>3100354</v>
      </c>
      <c r="F47" s="849">
        <f>F26+F46</f>
        <v>2403971</v>
      </c>
      <c r="G47" s="849">
        <f t="shared" ref="G47:H47" si="15">G26+G46</f>
        <v>1536076</v>
      </c>
      <c r="H47" s="1197">
        <f t="shared" si="15"/>
        <v>3940047</v>
      </c>
      <c r="I47" s="849">
        <f>H47/E47*100</f>
        <v>127.0837781750084</v>
      </c>
      <c r="J47" s="969" t="s">
        <v>441</v>
      </c>
      <c r="K47" s="1007">
        <f>K26+K46</f>
        <v>1771814</v>
      </c>
      <c r="L47" s="849">
        <f>L26+L46</f>
        <v>1328540</v>
      </c>
      <c r="M47" s="968">
        <f>M26+M46</f>
        <v>3100354</v>
      </c>
      <c r="N47" s="1219">
        <f t="shared" ref="N47:P47" si="16">N26+N46</f>
        <v>1546939</v>
      </c>
      <c r="O47" s="1196">
        <f t="shared" si="16"/>
        <v>1218559</v>
      </c>
      <c r="P47" s="968">
        <f t="shared" si="16"/>
        <v>2765498</v>
      </c>
      <c r="Q47" s="1812">
        <f t="shared" si="13"/>
        <v>89.199426904153526</v>
      </c>
      <c r="R47" s="179"/>
      <c r="X47" s="10"/>
      <c r="Y47" s="10"/>
      <c r="Z47" s="10"/>
      <c r="AA47" s="10"/>
      <c r="AB47" s="10"/>
      <c r="AC47" s="10"/>
    </row>
    <row r="48" spans="1:29" x14ac:dyDescent="0.2">
      <c r="B48" s="178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O48" s="1218"/>
      <c r="P48" s="1218"/>
      <c r="X48" s="10"/>
      <c r="Y48" s="10"/>
      <c r="Z48" s="10"/>
      <c r="AA48" s="10"/>
      <c r="AB48" s="10"/>
      <c r="AC48" s="10"/>
    </row>
    <row r="50" spans="1:19" x14ac:dyDescent="0.2">
      <c r="A50" s="1836"/>
      <c r="B50" s="1836"/>
      <c r="C50" s="1836"/>
      <c r="D50" s="1836"/>
      <c r="E50" s="1836"/>
      <c r="F50" s="1836"/>
      <c r="G50" s="1836"/>
      <c r="H50" s="1836"/>
      <c r="I50" s="1836"/>
      <c r="J50" s="1836"/>
      <c r="K50" s="1836"/>
      <c r="L50" s="1836"/>
      <c r="M50" s="1836"/>
      <c r="N50" s="1836"/>
      <c r="O50" s="1836"/>
      <c r="P50" s="1836"/>
      <c r="Q50" s="1836"/>
      <c r="R50" s="1836"/>
      <c r="S50" s="1836"/>
    </row>
    <row r="51" spans="1:19" x14ac:dyDescent="0.2">
      <c r="A51" s="1836"/>
      <c r="B51" s="1836"/>
      <c r="C51" s="1836"/>
      <c r="D51" s="1836"/>
      <c r="E51" s="1836"/>
      <c r="F51" s="1836"/>
      <c r="G51" s="1836"/>
      <c r="H51" s="1836"/>
      <c r="I51" s="1836"/>
      <c r="J51" s="1836"/>
      <c r="K51" s="1836"/>
      <c r="L51" s="1836"/>
      <c r="M51" s="1836"/>
      <c r="N51" s="1836"/>
      <c r="O51" s="1836"/>
      <c r="P51" s="1836"/>
      <c r="Q51" s="1836"/>
      <c r="R51" s="1836"/>
      <c r="S51" s="1836"/>
    </row>
    <row r="52" spans="1:19" x14ac:dyDescent="0.2">
      <c r="A52" s="1823"/>
      <c r="B52" s="1823"/>
      <c r="C52" s="1823"/>
      <c r="D52" s="1823"/>
      <c r="E52" s="1823"/>
      <c r="F52" s="1823"/>
      <c r="G52" s="1823"/>
      <c r="H52" s="1823"/>
      <c r="I52" s="1823"/>
      <c r="J52" s="1823"/>
      <c r="K52" s="1823"/>
      <c r="L52" s="1823"/>
      <c r="M52" s="1823"/>
      <c r="N52" s="1823"/>
      <c r="O52" s="1823"/>
      <c r="P52" s="1823"/>
      <c r="Q52" s="1823"/>
      <c r="R52" s="1823"/>
      <c r="S52" s="1823"/>
    </row>
    <row r="53" spans="1:19" x14ac:dyDescent="0.2">
      <c r="A53" s="1823"/>
      <c r="B53" s="1823"/>
      <c r="C53" s="1823"/>
      <c r="D53" s="1823"/>
      <c r="E53" s="1823"/>
      <c r="F53" s="1823"/>
      <c r="G53" s="1823"/>
      <c r="H53" s="1823"/>
      <c r="I53" s="1823"/>
      <c r="J53" s="1823"/>
      <c r="K53" s="1823"/>
      <c r="L53" s="1823"/>
      <c r="M53" s="1823"/>
      <c r="N53" s="1823"/>
      <c r="O53" s="1823"/>
      <c r="P53" s="1823"/>
      <c r="Q53" s="1823"/>
      <c r="R53" s="1823"/>
      <c r="S53" s="1823"/>
    </row>
  </sheetData>
  <sheetProtection selectLockedCells="1" selectUnlockedCells="1"/>
  <mergeCells count="23">
    <mergeCell ref="B4:Q4"/>
    <mergeCell ref="B1:Q1"/>
    <mergeCell ref="A7:Q7"/>
    <mergeCell ref="A50:S50"/>
    <mergeCell ref="A51:S51"/>
    <mergeCell ref="I9:I10"/>
    <mergeCell ref="B3:Q3"/>
    <mergeCell ref="A52:S52"/>
    <mergeCell ref="A53:S53"/>
    <mergeCell ref="B5:Q5"/>
    <mergeCell ref="B6:Q6"/>
    <mergeCell ref="N8:Q8"/>
    <mergeCell ref="N9:P9"/>
    <mergeCell ref="Q9:Q10"/>
    <mergeCell ref="C9:E9"/>
    <mergeCell ref="K9:M9"/>
    <mergeCell ref="A8:A10"/>
    <mergeCell ref="B8:B9"/>
    <mergeCell ref="C8:E8"/>
    <mergeCell ref="J8:J9"/>
    <mergeCell ref="K8:M8"/>
    <mergeCell ref="F8:I8"/>
    <mergeCell ref="F9:H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57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56"/>
  <sheetViews>
    <sheetView zoomScale="120" workbookViewId="0">
      <selection activeCell="B1" sqref="B1:Q1"/>
    </sheetView>
  </sheetViews>
  <sheetFormatPr defaultColWidth="9.140625" defaultRowHeight="11.25" x14ac:dyDescent="0.2"/>
  <cols>
    <col min="1" max="1" width="4.85546875" style="152" customWidth="1"/>
    <col min="2" max="2" width="36.85546875" style="152" customWidth="1"/>
    <col min="3" max="5" width="11.28515625" style="153" customWidth="1"/>
    <col min="6" max="6" width="11.140625" style="153" customWidth="1"/>
    <col min="7" max="8" width="11.28515625" style="153" customWidth="1"/>
    <col min="9" max="9" width="7.42578125" style="153" customWidth="1"/>
    <col min="10" max="10" width="35.42578125" style="153" customWidth="1"/>
    <col min="11" max="11" width="12.140625" style="280" customWidth="1"/>
    <col min="12" max="12" width="11.42578125" style="280" customWidth="1"/>
    <col min="13" max="13" width="12.85546875" style="280" customWidth="1"/>
    <col min="14" max="14" width="11.140625" style="152" customWidth="1"/>
    <col min="15" max="15" width="10.7109375" style="10" customWidth="1"/>
    <col min="16" max="16" width="11.140625" style="10" customWidth="1"/>
    <col min="17" max="17" width="7.28515625" style="10" customWidth="1"/>
    <col min="18" max="16384" width="9.140625" style="10"/>
  </cols>
  <sheetData>
    <row r="1" spans="1:18" ht="12.75" customHeight="1" x14ac:dyDescent="0.2">
      <c r="B1" s="1816" t="s">
        <v>2076</v>
      </c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18" x14ac:dyDescent="0.2">
      <c r="M2" s="334"/>
    </row>
    <row r="3" spans="1:18" x14ac:dyDescent="0.2">
      <c r="M3" s="334"/>
    </row>
    <row r="4" spans="1:18" s="120" customFormat="1" x14ac:dyDescent="0.2">
      <c r="A4" s="155"/>
      <c r="B4" s="1823" t="s">
        <v>77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</row>
    <row r="5" spans="1:18" s="120" customFormat="1" x14ac:dyDescent="0.2">
      <c r="A5" s="155"/>
      <c r="B5" s="1823" t="s">
        <v>1359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</row>
    <row r="6" spans="1:18" s="120" customFormat="1" x14ac:dyDescent="0.2">
      <c r="A6" s="155"/>
      <c r="B6" s="1964" t="s">
        <v>183</v>
      </c>
      <c r="C6" s="1964"/>
      <c r="D6" s="1964"/>
      <c r="E6" s="1964"/>
      <c r="F6" s="1964"/>
      <c r="G6" s="1964"/>
      <c r="H6" s="1964"/>
      <c r="I6" s="1964"/>
      <c r="J6" s="1964"/>
      <c r="K6" s="1964"/>
      <c r="L6" s="1964"/>
      <c r="M6" s="1964"/>
      <c r="N6" s="1964"/>
      <c r="O6" s="1964"/>
      <c r="P6" s="1964"/>
      <c r="Q6" s="1964"/>
    </row>
    <row r="7" spans="1:18" s="120" customFormat="1" x14ac:dyDescent="0.2">
      <c r="A7" s="155"/>
      <c r="B7" s="1823" t="s">
        <v>1102</v>
      </c>
      <c r="C7" s="1823"/>
      <c r="D7" s="1823"/>
      <c r="E7" s="1823"/>
      <c r="F7" s="1823"/>
      <c r="G7" s="1823"/>
      <c r="H7" s="1823"/>
      <c r="I7" s="1823"/>
      <c r="J7" s="1823"/>
      <c r="K7" s="1823"/>
      <c r="L7" s="1823"/>
      <c r="M7" s="1823"/>
      <c r="N7" s="1823"/>
      <c r="O7" s="1823"/>
      <c r="P7" s="1823"/>
      <c r="Q7" s="1823"/>
    </row>
    <row r="8" spans="1:18" s="120" customFormat="1" x14ac:dyDescent="0.2">
      <c r="A8" s="155"/>
      <c r="B8" s="1824" t="s">
        <v>302</v>
      </c>
      <c r="C8" s="1824"/>
      <c r="D8" s="1824"/>
      <c r="E8" s="1824"/>
      <c r="F8" s="1824"/>
      <c r="G8" s="1824"/>
      <c r="H8" s="1824"/>
      <c r="I8" s="1824"/>
      <c r="J8" s="1824"/>
      <c r="K8" s="1824"/>
      <c r="L8" s="1824"/>
      <c r="M8" s="1824"/>
      <c r="N8" s="1824"/>
      <c r="O8" s="1824"/>
      <c r="P8" s="1824"/>
      <c r="Q8" s="1824"/>
    </row>
    <row r="9" spans="1:18" s="120" customFormat="1" ht="12.75" customHeight="1" x14ac:dyDescent="0.2">
      <c r="A9" s="1852" t="s">
        <v>56</v>
      </c>
      <c r="B9" s="2062" t="s">
        <v>57</v>
      </c>
      <c r="C9" s="1827" t="s">
        <v>58</v>
      </c>
      <c r="D9" s="1828"/>
      <c r="E9" s="1892"/>
      <c r="F9" s="1834" t="s">
        <v>59</v>
      </c>
      <c r="G9" s="1834"/>
      <c r="H9" s="1834"/>
      <c r="I9" s="1835"/>
      <c r="J9" s="2064" t="s">
        <v>60</v>
      </c>
      <c r="K9" s="1845" t="s">
        <v>469</v>
      </c>
      <c r="L9" s="1846"/>
      <c r="M9" s="1846"/>
      <c r="N9" s="2067" t="s">
        <v>470</v>
      </c>
      <c r="O9" s="2067"/>
      <c r="P9" s="2067"/>
      <c r="Q9" s="2067"/>
    </row>
    <row r="10" spans="1:18" s="120" customFormat="1" ht="12.75" customHeight="1" x14ac:dyDescent="0.2">
      <c r="A10" s="1853"/>
      <c r="B10" s="2063"/>
      <c r="C10" s="1826" t="s">
        <v>1103</v>
      </c>
      <c r="D10" s="1992"/>
      <c r="E10" s="2066"/>
      <c r="F10" s="1817" t="s">
        <v>1355</v>
      </c>
      <c r="G10" s="1818"/>
      <c r="H10" s="1819"/>
      <c r="I10" s="1820" t="s">
        <v>1357</v>
      </c>
      <c r="J10" s="2065"/>
      <c r="K10" s="1839" t="s">
        <v>1103</v>
      </c>
      <c r="L10" s="2068"/>
      <c r="M10" s="2069"/>
      <c r="N10" s="1817" t="s">
        <v>1355</v>
      </c>
      <c r="O10" s="1818"/>
      <c r="P10" s="1819"/>
      <c r="Q10" s="1820" t="s">
        <v>1357</v>
      </c>
    </row>
    <row r="11" spans="1:18" s="297" customFormat="1" ht="36.6" customHeight="1" x14ac:dyDescent="0.2">
      <c r="A11" s="1854"/>
      <c r="B11" s="295" t="s">
        <v>61</v>
      </c>
      <c r="C11" s="132" t="s">
        <v>62</v>
      </c>
      <c r="D11" s="132" t="s">
        <v>63</v>
      </c>
      <c r="E11" s="132" t="s">
        <v>64</v>
      </c>
      <c r="F11" s="132" t="s">
        <v>62</v>
      </c>
      <c r="G11" s="132" t="s">
        <v>63</v>
      </c>
      <c r="H11" s="1352" t="s">
        <v>1356</v>
      </c>
      <c r="I11" s="1965"/>
      <c r="J11" s="283" t="s">
        <v>65</v>
      </c>
      <c r="K11" s="335" t="s">
        <v>62</v>
      </c>
      <c r="L11" s="335" t="s">
        <v>63</v>
      </c>
      <c r="M11" s="335" t="s">
        <v>64</v>
      </c>
      <c r="N11" s="132" t="s">
        <v>62</v>
      </c>
      <c r="O11" s="1348" t="s">
        <v>63</v>
      </c>
      <c r="P11" s="157" t="s">
        <v>1356</v>
      </c>
      <c r="Q11" s="1837"/>
      <c r="R11" s="559"/>
    </row>
    <row r="12" spans="1:18" ht="11.45" customHeight="1" x14ac:dyDescent="0.2">
      <c r="A12" s="159">
        <v>1</v>
      </c>
      <c r="B12" s="160" t="s">
        <v>24</v>
      </c>
      <c r="C12" s="161"/>
      <c r="D12" s="161"/>
      <c r="E12" s="1190"/>
      <c r="F12" s="161"/>
      <c r="G12" s="161"/>
      <c r="H12" s="1190"/>
      <c r="I12" s="161"/>
      <c r="J12" s="135" t="s">
        <v>25</v>
      </c>
      <c r="K12" s="340"/>
      <c r="L12" s="340"/>
      <c r="M12" s="434"/>
      <c r="N12" s="185"/>
      <c r="P12" s="1350"/>
      <c r="R12" s="185"/>
    </row>
    <row r="13" spans="1:18" x14ac:dyDescent="0.2">
      <c r="A13" s="159">
        <f t="shared" ref="A13:A55" si="0">A12+1</f>
        <v>2</v>
      </c>
      <c r="B13" s="162" t="s">
        <v>35</v>
      </c>
      <c r="C13" s="116"/>
      <c r="D13" s="116"/>
      <c r="E13" s="425">
        <f>SUM(C13:D13)</f>
        <v>0</v>
      </c>
      <c r="F13" s="117"/>
      <c r="G13" s="117"/>
      <c r="H13" s="425">
        <f>F13+G13</f>
        <v>0</v>
      </c>
      <c r="I13" s="117"/>
      <c r="J13" s="136" t="s">
        <v>215</v>
      </c>
      <c r="K13" s="275">
        <v>86936</v>
      </c>
      <c r="L13" s="275">
        <v>10450</v>
      </c>
      <c r="M13" s="435">
        <f>SUM(K13:L13)</f>
        <v>97386</v>
      </c>
      <c r="N13" s="1406">
        <v>86936</v>
      </c>
      <c r="O13" s="1407">
        <v>10370</v>
      </c>
      <c r="P13" s="1413">
        <f>N13+O13</f>
        <v>97306</v>
      </c>
      <c r="Q13" s="1407">
        <f>P13/M13*100</f>
        <v>99.917852668761427</v>
      </c>
      <c r="R13" s="185"/>
    </row>
    <row r="14" spans="1:18" x14ac:dyDescent="0.2">
      <c r="A14" s="159">
        <f t="shared" si="0"/>
        <v>3</v>
      </c>
      <c r="B14" s="162" t="s">
        <v>36</v>
      </c>
      <c r="C14" s="116"/>
      <c r="D14" s="116"/>
      <c r="E14" s="425">
        <f>SUM(C14:D14)</f>
        <v>0</v>
      </c>
      <c r="F14" s="117"/>
      <c r="G14" s="117"/>
      <c r="H14" s="425">
        <f t="shared" ref="H14:H31" si="1">F14+G14</f>
        <v>0</v>
      </c>
      <c r="I14" s="117"/>
      <c r="J14" s="495" t="s">
        <v>216</v>
      </c>
      <c r="K14" s="275">
        <v>15778</v>
      </c>
      <c r="L14" s="275">
        <v>2721</v>
      </c>
      <c r="M14" s="435">
        <f>SUM(K14:L14)</f>
        <v>18499</v>
      </c>
      <c r="N14" s="1406">
        <v>15778</v>
      </c>
      <c r="O14" s="1407">
        <v>2657</v>
      </c>
      <c r="P14" s="1413">
        <f t="shared" ref="P14:P15" si="2">N14+O14</f>
        <v>18435</v>
      </c>
      <c r="Q14" s="1407">
        <f t="shared" ref="Q14:Q55" si="3">P14/M14*100</f>
        <v>99.654035353262344</v>
      </c>
      <c r="R14" s="185"/>
    </row>
    <row r="15" spans="1:18" x14ac:dyDescent="0.2">
      <c r="A15" s="159">
        <f t="shared" si="0"/>
        <v>4</v>
      </c>
      <c r="B15" s="162" t="s">
        <v>37</v>
      </c>
      <c r="C15" s="116"/>
      <c r="D15" s="116"/>
      <c r="E15" s="425">
        <f>SUM(C15:D15)</f>
        <v>0</v>
      </c>
      <c r="F15" s="117"/>
      <c r="G15" s="117"/>
      <c r="H15" s="425">
        <f t="shared" si="1"/>
        <v>0</v>
      </c>
      <c r="I15" s="117"/>
      <c r="J15" s="136" t="s">
        <v>217</v>
      </c>
      <c r="K15" s="275">
        <v>13873</v>
      </c>
      <c r="L15" s="275"/>
      <c r="M15" s="435">
        <f>SUM(K15:L15)</f>
        <v>13873</v>
      </c>
      <c r="N15" s="1406">
        <v>13803</v>
      </c>
      <c r="O15" s="1407"/>
      <c r="P15" s="1413">
        <f t="shared" si="2"/>
        <v>13803</v>
      </c>
      <c r="Q15" s="1407">
        <f t="shared" si="3"/>
        <v>99.495422763641599</v>
      </c>
      <c r="R15" s="185"/>
    </row>
    <row r="16" spans="1:18" ht="12" customHeight="1" x14ac:dyDescent="0.2">
      <c r="A16" s="159">
        <f t="shared" si="0"/>
        <v>5</v>
      </c>
      <c r="B16" s="125"/>
      <c r="C16" s="116"/>
      <c r="D16" s="116"/>
      <c r="E16" s="425"/>
      <c r="F16" s="117"/>
      <c r="G16" s="117"/>
      <c r="H16" s="425">
        <f t="shared" si="1"/>
        <v>0</v>
      </c>
      <c r="I16" s="117"/>
      <c r="J16" s="136"/>
      <c r="K16" s="287"/>
      <c r="L16" s="287"/>
      <c r="M16" s="436"/>
      <c r="N16" s="1406"/>
      <c r="O16" s="1407"/>
      <c r="P16" s="1413"/>
      <c r="Q16" s="1407"/>
      <c r="R16" s="185"/>
    </row>
    <row r="17" spans="1:18" x14ac:dyDescent="0.2">
      <c r="A17" s="159">
        <f t="shared" si="0"/>
        <v>6</v>
      </c>
      <c r="B17" s="162" t="s">
        <v>38</v>
      </c>
      <c r="C17" s="116"/>
      <c r="D17" s="116"/>
      <c r="E17" s="425">
        <f>SUM(C17:D17)</f>
        <v>0</v>
      </c>
      <c r="F17" s="117"/>
      <c r="G17" s="117"/>
      <c r="H17" s="425">
        <f t="shared" si="1"/>
        <v>0</v>
      </c>
      <c r="I17" s="117"/>
      <c r="J17" s="136" t="s">
        <v>28</v>
      </c>
      <c r="K17" s="282"/>
      <c r="L17" s="282"/>
      <c r="M17" s="437"/>
      <c r="N17" s="1406"/>
      <c r="O17" s="1407"/>
      <c r="P17" s="1413"/>
      <c r="Q17" s="1407"/>
      <c r="R17" s="185"/>
    </row>
    <row r="18" spans="1:18" x14ac:dyDescent="0.2">
      <c r="A18" s="159">
        <f t="shared" si="0"/>
        <v>7</v>
      </c>
      <c r="B18" s="162"/>
      <c r="C18" s="116"/>
      <c r="D18" s="116"/>
      <c r="E18" s="425"/>
      <c r="F18" s="117"/>
      <c r="G18" s="117"/>
      <c r="H18" s="425">
        <f t="shared" si="1"/>
        <v>0</v>
      </c>
      <c r="I18" s="117"/>
      <c r="J18" s="136" t="s">
        <v>30</v>
      </c>
      <c r="K18" s="282"/>
      <c r="L18" s="282"/>
      <c r="M18" s="437"/>
      <c r="N18" s="1406"/>
      <c r="O18" s="1407"/>
      <c r="P18" s="1413"/>
      <c r="Q18" s="1407"/>
      <c r="R18" s="185"/>
    </row>
    <row r="19" spans="1:18" x14ac:dyDescent="0.2">
      <c r="A19" s="159">
        <f t="shared" si="0"/>
        <v>8</v>
      </c>
      <c r="B19" s="162" t="s">
        <v>39</v>
      </c>
      <c r="C19" s="116"/>
      <c r="D19" s="116"/>
      <c r="E19" s="425">
        <f>SUM(C19:D19)</f>
        <v>0</v>
      </c>
      <c r="F19" s="117"/>
      <c r="G19" s="117"/>
      <c r="H19" s="425">
        <f t="shared" si="1"/>
        <v>0</v>
      </c>
      <c r="I19" s="117"/>
      <c r="J19" s="136" t="s">
        <v>445</v>
      </c>
      <c r="K19" s="282"/>
      <c r="L19" s="282"/>
      <c r="M19" s="437"/>
      <c r="N19" s="1406"/>
      <c r="O19" s="1407"/>
      <c r="P19" s="1413"/>
      <c r="Q19" s="1407"/>
      <c r="R19" s="185"/>
    </row>
    <row r="20" spans="1:18" x14ac:dyDescent="0.2">
      <c r="A20" s="159">
        <f t="shared" si="0"/>
        <v>9</v>
      </c>
      <c r="B20" s="165" t="s">
        <v>40</v>
      </c>
      <c r="C20" s="163"/>
      <c r="D20" s="163"/>
      <c r="E20" s="417"/>
      <c r="F20" s="163"/>
      <c r="G20" s="163"/>
      <c r="H20" s="425">
        <f t="shared" si="1"/>
        <v>0</v>
      </c>
      <c r="I20" s="117"/>
      <c r="J20" s="136" t="s">
        <v>444</v>
      </c>
      <c r="K20" s="282"/>
      <c r="L20" s="282"/>
      <c r="M20" s="437"/>
      <c r="N20" s="1406"/>
      <c r="O20" s="1407"/>
      <c r="P20" s="1413"/>
      <c r="Q20" s="1407"/>
      <c r="R20" s="185"/>
    </row>
    <row r="21" spans="1:18" x14ac:dyDescent="0.2">
      <c r="A21" s="159">
        <f t="shared" si="0"/>
        <v>10</v>
      </c>
      <c r="B21" s="114" t="s">
        <v>41</v>
      </c>
      <c r="C21" s="163">
        <v>0</v>
      </c>
      <c r="D21" s="163"/>
      <c r="E21" s="417">
        <f>SUM(C21:D21)</f>
        <v>0</v>
      </c>
      <c r="F21" s="163"/>
      <c r="G21" s="163">
        <v>4</v>
      </c>
      <c r="H21" s="425">
        <f t="shared" si="1"/>
        <v>4</v>
      </c>
      <c r="I21" s="1367"/>
      <c r="J21" s="153" t="s">
        <v>906</v>
      </c>
      <c r="K21" s="282"/>
      <c r="L21" s="282"/>
      <c r="M21" s="437"/>
      <c r="N21" s="1406"/>
      <c r="O21" s="1407"/>
      <c r="P21" s="1413"/>
      <c r="Q21" s="1407"/>
      <c r="R21" s="185"/>
    </row>
    <row r="22" spans="1:18" x14ac:dyDescent="0.2">
      <c r="A22" s="159">
        <f t="shared" si="0"/>
        <v>11</v>
      </c>
      <c r="C22" s="163"/>
      <c r="D22" s="163"/>
      <c r="E22" s="417"/>
      <c r="F22" s="163"/>
      <c r="G22" s="163"/>
      <c r="H22" s="425">
        <f t="shared" si="1"/>
        <v>0</v>
      </c>
      <c r="I22" s="1367"/>
      <c r="J22" s="117" t="s">
        <v>907</v>
      </c>
      <c r="K22" s="282"/>
      <c r="L22" s="282"/>
      <c r="M22" s="437"/>
      <c r="N22" s="1406"/>
      <c r="O22" s="1407"/>
      <c r="P22" s="1413"/>
      <c r="Q22" s="1407"/>
      <c r="R22" s="185"/>
    </row>
    <row r="23" spans="1:18" s="122" customFormat="1" x14ac:dyDescent="0.2">
      <c r="A23" s="159">
        <f t="shared" si="0"/>
        <v>12</v>
      </c>
      <c r="B23" s="152" t="s">
        <v>42</v>
      </c>
      <c r="C23" s="163"/>
      <c r="D23" s="163"/>
      <c r="E23" s="417"/>
      <c r="F23" s="163"/>
      <c r="G23" s="163"/>
      <c r="H23" s="425">
        <f t="shared" si="1"/>
        <v>0</v>
      </c>
      <c r="I23" s="1367"/>
      <c r="J23" s="117" t="s">
        <v>908</v>
      </c>
      <c r="K23" s="282"/>
      <c r="L23" s="282"/>
      <c r="M23" s="437"/>
      <c r="N23" s="1408"/>
      <c r="O23" s="1409"/>
      <c r="P23" s="1414"/>
      <c r="Q23" s="1407"/>
      <c r="R23" s="555"/>
    </row>
    <row r="24" spans="1:18" s="122" customFormat="1" x14ac:dyDescent="0.2">
      <c r="A24" s="159">
        <f t="shared" si="0"/>
        <v>13</v>
      </c>
      <c r="B24" s="152" t="s">
        <v>43</v>
      </c>
      <c r="C24" s="163"/>
      <c r="D24" s="163"/>
      <c r="E24" s="417"/>
      <c r="F24" s="163"/>
      <c r="G24" s="163"/>
      <c r="H24" s="425">
        <f t="shared" si="1"/>
        <v>0</v>
      </c>
      <c r="I24" s="117"/>
      <c r="J24" s="166"/>
      <c r="K24" s="282"/>
      <c r="L24" s="282"/>
      <c r="M24" s="437"/>
      <c r="N24" s="1408"/>
      <c r="O24" s="1409"/>
      <c r="P24" s="1414"/>
      <c r="Q24" s="1407"/>
      <c r="R24" s="555"/>
    </row>
    <row r="25" spans="1:18" x14ac:dyDescent="0.2">
      <c r="A25" s="159">
        <f t="shared" si="0"/>
        <v>14</v>
      </c>
      <c r="B25" s="162" t="s">
        <v>44</v>
      </c>
      <c r="C25" s="127"/>
      <c r="D25" s="127"/>
      <c r="E25" s="1412"/>
      <c r="F25" s="127"/>
      <c r="G25" s="127"/>
      <c r="H25" s="425">
        <f t="shared" si="1"/>
        <v>0</v>
      </c>
      <c r="I25" s="117"/>
      <c r="J25" s="167" t="s">
        <v>66</v>
      </c>
      <c r="K25" s="337">
        <f>SUM(K13:K23)</f>
        <v>116587</v>
      </c>
      <c r="L25" s="337">
        <f>SUM(L13:L23)</f>
        <v>13171</v>
      </c>
      <c r="M25" s="438">
        <f>SUM(M13:M23)</f>
        <v>129758</v>
      </c>
      <c r="N25" s="337">
        <f t="shared" ref="N25:P25" si="4">SUM(N13:N23)</f>
        <v>116517</v>
      </c>
      <c r="O25" s="337">
        <f t="shared" si="4"/>
        <v>13027</v>
      </c>
      <c r="P25" s="438">
        <f t="shared" si="4"/>
        <v>129544</v>
      </c>
      <c r="Q25" s="1407">
        <f t="shared" si="3"/>
        <v>99.835077606005029</v>
      </c>
      <c r="R25" s="185"/>
    </row>
    <row r="26" spans="1:18" x14ac:dyDescent="0.2">
      <c r="A26" s="159">
        <f t="shared" si="0"/>
        <v>15</v>
      </c>
      <c r="B26" s="162" t="s">
        <v>45</v>
      </c>
      <c r="C26" s="163"/>
      <c r="D26" s="163"/>
      <c r="E26" s="417"/>
      <c r="F26" s="163"/>
      <c r="G26" s="163"/>
      <c r="H26" s="425">
        <f t="shared" si="1"/>
        <v>0</v>
      </c>
      <c r="I26" s="117"/>
      <c r="J26" s="166"/>
      <c r="K26" s="282"/>
      <c r="L26" s="282"/>
      <c r="M26" s="437"/>
      <c r="N26" s="1406"/>
      <c r="O26" s="1407"/>
      <c r="P26" s="1413"/>
      <c r="Q26" s="1407"/>
      <c r="R26" s="185"/>
    </row>
    <row r="27" spans="1:18" x14ac:dyDescent="0.2">
      <c r="A27" s="159">
        <f t="shared" si="0"/>
        <v>16</v>
      </c>
      <c r="B27" s="114" t="s">
        <v>46</v>
      </c>
      <c r="C27" s="124"/>
      <c r="D27" s="124"/>
      <c r="E27" s="482"/>
      <c r="F27" s="124"/>
      <c r="G27" s="124"/>
      <c r="H27" s="425">
        <f t="shared" si="1"/>
        <v>0</v>
      </c>
      <c r="I27" s="117"/>
      <c r="J27" s="137" t="s">
        <v>34</v>
      </c>
      <c r="K27" s="339"/>
      <c r="L27" s="339"/>
      <c r="M27" s="437"/>
      <c r="N27" s="1406"/>
      <c r="O27" s="1407"/>
      <c r="P27" s="1413"/>
      <c r="Q27" s="1407"/>
      <c r="R27" s="185"/>
    </row>
    <row r="28" spans="1:18" x14ac:dyDescent="0.2">
      <c r="A28" s="159">
        <f t="shared" si="0"/>
        <v>17</v>
      </c>
      <c r="B28" s="162" t="s">
        <v>47</v>
      </c>
      <c r="C28" s="117"/>
      <c r="D28" s="117"/>
      <c r="E28" s="425"/>
      <c r="F28" s="117"/>
      <c r="G28" s="117"/>
      <c r="H28" s="425">
        <f t="shared" si="1"/>
        <v>0</v>
      </c>
      <c r="I28" s="117"/>
      <c r="J28" s="136" t="s">
        <v>226</v>
      </c>
      <c r="K28" s="282">
        <f>'felhalm. kiad.  '!H138</f>
        <v>2185</v>
      </c>
      <c r="L28" s="282">
        <f>'felhalm. kiad.  '!I138</f>
        <v>0</v>
      </c>
      <c r="M28" s="437">
        <f>SUM(K28:L28)</f>
        <v>2185</v>
      </c>
      <c r="N28" s="1406">
        <f>'felhalm. kiad.  '!K138</f>
        <v>2183</v>
      </c>
      <c r="O28" s="1453">
        <f>'felhalm. kiad.  '!L138</f>
        <v>0</v>
      </c>
      <c r="P28" s="1413">
        <f>N28+O28</f>
        <v>2183</v>
      </c>
      <c r="Q28" s="1407">
        <f t="shared" si="3"/>
        <v>99.908466819221957</v>
      </c>
      <c r="R28" s="185"/>
    </row>
    <row r="29" spans="1:18" x14ac:dyDescent="0.2">
      <c r="A29" s="159">
        <f t="shared" si="0"/>
        <v>18</v>
      </c>
      <c r="B29" s="162"/>
      <c r="C29" s="117"/>
      <c r="D29" s="117"/>
      <c r="E29" s="425"/>
      <c r="F29" s="117"/>
      <c r="G29" s="117"/>
      <c r="H29" s="425">
        <f t="shared" si="1"/>
        <v>0</v>
      </c>
      <c r="I29" s="117"/>
      <c r="J29" s="136" t="s">
        <v>31</v>
      </c>
      <c r="K29" s="282"/>
      <c r="L29" s="282"/>
      <c r="M29" s="437"/>
      <c r="N29" s="1406"/>
      <c r="O29" s="1407"/>
      <c r="P29" s="1413"/>
      <c r="Q29" s="1407"/>
      <c r="R29" s="185"/>
    </row>
    <row r="30" spans="1:18" x14ac:dyDescent="0.2">
      <c r="A30" s="159">
        <f t="shared" si="0"/>
        <v>19</v>
      </c>
      <c r="B30" s="152" t="s">
        <v>50</v>
      </c>
      <c r="C30" s="117"/>
      <c r="D30" s="117"/>
      <c r="E30" s="425"/>
      <c r="F30" s="117"/>
      <c r="G30" s="117"/>
      <c r="H30" s="425">
        <f t="shared" si="1"/>
        <v>0</v>
      </c>
      <c r="I30" s="117"/>
      <c r="J30" s="136" t="s">
        <v>32</v>
      </c>
      <c r="K30" s="282"/>
      <c r="L30" s="282"/>
      <c r="M30" s="437"/>
      <c r="N30" s="1406"/>
      <c r="O30" s="1407"/>
      <c r="P30" s="1413"/>
      <c r="Q30" s="1407"/>
      <c r="R30" s="185"/>
    </row>
    <row r="31" spans="1:18" s="122" customFormat="1" x14ac:dyDescent="0.2">
      <c r="A31" s="159">
        <f t="shared" si="0"/>
        <v>20</v>
      </c>
      <c r="B31" s="152" t="s">
        <v>48</v>
      </c>
      <c r="C31" s="117"/>
      <c r="D31" s="117"/>
      <c r="E31" s="425"/>
      <c r="F31" s="117"/>
      <c r="G31" s="117"/>
      <c r="H31" s="425">
        <f t="shared" si="1"/>
        <v>0</v>
      </c>
      <c r="I31" s="117"/>
      <c r="J31" s="136" t="s">
        <v>446</v>
      </c>
      <c r="K31" s="282"/>
      <c r="L31" s="282"/>
      <c r="M31" s="437"/>
      <c r="N31" s="1408"/>
      <c r="O31" s="1409"/>
      <c r="P31" s="1414"/>
      <c r="Q31" s="1407"/>
      <c r="R31" s="555"/>
    </row>
    <row r="32" spans="1:18" x14ac:dyDescent="0.2">
      <c r="A32" s="159">
        <f t="shared" si="0"/>
        <v>21</v>
      </c>
      <c r="C32" s="117"/>
      <c r="D32" s="117"/>
      <c r="E32" s="425"/>
      <c r="F32" s="117"/>
      <c r="G32" s="117"/>
      <c r="H32" s="425"/>
      <c r="I32" s="117"/>
      <c r="J32" s="136" t="s">
        <v>443</v>
      </c>
      <c r="K32" s="282"/>
      <c r="L32" s="282"/>
      <c r="M32" s="437"/>
      <c r="N32" s="1406"/>
      <c r="O32" s="1407"/>
      <c r="P32" s="1413"/>
      <c r="Q32" s="1407"/>
      <c r="R32" s="185"/>
    </row>
    <row r="33" spans="1:18" s="11" customFormat="1" x14ac:dyDescent="0.2">
      <c r="A33" s="159">
        <f t="shared" si="0"/>
        <v>22</v>
      </c>
      <c r="B33" s="169" t="s">
        <v>52</v>
      </c>
      <c r="C33" s="163">
        <f>C15+C21</f>
        <v>0</v>
      </c>
      <c r="D33" s="163">
        <f>D15+D21</f>
        <v>0</v>
      </c>
      <c r="E33" s="417">
        <f>E15+E21</f>
        <v>0</v>
      </c>
      <c r="F33" s="163">
        <f t="shared" ref="F33:H33" si="5">F15+F21</f>
        <v>0</v>
      </c>
      <c r="G33" s="163">
        <f t="shared" si="5"/>
        <v>4</v>
      </c>
      <c r="H33" s="417">
        <f t="shared" si="5"/>
        <v>4</v>
      </c>
      <c r="I33" s="117"/>
      <c r="J33" s="136" t="s">
        <v>439</v>
      </c>
      <c r="K33" s="280"/>
      <c r="L33" s="280"/>
      <c r="M33" s="437"/>
      <c r="N33" s="1410"/>
      <c r="O33" s="1411"/>
      <c r="P33" s="1415"/>
      <c r="Q33" s="1407"/>
      <c r="R33" s="472"/>
    </row>
    <row r="34" spans="1:18" x14ac:dyDescent="0.2">
      <c r="A34" s="159">
        <f t="shared" si="0"/>
        <v>23</v>
      </c>
      <c r="B34" s="170" t="s">
        <v>67</v>
      </c>
      <c r="C34" s="172"/>
      <c r="D34" s="172"/>
      <c r="E34" s="421"/>
      <c r="F34" s="172"/>
      <c r="G34" s="172"/>
      <c r="H34" s="421"/>
      <c r="I34" s="117"/>
      <c r="J34" s="171" t="s">
        <v>68</v>
      </c>
      <c r="K34" s="338">
        <f>SUM(K28:K33)</f>
        <v>2185</v>
      </c>
      <c r="L34" s="338">
        <f>SUM(L28:L33)</f>
        <v>0</v>
      </c>
      <c r="M34" s="439">
        <f>SUM(M28:M32)</f>
        <v>2185</v>
      </c>
      <c r="N34" s="338">
        <f t="shared" ref="N34:P34" si="6">SUM(N28:N33)</f>
        <v>2183</v>
      </c>
      <c r="O34" s="338">
        <f t="shared" si="6"/>
        <v>0</v>
      </c>
      <c r="P34" s="439">
        <f t="shared" si="6"/>
        <v>2183</v>
      </c>
      <c r="Q34" s="1407">
        <f t="shared" si="3"/>
        <v>99.908466819221957</v>
      </c>
      <c r="R34" s="185"/>
    </row>
    <row r="35" spans="1:18" x14ac:dyDescent="0.2">
      <c r="A35" s="159">
        <f t="shared" si="0"/>
        <v>24</v>
      </c>
      <c r="B35" s="173" t="s">
        <v>51</v>
      </c>
      <c r="C35" s="168">
        <f>SUM(C33:C34)</f>
        <v>0</v>
      </c>
      <c r="D35" s="168">
        <f>SUM(D33:D34)</f>
        <v>0</v>
      </c>
      <c r="E35" s="422">
        <f>SUM(C35:D35)</f>
        <v>0</v>
      </c>
      <c r="F35" s="168">
        <f t="shared" ref="F35:H35" si="7">SUM(F33:F34)</f>
        <v>0</v>
      </c>
      <c r="G35" s="168">
        <f t="shared" si="7"/>
        <v>4</v>
      </c>
      <c r="H35" s="422">
        <f t="shared" si="7"/>
        <v>4</v>
      </c>
      <c r="I35" s="117"/>
      <c r="J35" s="174" t="s">
        <v>69</v>
      </c>
      <c r="K35" s="339">
        <f>K25+K34</f>
        <v>118772</v>
      </c>
      <c r="L35" s="339">
        <f>L25+L34</f>
        <v>13171</v>
      </c>
      <c r="M35" s="420">
        <f>M25+M34</f>
        <v>131943</v>
      </c>
      <c r="N35" s="339">
        <f t="shared" ref="N35:P35" si="8">N25+N34</f>
        <v>118700</v>
      </c>
      <c r="O35" s="339">
        <f t="shared" si="8"/>
        <v>13027</v>
      </c>
      <c r="P35" s="420">
        <f t="shared" si="8"/>
        <v>131727</v>
      </c>
      <c r="Q35" s="1407">
        <f t="shared" si="3"/>
        <v>99.836292944680665</v>
      </c>
      <c r="R35" s="185"/>
    </row>
    <row r="36" spans="1:18" x14ac:dyDescent="0.2">
      <c r="A36" s="159">
        <f t="shared" si="0"/>
        <v>25</v>
      </c>
      <c r="B36" s="175"/>
      <c r="C36" s="164"/>
      <c r="D36" s="164"/>
      <c r="E36" s="419"/>
      <c r="F36" s="164"/>
      <c r="G36" s="164"/>
      <c r="H36" s="419"/>
      <c r="I36" s="117"/>
      <c r="J36" s="166"/>
      <c r="K36" s="282"/>
      <c r="L36" s="282"/>
      <c r="M36" s="437"/>
      <c r="N36" s="1406"/>
      <c r="O36" s="1407"/>
      <c r="P36" s="1413"/>
      <c r="Q36" s="1407"/>
      <c r="R36" s="185"/>
    </row>
    <row r="37" spans="1:18" x14ac:dyDescent="0.2">
      <c r="A37" s="159">
        <f t="shared" si="0"/>
        <v>26</v>
      </c>
      <c r="B37" s="175"/>
      <c r="C37" s="164"/>
      <c r="D37" s="164"/>
      <c r="E37" s="419"/>
      <c r="F37" s="164"/>
      <c r="G37" s="164"/>
      <c r="H37" s="419"/>
      <c r="I37" s="117"/>
      <c r="J37" s="167"/>
      <c r="K37" s="337"/>
      <c r="L37" s="337"/>
      <c r="M37" s="438"/>
      <c r="N37" s="1406"/>
      <c r="O37" s="1407"/>
      <c r="P37" s="1413"/>
      <c r="Q37" s="1407"/>
      <c r="R37" s="185"/>
    </row>
    <row r="38" spans="1:18" s="11" customFormat="1" x14ac:dyDescent="0.2">
      <c r="A38" s="159">
        <f t="shared" si="0"/>
        <v>27</v>
      </c>
      <c r="B38" s="175"/>
      <c r="C38" s="164"/>
      <c r="D38" s="164"/>
      <c r="E38" s="419"/>
      <c r="F38" s="164"/>
      <c r="G38" s="164"/>
      <c r="H38" s="419"/>
      <c r="I38" s="117"/>
      <c r="J38" s="166"/>
      <c r="K38" s="282"/>
      <c r="L38" s="282"/>
      <c r="M38" s="437"/>
      <c r="N38" s="1410"/>
      <c r="O38" s="1411"/>
      <c r="P38" s="1415"/>
      <c r="Q38" s="1407"/>
      <c r="R38" s="472"/>
    </row>
    <row r="39" spans="1:18" s="11" customFormat="1" x14ac:dyDescent="0.2">
      <c r="A39" s="721">
        <f t="shared" si="0"/>
        <v>28</v>
      </c>
      <c r="B39" s="124" t="s">
        <v>53</v>
      </c>
      <c r="C39" s="124"/>
      <c r="D39" s="124"/>
      <c r="E39" s="482"/>
      <c r="F39" s="124"/>
      <c r="G39" s="124"/>
      <c r="H39" s="482"/>
      <c r="I39" s="117"/>
      <c r="J39" s="137" t="s">
        <v>33</v>
      </c>
      <c r="K39" s="339"/>
      <c r="L39" s="339"/>
      <c r="M39" s="420"/>
      <c r="N39" s="1410"/>
      <c r="O39" s="1411"/>
      <c r="P39" s="1415"/>
      <c r="Q39" s="1407"/>
      <c r="R39" s="472"/>
    </row>
    <row r="40" spans="1:18" s="11" customFormat="1" x14ac:dyDescent="0.2">
      <c r="A40" s="159">
        <f t="shared" si="0"/>
        <v>29</v>
      </c>
      <c r="B40" s="133" t="s">
        <v>680</v>
      </c>
      <c r="C40" s="124"/>
      <c r="D40" s="124"/>
      <c r="E40" s="482"/>
      <c r="F40" s="124"/>
      <c r="G40" s="124"/>
      <c r="H40" s="482"/>
      <c r="I40" s="117"/>
      <c r="J40" s="176" t="s">
        <v>4</v>
      </c>
      <c r="K40" s="184"/>
      <c r="M40" s="440"/>
      <c r="N40" s="1410"/>
      <c r="O40" s="1411"/>
      <c r="P40" s="1415"/>
      <c r="Q40" s="1407"/>
      <c r="R40" s="472"/>
    </row>
    <row r="41" spans="1:18" s="11" customFormat="1" x14ac:dyDescent="0.2">
      <c r="A41" s="159">
        <f t="shared" si="0"/>
        <v>30</v>
      </c>
      <c r="B41" s="114" t="s">
        <v>938</v>
      </c>
      <c r="C41" s="124"/>
      <c r="D41" s="124"/>
      <c r="E41" s="482"/>
      <c r="F41" s="124"/>
      <c r="G41" s="124"/>
      <c r="H41" s="482"/>
      <c r="I41" s="117"/>
      <c r="J41" s="496" t="s">
        <v>3</v>
      </c>
      <c r="K41" s="339"/>
      <c r="L41" s="339"/>
      <c r="M41" s="420"/>
      <c r="N41" s="1410"/>
      <c r="O41" s="1411"/>
      <c r="P41" s="1415"/>
      <c r="Q41" s="1407"/>
      <c r="R41" s="472"/>
    </row>
    <row r="42" spans="1:18" x14ac:dyDescent="0.2">
      <c r="A42" s="159">
        <f t="shared" si="0"/>
        <v>31</v>
      </c>
      <c r="B42" s="116" t="s">
        <v>682</v>
      </c>
      <c r="C42" s="180"/>
      <c r="D42" s="180"/>
      <c r="E42" s="1353"/>
      <c r="F42" s="180"/>
      <c r="G42" s="180"/>
      <c r="H42" s="1353"/>
      <c r="I42" s="117"/>
      <c r="J42" s="136" t="s">
        <v>5</v>
      </c>
      <c r="K42" s="339"/>
      <c r="L42" s="339"/>
      <c r="M42" s="420"/>
      <c r="N42" s="1406"/>
      <c r="O42" s="1407"/>
      <c r="P42" s="1413"/>
      <c r="Q42" s="1407"/>
      <c r="R42" s="185"/>
    </row>
    <row r="43" spans="1:18" x14ac:dyDescent="0.2">
      <c r="A43" s="159">
        <f t="shared" si="0"/>
        <v>32</v>
      </c>
      <c r="B43" s="116" t="s">
        <v>207</v>
      </c>
      <c r="C43" s="117"/>
      <c r="D43" s="117"/>
      <c r="E43" s="425"/>
      <c r="F43" s="117"/>
      <c r="G43" s="117"/>
      <c r="H43" s="425"/>
      <c r="I43" s="117"/>
      <c r="J43" s="136" t="s">
        <v>6</v>
      </c>
      <c r="K43" s="184"/>
      <c r="L43" s="184"/>
      <c r="M43" s="420"/>
      <c r="N43" s="1406"/>
      <c r="O43" s="1407"/>
      <c r="P43" s="1413"/>
      <c r="Q43" s="1407"/>
      <c r="R43" s="185"/>
    </row>
    <row r="44" spans="1:18" x14ac:dyDescent="0.2">
      <c r="A44" s="159">
        <f t="shared" si="0"/>
        <v>33</v>
      </c>
      <c r="B44" s="494" t="s">
        <v>208</v>
      </c>
      <c r="C44" s="117">
        <v>43</v>
      </c>
      <c r="D44" s="117"/>
      <c r="E44" s="425">
        <f>C44+D44</f>
        <v>43</v>
      </c>
      <c r="F44" s="117">
        <v>43</v>
      </c>
      <c r="G44" s="117"/>
      <c r="H44" s="425">
        <f>F44+G44</f>
        <v>43</v>
      </c>
      <c r="I44" s="117">
        <f t="shared" ref="I44:I55" si="9">H44/E44*100</f>
        <v>100</v>
      </c>
      <c r="J44" s="136" t="s">
        <v>7</v>
      </c>
      <c r="K44" s="184"/>
      <c r="L44" s="184"/>
      <c r="M44" s="420"/>
      <c r="N44" s="1406"/>
      <c r="O44" s="1407"/>
      <c r="P44" s="1413"/>
      <c r="Q44" s="1407"/>
      <c r="R44" s="185"/>
    </row>
    <row r="45" spans="1:18" x14ac:dyDescent="0.2">
      <c r="A45" s="159">
        <f t="shared" si="0"/>
        <v>34</v>
      </c>
      <c r="B45" s="494" t="s">
        <v>935</v>
      </c>
      <c r="C45" s="117"/>
      <c r="D45" s="117"/>
      <c r="E45" s="425"/>
      <c r="F45" s="117"/>
      <c r="G45" s="117"/>
      <c r="H45" s="425"/>
      <c r="I45" s="117"/>
      <c r="J45" s="136"/>
      <c r="K45" s="184"/>
      <c r="L45" s="184"/>
      <c r="M45" s="420"/>
      <c r="N45" s="1406"/>
      <c r="O45" s="1407"/>
      <c r="P45" s="1413"/>
      <c r="Q45" s="1407"/>
      <c r="R45" s="185"/>
    </row>
    <row r="46" spans="1:18" x14ac:dyDescent="0.2">
      <c r="A46" s="159">
        <f t="shared" si="0"/>
        <v>35</v>
      </c>
      <c r="B46" s="117" t="s">
        <v>683</v>
      </c>
      <c r="C46" s="117"/>
      <c r="D46" s="117"/>
      <c r="E46" s="425"/>
      <c r="F46" s="117"/>
      <c r="G46" s="117"/>
      <c r="H46" s="425"/>
      <c r="I46" s="117"/>
      <c r="J46" s="136" t="s">
        <v>8</v>
      </c>
      <c r="K46" s="339"/>
      <c r="L46" s="339"/>
      <c r="M46" s="437"/>
      <c r="N46" s="1406"/>
      <c r="O46" s="1407"/>
      <c r="P46" s="1413"/>
      <c r="Q46" s="1407"/>
      <c r="R46" s="185"/>
    </row>
    <row r="47" spans="1:18" x14ac:dyDescent="0.2">
      <c r="A47" s="159">
        <f t="shared" si="0"/>
        <v>36</v>
      </c>
      <c r="B47" s="117" t="s">
        <v>684</v>
      </c>
      <c r="C47" s="124"/>
      <c r="D47" s="124"/>
      <c r="E47" s="482"/>
      <c r="F47" s="124"/>
      <c r="G47" s="124"/>
      <c r="H47" s="425"/>
      <c r="I47" s="117"/>
      <c r="J47" s="136" t="s">
        <v>9</v>
      </c>
      <c r="K47" s="339"/>
      <c r="L47" s="339"/>
      <c r="M47" s="437"/>
      <c r="N47" s="1406"/>
      <c r="O47" s="1407"/>
      <c r="P47" s="1413"/>
      <c r="Q47" s="1407"/>
      <c r="R47" s="185"/>
    </row>
    <row r="48" spans="1:18" x14ac:dyDescent="0.2">
      <c r="A48" s="159">
        <f t="shared" si="0"/>
        <v>37</v>
      </c>
      <c r="B48" s="116" t="s">
        <v>211</v>
      </c>
      <c r="C48" s="117"/>
      <c r="D48" s="117"/>
      <c r="E48" s="425"/>
      <c r="F48" s="117"/>
      <c r="G48" s="117"/>
      <c r="H48" s="425"/>
      <c r="I48" s="117"/>
      <c r="J48" s="136" t="s">
        <v>10</v>
      </c>
      <c r="K48" s="282"/>
      <c r="L48" s="282"/>
      <c r="M48" s="437"/>
      <c r="N48" s="1406"/>
      <c r="O48" s="1407"/>
      <c r="P48" s="1413"/>
      <c r="Q48" s="1407"/>
      <c r="R48" s="185"/>
    </row>
    <row r="49" spans="1:18" x14ac:dyDescent="0.2">
      <c r="A49" s="159">
        <f t="shared" si="0"/>
        <v>38</v>
      </c>
      <c r="B49" s="494" t="s">
        <v>212</v>
      </c>
      <c r="C49" s="117">
        <f>K25-(C35+C44)</f>
        <v>116544</v>
      </c>
      <c r="D49" s="117">
        <f>L25-(D35+D44)</f>
        <v>13171</v>
      </c>
      <c r="E49" s="425">
        <f>M25-(E35+E44)</f>
        <v>129715</v>
      </c>
      <c r="F49" s="117">
        <v>116566</v>
      </c>
      <c r="G49" s="117">
        <v>13027</v>
      </c>
      <c r="H49" s="425">
        <f t="shared" ref="H49:H50" si="10">F49+G49</f>
        <v>129593</v>
      </c>
      <c r="I49" s="117">
        <f t="shared" si="9"/>
        <v>99.905947654473266</v>
      </c>
      <c r="J49" s="136" t="s">
        <v>11</v>
      </c>
      <c r="K49" s="282"/>
      <c r="L49" s="282"/>
      <c r="M49" s="437"/>
      <c r="N49" s="1406"/>
      <c r="O49" s="1407"/>
      <c r="P49" s="1413"/>
      <c r="Q49" s="1407"/>
      <c r="R49" s="185"/>
    </row>
    <row r="50" spans="1:18" x14ac:dyDescent="0.2">
      <c r="A50" s="159">
        <f t="shared" si="0"/>
        <v>39</v>
      </c>
      <c r="B50" s="494" t="s">
        <v>213</v>
      </c>
      <c r="C50" s="117">
        <f>K34-C34</f>
        <v>2185</v>
      </c>
      <c r="D50" s="117"/>
      <c r="E50" s="425">
        <f>M34-E34</f>
        <v>2185</v>
      </c>
      <c r="F50" s="117">
        <v>2183</v>
      </c>
      <c r="G50" s="117"/>
      <c r="H50" s="425">
        <f t="shared" si="10"/>
        <v>2183</v>
      </c>
      <c r="I50" s="117">
        <f t="shared" si="9"/>
        <v>99.908466819221957</v>
      </c>
      <c r="J50" s="136" t="s">
        <v>12</v>
      </c>
      <c r="K50" s="282"/>
      <c r="L50" s="282"/>
      <c r="M50" s="437"/>
      <c r="N50" s="1406"/>
      <c r="O50" s="1407"/>
      <c r="P50" s="1413"/>
      <c r="Q50" s="1407"/>
      <c r="R50" s="185"/>
    </row>
    <row r="51" spans="1:18" x14ac:dyDescent="0.2">
      <c r="A51" s="159">
        <f t="shared" si="0"/>
        <v>40</v>
      </c>
      <c r="B51" s="116" t="s">
        <v>1</v>
      </c>
      <c r="C51" s="117"/>
      <c r="D51" s="117"/>
      <c r="E51" s="425"/>
      <c r="F51" s="117"/>
      <c r="G51" s="117"/>
      <c r="H51" s="425"/>
      <c r="I51" s="117"/>
      <c r="J51" s="136" t="s">
        <v>13</v>
      </c>
      <c r="K51" s="282"/>
      <c r="L51" s="282"/>
      <c r="M51" s="437"/>
      <c r="N51" s="1406"/>
      <c r="O51" s="1407"/>
      <c r="P51" s="1413"/>
      <c r="Q51" s="1407"/>
      <c r="R51" s="185"/>
    </row>
    <row r="52" spans="1:18" x14ac:dyDescent="0.2">
      <c r="A52" s="159">
        <f t="shared" si="0"/>
        <v>41</v>
      </c>
      <c r="B52" s="116"/>
      <c r="C52" s="117"/>
      <c r="D52" s="117"/>
      <c r="E52" s="425"/>
      <c r="F52" s="117"/>
      <c r="G52" s="117"/>
      <c r="H52" s="425"/>
      <c r="I52" s="117"/>
      <c r="J52" s="136" t="s">
        <v>14</v>
      </c>
      <c r="K52" s="282"/>
      <c r="L52" s="282"/>
      <c r="M52" s="437"/>
      <c r="N52" s="1406"/>
      <c r="O52" s="1407"/>
      <c r="P52" s="1413"/>
      <c r="Q52" s="1407"/>
      <c r="R52" s="185"/>
    </row>
    <row r="53" spans="1:18" x14ac:dyDescent="0.2">
      <c r="A53" s="159">
        <f t="shared" si="0"/>
        <v>42</v>
      </c>
      <c r="B53" s="116"/>
      <c r="C53" s="117"/>
      <c r="D53" s="117"/>
      <c r="E53" s="425"/>
      <c r="F53" s="117"/>
      <c r="G53" s="117"/>
      <c r="H53" s="425"/>
      <c r="I53" s="117"/>
      <c r="J53" s="136" t="s">
        <v>15</v>
      </c>
      <c r="K53" s="282"/>
      <c r="L53" s="282"/>
      <c r="M53" s="437"/>
      <c r="N53" s="1406"/>
      <c r="O53" s="1407"/>
      <c r="P53" s="1413"/>
      <c r="Q53" s="1407"/>
      <c r="R53" s="185"/>
    </row>
    <row r="54" spans="1:18" ht="12" thickBot="1" x14ac:dyDescent="0.25">
      <c r="A54" s="159">
        <f t="shared" si="0"/>
        <v>43</v>
      </c>
      <c r="B54" s="173" t="s">
        <v>447</v>
      </c>
      <c r="C54" s="124">
        <f>SUM(C40:C52)</f>
        <v>118772</v>
      </c>
      <c r="D54" s="124">
        <f>SUM(D40:D52)</f>
        <v>13171</v>
      </c>
      <c r="E54" s="482">
        <f>SUM(E40:E52)</f>
        <v>131943</v>
      </c>
      <c r="F54" s="124">
        <f t="shared" ref="F54:H54" si="11">SUM(F40:F52)</f>
        <v>118792</v>
      </c>
      <c r="G54" s="124">
        <f t="shared" si="11"/>
        <v>13027</v>
      </c>
      <c r="H54" s="1225">
        <f t="shared" si="11"/>
        <v>131819</v>
      </c>
      <c r="I54" s="1400">
        <f t="shared" si="9"/>
        <v>99.906020023798163</v>
      </c>
      <c r="J54" s="137" t="s">
        <v>440</v>
      </c>
      <c r="K54" s="339">
        <f>SUM(K40:K53)</f>
        <v>0</v>
      </c>
      <c r="L54" s="339">
        <f>SUM(L40:L53)</f>
        <v>0</v>
      </c>
      <c r="M54" s="420">
        <f>SUM(M40:M53)</f>
        <v>0</v>
      </c>
      <c r="N54" s="339">
        <f t="shared" ref="N54:P54" si="12">SUM(N40:N53)</f>
        <v>0</v>
      </c>
      <c r="O54" s="339">
        <f t="shared" si="12"/>
        <v>0</v>
      </c>
      <c r="P54" s="420">
        <f t="shared" si="12"/>
        <v>0</v>
      </c>
      <c r="Q54" s="1407"/>
      <c r="R54" s="185"/>
    </row>
    <row r="55" spans="1:18" ht="12" thickBot="1" x14ac:dyDescent="0.25">
      <c r="A55" s="846">
        <f t="shared" si="0"/>
        <v>44</v>
      </c>
      <c r="B55" s="1009" t="s">
        <v>442</v>
      </c>
      <c r="C55" s="293">
        <f>C35+C54</f>
        <v>118772</v>
      </c>
      <c r="D55" s="293">
        <f>D35+D54</f>
        <v>13171</v>
      </c>
      <c r="E55" s="842">
        <f>E35+E54</f>
        <v>131943</v>
      </c>
      <c r="F55" s="293">
        <f t="shared" ref="F55:H55" si="13">F35+F54</f>
        <v>118792</v>
      </c>
      <c r="G55" s="293">
        <f t="shared" si="13"/>
        <v>13031</v>
      </c>
      <c r="H55" s="293">
        <f t="shared" si="13"/>
        <v>131823</v>
      </c>
      <c r="I55" s="842">
        <f t="shared" si="9"/>
        <v>99.909051635933693</v>
      </c>
      <c r="J55" s="1008" t="s">
        <v>441</v>
      </c>
      <c r="K55" s="1007">
        <f>K35+K54</f>
        <v>118772</v>
      </c>
      <c r="L55" s="744">
        <f>L35+L54</f>
        <v>13171</v>
      </c>
      <c r="M55" s="745">
        <f>M35+M54</f>
        <v>131943</v>
      </c>
      <c r="N55" s="1007">
        <f t="shared" ref="N55:P55" si="14">N35+N54</f>
        <v>118700</v>
      </c>
      <c r="O55" s="1007">
        <f t="shared" si="14"/>
        <v>13027</v>
      </c>
      <c r="P55" s="1007">
        <f t="shared" si="14"/>
        <v>131727</v>
      </c>
      <c r="Q55" s="1416">
        <f t="shared" si="3"/>
        <v>99.836292944680665</v>
      </c>
      <c r="R55" s="185"/>
    </row>
    <row r="56" spans="1:18" x14ac:dyDescent="0.2">
      <c r="B56" s="178"/>
      <c r="C56" s="177"/>
      <c r="D56" s="177"/>
      <c r="E56" s="177"/>
      <c r="F56" s="177"/>
      <c r="G56" s="177"/>
      <c r="H56" s="177"/>
      <c r="I56" s="177"/>
      <c r="J56" s="177"/>
      <c r="K56" s="184"/>
      <c r="L56" s="184"/>
      <c r="M56" s="184"/>
      <c r="N56" s="10"/>
      <c r="Q56" s="1288"/>
    </row>
  </sheetData>
  <sheetProtection selectLockedCells="1" selectUnlockedCells="1"/>
  <mergeCells count="19">
    <mergeCell ref="B1:Q1"/>
    <mergeCell ref="N9:Q9"/>
    <mergeCell ref="N10:P10"/>
    <mergeCell ref="Q10:Q11"/>
    <mergeCell ref="B8:Q8"/>
    <mergeCell ref="B5:Q5"/>
    <mergeCell ref="B6:Q6"/>
    <mergeCell ref="B7:Q7"/>
    <mergeCell ref="K10:M10"/>
    <mergeCell ref="K9:M9"/>
    <mergeCell ref="B4:Q4"/>
    <mergeCell ref="A9:A11"/>
    <mergeCell ref="B9:B10"/>
    <mergeCell ref="C9:E9"/>
    <mergeCell ref="J9:J10"/>
    <mergeCell ref="C10:E10"/>
    <mergeCell ref="F9:I9"/>
    <mergeCell ref="F10:H10"/>
    <mergeCell ref="I10:I11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61"/>
  <sheetViews>
    <sheetView topLeftCell="C1" workbookViewId="0">
      <selection activeCell="C1" sqref="C1:Q1"/>
    </sheetView>
  </sheetViews>
  <sheetFormatPr defaultColWidth="9.140625" defaultRowHeight="11.25" x14ac:dyDescent="0.2"/>
  <cols>
    <col min="1" max="1" width="4.85546875" style="152" customWidth="1"/>
    <col min="2" max="2" width="38.28515625" style="152" customWidth="1"/>
    <col min="3" max="5" width="11.5703125" style="153" customWidth="1"/>
    <col min="6" max="6" width="11.7109375" style="153" customWidth="1"/>
    <col min="7" max="8" width="11.5703125" style="153" customWidth="1"/>
    <col min="9" max="9" width="7.42578125" style="153" customWidth="1"/>
    <col min="10" max="10" width="38" style="153" customWidth="1"/>
    <col min="11" max="11" width="11.5703125" style="153" customWidth="1"/>
    <col min="12" max="13" width="11.5703125" style="280" customWidth="1"/>
    <col min="14" max="14" width="11.5703125" style="152" customWidth="1"/>
    <col min="15" max="16" width="11.5703125" style="10" customWidth="1"/>
    <col min="17" max="17" width="7.42578125" style="10" customWidth="1"/>
    <col min="18" max="16384" width="9.140625" style="10"/>
  </cols>
  <sheetData>
    <row r="1" spans="1:18" ht="12.75" customHeight="1" x14ac:dyDescent="0.2">
      <c r="C1" s="1816" t="s">
        <v>2077</v>
      </c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18" x14ac:dyDescent="0.2">
      <c r="M2" s="334"/>
    </row>
    <row r="3" spans="1:18" x14ac:dyDescent="0.2">
      <c r="M3" s="334"/>
    </row>
    <row r="4" spans="1:18" s="120" customFormat="1" x14ac:dyDescent="0.2">
      <c r="A4" s="155"/>
      <c r="B4" s="1823" t="s">
        <v>77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</row>
    <row r="5" spans="1:18" s="120" customFormat="1" x14ac:dyDescent="0.2">
      <c r="A5" s="155"/>
      <c r="B5" s="1964" t="s">
        <v>1359</v>
      </c>
      <c r="C5" s="1964"/>
      <c r="D5" s="1964"/>
      <c r="E5" s="1964"/>
      <c r="F5" s="1964"/>
      <c r="G5" s="1964"/>
      <c r="H5" s="1964"/>
      <c r="I5" s="1964"/>
      <c r="J5" s="1964"/>
      <c r="K5" s="1964"/>
      <c r="L5" s="1964"/>
      <c r="M5" s="1964"/>
      <c r="N5" s="1964"/>
      <c r="O5" s="1964"/>
      <c r="P5" s="1964"/>
      <c r="Q5" s="1964"/>
    </row>
    <row r="6" spans="1:18" s="120" customFormat="1" x14ac:dyDescent="0.2">
      <c r="A6" s="155"/>
      <c r="B6" s="1964" t="s">
        <v>1366</v>
      </c>
      <c r="C6" s="1964"/>
      <c r="D6" s="1964"/>
      <c r="E6" s="1964"/>
      <c r="F6" s="1964"/>
      <c r="G6" s="1964"/>
      <c r="H6" s="1964"/>
      <c r="I6" s="1964"/>
      <c r="J6" s="1964"/>
      <c r="K6" s="1964"/>
      <c r="L6" s="1964"/>
      <c r="M6" s="1964"/>
      <c r="N6" s="1964"/>
      <c r="O6" s="1964"/>
      <c r="P6" s="1964"/>
      <c r="Q6" s="1964"/>
    </row>
    <row r="7" spans="1:18" s="120" customFormat="1" ht="12.75" customHeight="1" x14ac:dyDescent="0.2">
      <c r="A7" s="155"/>
      <c r="B7" s="1957" t="s">
        <v>1107</v>
      </c>
      <c r="C7" s="1957"/>
      <c r="D7" s="1957"/>
      <c r="E7" s="1957"/>
      <c r="F7" s="1957"/>
      <c r="G7" s="1957"/>
      <c r="H7" s="1957"/>
      <c r="I7" s="1957"/>
      <c r="J7" s="1957"/>
      <c r="K7" s="1957"/>
      <c r="L7" s="1957"/>
      <c r="M7" s="1957"/>
      <c r="N7" s="1957"/>
      <c r="O7" s="1957"/>
      <c r="P7" s="1957"/>
      <c r="Q7" s="1957"/>
    </row>
    <row r="8" spans="1:18" s="120" customFormat="1" x14ac:dyDescent="0.2">
      <c r="A8" s="155"/>
      <c r="B8" s="1824" t="s">
        <v>302</v>
      </c>
      <c r="C8" s="1824"/>
      <c r="D8" s="1824"/>
      <c r="E8" s="1824"/>
      <c r="F8" s="1824"/>
      <c r="G8" s="1824"/>
      <c r="H8" s="1824"/>
      <c r="I8" s="1824"/>
      <c r="J8" s="1824"/>
      <c r="K8" s="1824"/>
      <c r="L8" s="1824"/>
      <c r="M8" s="1824"/>
      <c r="N8" s="1824"/>
      <c r="O8" s="1824"/>
      <c r="P8" s="1824"/>
      <c r="Q8" s="1824"/>
    </row>
    <row r="9" spans="1:18" s="120" customFormat="1" ht="12.75" customHeight="1" x14ac:dyDescent="0.2">
      <c r="A9" s="1829" t="s">
        <v>56</v>
      </c>
      <c r="B9" s="1828" t="s">
        <v>57</v>
      </c>
      <c r="C9" s="1827" t="s">
        <v>58</v>
      </c>
      <c r="D9" s="1828"/>
      <c r="E9" s="1892"/>
      <c r="F9" s="1834" t="s">
        <v>59</v>
      </c>
      <c r="G9" s="1834"/>
      <c r="H9" s="1834"/>
      <c r="I9" s="1835"/>
      <c r="J9" s="1851" t="s">
        <v>59</v>
      </c>
      <c r="K9" s="1845" t="s">
        <v>60</v>
      </c>
      <c r="L9" s="1846"/>
      <c r="M9" s="1846"/>
      <c r="N9" s="2067" t="s">
        <v>470</v>
      </c>
      <c r="O9" s="2067"/>
      <c r="P9" s="2067"/>
      <c r="Q9" s="2067"/>
    </row>
    <row r="10" spans="1:18" s="120" customFormat="1" ht="12.75" customHeight="1" x14ac:dyDescent="0.2">
      <c r="A10" s="1829"/>
      <c r="B10" s="1828"/>
      <c r="C10" s="1826" t="s">
        <v>1103</v>
      </c>
      <c r="D10" s="1992"/>
      <c r="E10" s="2066"/>
      <c r="F10" s="1817" t="s">
        <v>1355</v>
      </c>
      <c r="G10" s="1818"/>
      <c r="H10" s="1819"/>
      <c r="I10" s="1820" t="s">
        <v>1357</v>
      </c>
      <c r="J10" s="1851"/>
      <c r="K10" s="1839" t="s">
        <v>1103</v>
      </c>
      <c r="L10" s="2068"/>
      <c r="M10" s="2069"/>
      <c r="N10" s="1817" t="s">
        <v>1355</v>
      </c>
      <c r="O10" s="1818"/>
      <c r="P10" s="1819"/>
      <c r="Q10" s="1820" t="s">
        <v>1357</v>
      </c>
    </row>
    <row r="11" spans="1:18" s="121" customFormat="1" ht="36.6" customHeight="1" x14ac:dyDescent="0.2">
      <c r="A11" s="1829"/>
      <c r="B11" s="156" t="s">
        <v>61</v>
      </c>
      <c r="C11" s="132" t="s">
        <v>62</v>
      </c>
      <c r="D11" s="132" t="s">
        <v>63</v>
      </c>
      <c r="E11" s="1419" t="s">
        <v>64</v>
      </c>
      <c r="F11" s="1418" t="s">
        <v>62</v>
      </c>
      <c r="G11" s="132" t="s">
        <v>63</v>
      </c>
      <c r="H11" s="1352" t="s">
        <v>1356</v>
      </c>
      <c r="I11" s="1965"/>
      <c r="J11" s="578" t="s">
        <v>65</v>
      </c>
      <c r="K11" s="132" t="s">
        <v>62</v>
      </c>
      <c r="L11" s="335" t="s">
        <v>63</v>
      </c>
      <c r="M11" s="335" t="s">
        <v>64</v>
      </c>
      <c r="N11" s="132" t="s">
        <v>62</v>
      </c>
      <c r="O11" s="1348" t="s">
        <v>63</v>
      </c>
      <c r="P11" s="157" t="s">
        <v>1356</v>
      </c>
      <c r="Q11" s="1837"/>
      <c r="R11" s="554"/>
    </row>
    <row r="12" spans="1:18" ht="11.45" customHeight="1" x14ac:dyDescent="0.2">
      <c r="A12" s="159">
        <v>1</v>
      </c>
      <c r="B12" s="160" t="s">
        <v>24</v>
      </c>
      <c r="C12" s="161"/>
      <c r="D12" s="161"/>
      <c r="E12" s="1190"/>
      <c r="F12" s="161"/>
      <c r="G12" s="161"/>
      <c r="H12" s="1190"/>
      <c r="I12" s="161"/>
      <c r="J12" s="135" t="s">
        <v>25</v>
      </c>
      <c r="K12" s="161"/>
      <c r="L12" s="340"/>
      <c r="M12" s="434"/>
      <c r="N12" s="10"/>
      <c r="P12" s="1350"/>
      <c r="R12" s="185"/>
    </row>
    <row r="13" spans="1:18" x14ac:dyDescent="0.2">
      <c r="A13" s="159">
        <f t="shared" ref="A13:A55" si="0">A12+1</f>
        <v>2</v>
      </c>
      <c r="B13" s="162" t="s">
        <v>35</v>
      </c>
      <c r="C13" s="116"/>
      <c r="D13" s="116"/>
      <c r="E13" s="425">
        <f t="shared" ref="E13:E19" si="1">SUM(C13:D13)</f>
        <v>0</v>
      </c>
      <c r="F13" s="117"/>
      <c r="G13" s="117"/>
      <c r="H13" s="425"/>
      <c r="I13" s="117"/>
      <c r="J13" s="136" t="s">
        <v>215</v>
      </c>
      <c r="K13" s="275">
        <v>27602</v>
      </c>
      <c r="L13" s="275">
        <v>63018</v>
      </c>
      <c r="M13" s="435">
        <f>SUM(K13:L13)</f>
        <v>90620</v>
      </c>
      <c r="N13" s="280">
        <v>27447</v>
      </c>
      <c r="O13" s="280">
        <v>63000</v>
      </c>
      <c r="P13" s="437">
        <f>N13+O13</f>
        <v>90447</v>
      </c>
      <c r="Q13" s="280">
        <f>P13/M13*100</f>
        <v>99.809092915471197</v>
      </c>
      <c r="R13" s="185"/>
    </row>
    <row r="14" spans="1:18" x14ac:dyDescent="0.2">
      <c r="A14" s="159">
        <f t="shared" si="0"/>
        <v>3</v>
      </c>
      <c r="B14" s="162" t="s">
        <v>36</v>
      </c>
      <c r="C14" s="116"/>
      <c r="D14" s="116"/>
      <c r="E14" s="425">
        <f t="shared" si="1"/>
        <v>0</v>
      </c>
      <c r="F14" s="117"/>
      <c r="G14" s="117"/>
      <c r="H14" s="425">
        <f>F14+G14</f>
        <v>0</v>
      </c>
      <c r="I14" s="117"/>
      <c r="J14" s="136" t="s">
        <v>216</v>
      </c>
      <c r="K14" s="275">
        <v>5263</v>
      </c>
      <c r="L14" s="275">
        <v>13011</v>
      </c>
      <c r="M14" s="435">
        <f>SUM(K14:L14)</f>
        <v>18274</v>
      </c>
      <c r="N14" s="280">
        <v>5262</v>
      </c>
      <c r="O14" s="280">
        <v>13009</v>
      </c>
      <c r="P14" s="437">
        <f t="shared" ref="P14:P15" si="2">N14+O14</f>
        <v>18271</v>
      </c>
      <c r="Q14" s="280">
        <f t="shared" ref="Q14:Q55" si="3">P14/M14*100</f>
        <v>99.983583233008645</v>
      </c>
      <c r="R14" s="185"/>
    </row>
    <row r="15" spans="1:18" x14ac:dyDescent="0.2">
      <c r="A15" s="159">
        <f t="shared" si="0"/>
        <v>4</v>
      </c>
      <c r="B15" s="162" t="s">
        <v>37</v>
      </c>
      <c r="C15" s="116">
        <v>0</v>
      </c>
      <c r="D15" s="116">
        <f>'tám, végl. pe.átv  '!D59</f>
        <v>140</v>
      </c>
      <c r="E15" s="425">
        <f t="shared" si="1"/>
        <v>140</v>
      </c>
      <c r="F15" s="117">
        <f>'tám, végl. pe.átv  '!F60</f>
        <v>0</v>
      </c>
      <c r="G15" s="117">
        <f>'tám, végl. pe.átv  '!G60</f>
        <v>140</v>
      </c>
      <c r="H15" s="425">
        <f t="shared" ref="H15:H30" si="4">F15+G15</f>
        <v>140</v>
      </c>
      <c r="I15" s="117">
        <f t="shared" ref="I15:I55" si="5">H15/E15*100</f>
        <v>100</v>
      </c>
      <c r="J15" s="136" t="s">
        <v>217</v>
      </c>
      <c r="K15" s="275">
        <v>58785</v>
      </c>
      <c r="L15" s="275">
        <v>122304</v>
      </c>
      <c r="M15" s="435">
        <f>SUM(K15:L15)</f>
        <v>181089</v>
      </c>
      <c r="N15" s="280">
        <v>58733</v>
      </c>
      <c r="O15" s="280">
        <v>122287</v>
      </c>
      <c r="P15" s="437">
        <f t="shared" si="2"/>
        <v>181020</v>
      </c>
      <c r="Q15" s="280">
        <f t="shared" si="3"/>
        <v>99.961897188675181</v>
      </c>
      <c r="R15" s="185"/>
    </row>
    <row r="16" spans="1:18" ht="12" customHeight="1" x14ac:dyDescent="0.2">
      <c r="A16" s="159">
        <f t="shared" si="0"/>
        <v>5</v>
      </c>
      <c r="B16" s="125"/>
      <c r="C16" s="116"/>
      <c r="D16" s="116"/>
      <c r="E16" s="425"/>
      <c r="F16" s="117"/>
      <c r="G16" s="117"/>
      <c r="H16" s="425"/>
      <c r="I16" s="117"/>
      <c r="J16" s="136"/>
      <c r="K16" s="287"/>
      <c r="L16" s="287"/>
      <c r="M16" s="436"/>
      <c r="N16" s="280"/>
      <c r="O16" s="280"/>
      <c r="P16" s="437"/>
      <c r="Q16" s="280"/>
      <c r="R16" s="185"/>
    </row>
    <row r="17" spans="1:18" x14ac:dyDescent="0.2">
      <c r="A17" s="159">
        <f t="shared" si="0"/>
        <v>6</v>
      </c>
      <c r="B17" s="162" t="s">
        <v>38</v>
      </c>
      <c r="C17" s="116"/>
      <c r="D17" s="116"/>
      <c r="E17" s="425">
        <f t="shared" si="1"/>
        <v>0</v>
      </c>
      <c r="F17" s="117"/>
      <c r="G17" s="117"/>
      <c r="H17" s="425">
        <f t="shared" si="4"/>
        <v>0</v>
      </c>
      <c r="I17" s="117"/>
      <c r="J17" s="136" t="s">
        <v>28</v>
      </c>
      <c r="K17" s="164"/>
      <c r="L17" s="282"/>
      <c r="M17" s="437"/>
      <c r="N17" s="280"/>
      <c r="O17" s="280"/>
      <c r="P17" s="437"/>
      <c r="Q17" s="280"/>
      <c r="R17" s="185"/>
    </row>
    <row r="18" spans="1:18" x14ac:dyDescent="0.2">
      <c r="A18" s="159">
        <f t="shared" si="0"/>
        <v>7</v>
      </c>
      <c r="B18" s="162"/>
      <c r="C18" s="116"/>
      <c r="D18" s="116"/>
      <c r="E18" s="425"/>
      <c r="F18" s="117"/>
      <c r="G18" s="117"/>
      <c r="H18" s="425"/>
      <c r="I18" s="117"/>
      <c r="J18" s="136" t="s">
        <v>30</v>
      </c>
      <c r="K18" s="164"/>
      <c r="L18" s="282"/>
      <c r="M18" s="437"/>
      <c r="N18" s="280"/>
      <c r="O18" s="280"/>
      <c r="P18" s="437"/>
      <c r="Q18" s="280"/>
      <c r="R18" s="185"/>
    </row>
    <row r="19" spans="1:18" x14ac:dyDescent="0.2">
      <c r="A19" s="159">
        <f t="shared" si="0"/>
        <v>8</v>
      </c>
      <c r="B19" s="162" t="s">
        <v>39</v>
      </c>
      <c r="C19" s="116"/>
      <c r="D19" s="116"/>
      <c r="E19" s="425">
        <f t="shared" si="1"/>
        <v>0</v>
      </c>
      <c r="F19" s="117"/>
      <c r="G19" s="117"/>
      <c r="H19" s="425">
        <f t="shared" si="4"/>
        <v>0</v>
      </c>
      <c r="I19" s="117"/>
      <c r="J19" s="136" t="s">
        <v>445</v>
      </c>
      <c r="K19" s="164"/>
      <c r="L19" s="282"/>
      <c r="M19" s="437"/>
      <c r="N19" s="280"/>
      <c r="O19" s="280"/>
      <c r="P19" s="437"/>
      <c r="Q19" s="280"/>
      <c r="R19" s="185"/>
    </row>
    <row r="20" spans="1:18" x14ac:dyDescent="0.2">
      <c r="A20" s="159">
        <f t="shared" si="0"/>
        <v>9</v>
      </c>
      <c r="B20" s="165" t="s">
        <v>40</v>
      </c>
      <c r="C20" s="163"/>
      <c r="D20" s="163"/>
      <c r="E20" s="417"/>
      <c r="F20" s="163"/>
      <c r="G20" s="163"/>
      <c r="H20" s="425"/>
      <c r="I20" s="117"/>
      <c r="J20" s="136" t="s">
        <v>444</v>
      </c>
      <c r="K20" s="164"/>
      <c r="L20" s="282"/>
      <c r="M20" s="437"/>
      <c r="N20" s="280"/>
      <c r="O20" s="280"/>
      <c r="P20" s="437"/>
      <c r="Q20" s="280"/>
      <c r="R20" s="185"/>
    </row>
    <row r="21" spans="1:18" x14ac:dyDescent="0.2">
      <c r="A21" s="159">
        <f t="shared" si="0"/>
        <v>10</v>
      </c>
      <c r="B21" s="114" t="s">
        <v>194</v>
      </c>
      <c r="C21" s="336">
        <v>74330</v>
      </c>
      <c r="D21" s="336">
        <v>40227</v>
      </c>
      <c r="E21" s="417">
        <f>SUM(C21:D21)</f>
        <v>114557</v>
      </c>
      <c r="F21" s="163">
        <v>80367</v>
      </c>
      <c r="G21" s="163">
        <v>40223</v>
      </c>
      <c r="H21" s="425">
        <f t="shared" si="4"/>
        <v>120590</v>
      </c>
      <c r="I21" s="117">
        <f t="shared" si="5"/>
        <v>105.26637394484841</v>
      </c>
      <c r="J21" s="136" t="s">
        <v>905</v>
      </c>
      <c r="K21" s="164"/>
      <c r="L21" s="282"/>
      <c r="M21" s="437">
        <f>K21+L21</f>
        <v>0</v>
      </c>
      <c r="N21" s="280"/>
      <c r="O21" s="280"/>
      <c r="P21" s="437"/>
      <c r="Q21" s="280"/>
      <c r="R21" s="185"/>
    </row>
    <row r="22" spans="1:18" x14ac:dyDescent="0.2">
      <c r="A22" s="159">
        <f t="shared" si="0"/>
        <v>11</v>
      </c>
      <c r="C22" s="163"/>
      <c r="D22" s="163"/>
      <c r="E22" s="417"/>
      <c r="F22" s="163"/>
      <c r="G22" s="163"/>
      <c r="H22" s="425"/>
      <c r="I22" s="117"/>
      <c r="J22" s="136" t="s">
        <v>437</v>
      </c>
      <c r="K22" s="164"/>
      <c r="L22" s="282"/>
      <c r="M22" s="437"/>
      <c r="N22" s="280"/>
      <c r="O22" s="280"/>
      <c r="P22" s="437"/>
      <c r="Q22" s="280"/>
      <c r="R22" s="185"/>
    </row>
    <row r="23" spans="1:18" s="122" customFormat="1" x14ac:dyDescent="0.2">
      <c r="A23" s="159">
        <f t="shared" si="0"/>
        <v>12</v>
      </c>
      <c r="B23" s="152" t="s">
        <v>42</v>
      </c>
      <c r="C23" s="163"/>
      <c r="D23" s="163"/>
      <c r="E23" s="417"/>
      <c r="F23" s="163"/>
      <c r="G23" s="163"/>
      <c r="H23" s="425">
        <f t="shared" si="4"/>
        <v>0</v>
      </c>
      <c r="I23" s="117"/>
      <c r="J23" s="136" t="s">
        <v>438</v>
      </c>
      <c r="K23" s="164"/>
      <c r="L23" s="282"/>
      <c r="M23" s="437"/>
      <c r="N23" s="1267"/>
      <c r="O23" s="1267"/>
      <c r="P23" s="439"/>
      <c r="Q23" s="280"/>
      <c r="R23" s="555"/>
    </row>
    <row r="24" spans="1:18" s="122" customFormat="1" x14ac:dyDescent="0.2">
      <c r="A24" s="159">
        <f t="shared" si="0"/>
        <v>13</v>
      </c>
      <c r="B24" s="152" t="s">
        <v>43</v>
      </c>
      <c r="C24" s="163"/>
      <c r="D24" s="163"/>
      <c r="E24" s="417"/>
      <c r="F24" s="163"/>
      <c r="G24" s="163"/>
      <c r="H24" s="425">
        <f t="shared" si="4"/>
        <v>0</v>
      </c>
      <c r="I24" s="117"/>
      <c r="J24" s="166"/>
      <c r="K24" s="164"/>
      <c r="L24" s="282"/>
      <c r="M24" s="437"/>
      <c r="N24" s="1267"/>
      <c r="O24" s="1267"/>
      <c r="P24" s="439"/>
      <c r="Q24" s="280"/>
      <c r="R24" s="555"/>
    </row>
    <row r="25" spans="1:18" x14ac:dyDescent="0.2">
      <c r="A25" s="159">
        <f t="shared" si="0"/>
        <v>14</v>
      </c>
      <c r="B25" s="162" t="s">
        <v>44</v>
      </c>
      <c r="C25" s="127"/>
      <c r="D25" s="127"/>
      <c r="E25" s="1412"/>
      <c r="F25" s="127"/>
      <c r="G25" s="127"/>
      <c r="H25" s="425">
        <f t="shared" si="4"/>
        <v>0</v>
      </c>
      <c r="I25" s="117"/>
      <c r="J25" s="167" t="s">
        <v>66</v>
      </c>
      <c r="K25" s="123">
        <f>SUM(K13:K23)</f>
        <v>91650</v>
      </c>
      <c r="L25" s="337">
        <f>SUM(L13:L23)</f>
        <v>198333</v>
      </c>
      <c r="M25" s="438">
        <f>SUM(M13:M23)</f>
        <v>289983</v>
      </c>
      <c r="N25" s="123">
        <f t="shared" ref="N25:P25" si="6">SUM(N13:N23)</f>
        <v>91442</v>
      </c>
      <c r="O25" s="123">
        <f t="shared" si="6"/>
        <v>198296</v>
      </c>
      <c r="P25" s="418">
        <f t="shared" si="6"/>
        <v>289738</v>
      </c>
      <c r="Q25" s="280">
        <f t="shared" si="3"/>
        <v>99.915512288651414</v>
      </c>
      <c r="R25" s="185"/>
    </row>
    <row r="26" spans="1:18" x14ac:dyDescent="0.2">
      <c r="A26" s="159">
        <f t="shared" si="0"/>
        <v>15</v>
      </c>
      <c r="B26" s="162" t="s">
        <v>45</v>
      </c>
      <c r="C26" s="163"/>
      <c r="D26" s="163"/>
      <c r="E26" s="417"/>
      <c r="F26" s="163"/>
      <c r="G26" s="163"/>
      <c r="H26" s="425">
        <f t="shared" si="4"/>
        <v>0</v>
      </c>
      <c r="I26" s="117"/>
      <c r="J26" s="166"/>
      <c r="K26" s="164"/>
      <c r="L26" s="282"/>
      <c r="M26" s="437"/>
      <c r="N26" s="280"/>
      <c r="O26" s="280"/>
      <c r="P26" s="437"/>
      <c r="Q26" s="280"/>
      <c r="R26" s="185"/>
    </row>
    <row r="27" spans="1:18" x14ac:dyDescent="0.2">
      <c r="A27" s="159">
        <f t="shared" si="0"/>
        <v>16</v>
      </c>
      <c r="B27" s="114" t="s">
        <v>46</v>
      </c>
      <c r="C27" s="124"/>
      <c r="D27" s="124"/>
      <c r="E27" s="482"/>
      <c r="F27" s="124"/>
      <c r="G27" s="124"/>
      <c r="H27" s="425">
        <f t="shared" si="4"/>
        <v>0</v>
      </c>
      <c r="I27" s="117"/>
      <c r="J27" s="137" t="s">
        <v>34</v>
      </c>
      <c r="K27" s="168"/>
      <c r="L27" s="339"/>
      <c r="M27" s="437"/>
      <c r="N27" s="280"/>
      <c r="O27" s="280"/>
      <c r="P27" s="437"/>
      <c r="Q27" s="280"/>
      <c r="R27" s="185"/>
    </row>
    <row r="28" spans="1:18" x14ac:dyDescent="0.2">
      <c r="A28" s="159">
        <f t="shared" si="0"/>
        <v>17</v>
      </c>
      <c r="B28" s="162" t="s">
        <v>47</v>
      </c>
      <c r="C28" s="117"/>
      <c r="D28" s="117"/>
      <c r="E28" s="425"/>
      <c r="F28" s="117"/>
      <c r="G28" s="117"/>
      <c r="H28" s="425">
        <f t="shared" si="4"/>
        <v>0</v>
      </c>
      <c r="I28" s="117"/>
      <c r="J28" s="136" t="s">
        <v>273</v>
      </c>
      <c r="K28" s="164">
        <f>'felhalm. kiad.  '!H127</f>
        <v>1423</v>
      </c>
      <c r="L28" s="164">
        <f>'felhalm. kiad.  '!I127</f>
        <v>2588</v>
      </c>
      <c r="M28" s="419">
        <f>'felhalm. kiad.  '!G127</f>
        <v>4011</v>
      </c>
      <c r="N28" s="280">
        <f>'felhalm. kiad.  '!K127</f>
        <v>1420</v>
      </c>
      <c r="O28" s="280">
        <f>'felhalm. kiad.  '!L127</f>
        <v>2588</v>
      </c>
      <c r="P28" s="437">
        <f>N28+O28</f>
        <v>4008</v>
      </c>
      <c r="Q28" s="280">
        <f t="shared" si="3"/>
        <v>99.925205684367995</v>
      </c>
      <c r="R28" s="185"/>
    </row>
    <row r="29" spans="1:18" x14ac:dyDescent="0.2">
      <c r="A29" s="159">
        <f t="shared" si="0"/>
        <v>18</v>
      </c>
      <c r="B29" s="162"/>
      <c r="C29" s="117"/>
      <c r="D29" s="117"/>
      <c r="E29" s="425"/>
      <c r="F29" s="117"/>
      <c r="G29" s="117"/>
      <c r="H29" s="425"/>
      <c r="I29" s="117"/>
      <c r="J29" s="136" t="s">
        <v>31</v>
      </c>
      <c r="K29" s="164"/>
      <c r="L29" s="282"/>
      <c r="M29" s="437"/>
      <c r="N29" s="280"/>
      <c r="O29" s="280"/>
      <c r="P29" s="437"/>
      <c r="Q29" s="280"/>
      <c r="R29" s="185"/>
    </row>
    <row r="30" spans="1:18" x14ac:dyDescent="0.2">
      <c r="A30" s="159">
        <f t="shared" si="0"/>
        <v>19</v>
      </c>
      <c r="B30" s="152" t="s">
        <v>50</v>
      </c>
      <c r="C30" s="117">
        <f>'tám, végl. pe.átv  '!C62</f>
        <v>0</v>
      </c>
      <c r="D30" s="117">
        <f>'tám, végl. pe.átv  '!D62</f>
        <v>588</v>
      </c>
      <c r="E30" s="425">
        <f>'tám, végl. pe.átv  '!E62</f>
        <v>588</v>
      </c>
      <c r="F30" s="117">
        <f>'tám, végl. pe.átv  '!F62</f>
        <v>0</v>
      </c>
      <c r="G30" s="1498">
        <v>606</v>
      </c>
      <c r="H30" s="425">
        <f t="shared" si="4"/>
        <v>606</v>
      </c>
      <c r="I30" s="117">
        <f t="shared" si="5"/>
        <v>103.0612244897959</v>
      </c>
      <c r="J30" s="136" t="s">
        <v>32</v>
      </c>
      <c r="K30" s="164"/>
      <c r="L30" s="282"/>
      <c r="M30" s="437"/>
      <c r="N30" s="280"/>
      <c r="O30" s="280"/>
      <c r="P30" s="437"/>
      <c r="Q30" s="280"/>
      <c r="R30" s="185"/>
    </row>
    <row r="31" spans="1:18" s="122" customFormat="1" x14ac:dyDescent="0.2">
      <c r="A31" s="159">
        <f t="shared" si="0"/>
        <v>20</v>
      </c>
      <c r="B31" s="152" t="s">
        <v>48</v>
      </c>
      <c r="C31" s="117"/>
      <c r="D31" s="117"/>
      <c r="E31" s="425"/>
      <c r="F31" s="117"/>
      <c r="G31" s="117"/>
      <c r="H31" s="425"/>
      <c r="I31" s="117"/>
      <c r="J31" s="136" t="s">
        <v>446</v>
      </c>
      <c r="K31" s="164"/>
      <c r="L31" s="282"/>
      <c r="M31" s="437"/>
      <c r="N31" s="1267"/>
      <c r="O31" s="338"/>
      <c r="P31" s="439"/>
      <c r="Q31" s="280"/>
      <c r="R31" s="555"/>
    </row>
    <row r="32" spans="1:18" x14ac:dyDescent="0.2">
      <c r="A32" s="159">
        <f t="shared" si="0"/>
        <v>21</v>
      </c>
      <c r="C32" s="117"/>
      <c r="D32" s="117"/>
      <c r="E32" s="425"/>
      <c r="F32" s="117"/>
      <c r="G32" s="117"/>
      <c r="H32" s="425"/>
      <c r="I32" s="117"/>
      <c r="J32" s="136" t="s">
        <v>443</v>
      </c>
      <c r="K32" s="164"/>
      <c r="L32" s="282"/>
      <c r="M32" s="437"/>
      <c r="N32" s="280"/>
      <c r="O32" s="280"/>
      <c r="P32" s="437"/>
      <c r="Q32" s="280"/>
      <c r="R32" s="185"/>
    </row>
    <row r="33" spans="1:18" s="11" customFormat="1" x14ac:dyDescent="0.2">
      <c r="A33" s="159">
        <f t="shared" si="0"/>
        <v>22</v>
      </c>
      <c r="B33" s="169" t="s">
        <v>52</v>
      </c>
      <c r="C33" s="844">
        <f>C15+C21</f>
        <v>74330</v>
      </c>
      <c r="D33" s="844">
        <f>D15+D21+D30</f>
        <v>40955</v>
      </c>
      <c r="E33" s="1420">
        <f>E15+E21+E30</f>
        <v>115285</v>
      </c>
      <c r="F33" s="844">
        <f t="shared" ref="F33" si="7">F15+F21</f>
        <v>80367</v>
      </c>
      <c r="G33" s="844">
        <f>G15+G21+G30</f>
        <v>40969</v>
      </c>
      <c r="H33" s="1420">
        <f>H15+H21+H30</f>
        <v>121336</v>
      </c>
      <c r="I33" s="1417">
        <f t="shared" si="5"/>
        <v>105.24873140477946</v>
      </c>
      <c r="J33" s="136" t="s">
        <v>439</v>
      </c>
      <c r="K33" s="153"/>
      <c r="L33" s="280"/>
      <c r="M33" s="437"/>
      <c r="N33" s="184"/>
      <c r="O33" s="184"/>
      <c r="P33" s="420"/>
      <c r="Q33" s="280"/>
      <c r="R33" s="472"/>
    </row>
    <row r="34" spans="1:18" x14ac:dyDescent="0.2">
      <c r="A34" s="159">
        <f t="shared" si="0"/>
        <v>23</v>
      </c>
      <c r="B34" s="170" t="s">
        <v>67</v>
      </c>
      <c r="C34" s="172"/>
      <c r="D34" s="172"/>
      <c r="E34" s="421"/>
      <c r="F34" s="172"/>
      <c r="G34" s="172"/>
      <c r="H34" s="421"/>
      <c r="I34" s="117"/>
      <c r="J34" s="171" t="s">
        <v>68</v>
      </c>
      <c r="K34" s="172">
        <f>SUM(K28:K33)</f>
        <v>1423</v>
      </c>
      <c r="L34" s="338">
        <f>SUM(L28:L33)</f>
        <v>2588</v>
      </c>
      <c r="M34" s="439">
        <f>SUM(M28:M32)</f>
        <v>4011</v>
      </c>
      <c r="N34" s="172">
        <f t="shared" ref="N34:P34" si="8">SUM(N28:N33)</f>
        <v>1420</v>
      </c>
      <c r="O34" s="172">
        <f t="shared" si="8"/>
        <v>2588</v>
      </c>
      <c r="P34" s="421">
        <f t="shared" si="8"/>
        <v>4008</v>
      </c>
      <c r="Q34" s="1267">
        <f t="shared" si="3"/>
        <v>99.925205684367995</v>
      </c>
      <c r="R34" s="185"/>
    </row>
    <row r="35" spans="1:18" x14ac:dyDescent="0.2">
      <c r="A35" s="159">
        <f t="shared" si="0"/>
        <v>24</v>
      </c>
      <c r="B35" s="173" t="s">
        <v>51</v>
      </c>
      <c r="C35" s="168">
        <f>SUM(C33:C34)</f>
        <v>74330</v>
      </c>
      <c r="D35" s="168">
        <f>SUM(D33:D34)</f>
        <v>40955</v>
      </c>
      <c r="E35" s="422">
        <f>SUM(C35:D35)</f>
        <v>115285</v>
      </c>
      <c r="F35" s="168">
        <f t="shared" ref="F35:H35" si="9">SUM(F33:F34)</f>
        <v>80367</v>
      </c>
      <c r="G35" s="168">
        <f t="shared" si="9"/>
        <v>40969</v>
      </c>
      <c r="H35" s="422">
        <f t="shared" si="9"/>
        <v>121336</v>
      </c>
      <c r="I35" s="168">
        <f t="shared" si="5"/>
        <v>105.24873140477946</v>
      </c>
      <c r="J35" s="174" t="s">
        <v>69</v>
      </c>
      <c r="K35" s="168">
        <f>K25+K34</f>
        <v>93073</v>
      </c>
      <c r="L35" s="339">
        <f>L25+L34</f>
        <v>200921</v>
      </c>
      <c r="M35" s="420">
        <f>M25+M34</f>
        <v>293994</v>
      </c>
      <c r="N35" s="168">
        <f t="shared" ref="N35:P35" si="10">N25+N34</f>
        <v>92862</v>
      </c>
      <c r="O35" s="168">
        <f t="shared" si="10"/>
        <v>200884</v>
      </c>
      <c r="P35" s="422">
        <f t="shared" si="10"/>
        <v>293746</v>
      </c>
      <c r="Q35" s="184">
        <f t="shared" si="3"/>
        <v>99.915644536963342</v>
      </c>
      <c r="R35" s="185"/>
    </row>
    <row r="36" spans="1:18" x14ac:dyDescent="0.2">
      <c r="A36" s="159">
        <f t="shared" si="0"/>
        <v>25</v>
      </c>
      <c r="B36" s="175"/>
      <c r="C36" s="164"/>
      <c r="D36" s="164"/>
      <c r="E36" s="419"/>
      <c r="F36" s="164"/>
      <c r="G36" s="164"/>
      <c r="H36" s="419"/>
      <c r="I36" s="117"/>
      <c r="J36" s="166"/>
      <c r="K36" s="164"/>
      <c r="L36" s="282"/>
      <c r="M36" s="437"/>
      <c r="N36" s="280"/>
      <c r="O36" s="280"/>
      <c r="P36" s="437"/>
      <c r="Q36" s="280"/>
      <c r="R36" s="185"/>
    </row>
    <row r="37" spans="1:18" x14ac:dyDescent="0.2">
      <c r="A37" s="159">
        <f t="shared" si="0"/>
        <v>26</v>
      </c>
      <c r="B37" s="175"/>
      <c r="C37" s="164"/>
      <c r="D37" s="164"/>
      <c r="E37" s="419"/>
      <c r="F37" s="164"/>
      <c r="G37" s="164"/>
      <c r="H37" s="419"/>
      <c r="I37" s="117"/>
      <c r="J37" s="167"/>
      <c r="K37" s="123"/>
      <c r="L37" s="337"/>
      <c r="M37" s="438"/>
      <c r="N37" s="280"/>
      <c r="O37" s="280"/>
      <c r="P37" s="437"/>
      <c r="Q37" s="280"/>
      <c r="R37" s="185"/>
    </row>
    <row r="38" spans="1:18" s="11" customFormat="1" x14ac:dyDescent="0.2">
      <c r="A38" s="159">
        <f t="shared" si="0"/>
        <v>27</v>
      </c>
      <c r="B38" s="175"/>
      <c r="C38" s="164"/>
      <c r="D38" s="164"/>
      <c r="E38" s="419"/>
      <c r="F38" s="164"/>
      <c r="G38" s="164"/>
      <c r="H38" s="419"/>
      <c r="I38" s="117"/>
      <c r="J38" s="166"/>
      <c r="K38" s="164"/>
      <c r="L38" s="282"/>
      <c r="M38" s="437"/>
      <c r="N38" s="184"/>
      <c r="O38" s="184"/>
      <c r="P38" s="420"/>
      <c r="Q38" s="280"/>
      <c r="R38" s="472"/>
    </row>
    <row r="39" spans="1:18" s="11" customFormat="1" x14ac:dyDescent="0.2">
      <c r="A39" s="721">
        <f t="shared" si="0"/>
        <v>28</v>
      </c>
      <c r="B39" s="124" t="s">
        <v>53</v>
      </c>
      <c r="C39" s="124"/>
      <c r="D39" s="124"/>
      <c r="E39" s="482"/>
      <c r="F39" s="124"/>
      <c r="G39" s="124"/>
      <c r="H39" s="482"/>
      <c r="I39" s="117"/>
      <c r="J39" s="137" t="s">
        <v>33</v>
      </c>
      <c r="K39" s="168"/>
      <c r="L39" s="339"/>
      <c r="M39" s="420"/>
      <c r="N39" s="184"/>
      <c r="O39" s="184"/>
      <c r="P39" s="420"/>
      <c r="Q39" s="280"/>
      <c r="R39" s="472"/>
    </row>
    <row r="40" spans="1:18" s="11" customFormat="1" ht="12" customHeight="1" x14ac:dyDescent="0.2">
      <c r="A40" s="159">
        <f t="shared" si="0"/>
        <v>29</v>
      </c>
      <c r="B40" s="133" t="s">
        <v>680</v>
      </c>
      <c r="C40" s="124"/>
      <c r="D40" s="124"/>
      <c r="E40" s="482"/>
      <c r="F40" s="124"/>
      <c r="G40" s="124"/>
      <c r="H40" s="482"/>
      <c r="I40" s="117"/>
      <c r="J40" s="176" t="s">
        <v>4</v>
      </c>
      <c r="K40" s="177"/>
      <c r="M40" s="440"/>
      <c r="N40" s="184"/>
      <c r="O40" s="184"/>
      <c r="P40" s="420"/>
      <c r="Q40" s="280"/>
      <c r="R40" s="472"/>
    </row>
    <row r="41" spans="1:18" s="11" customFormat="1" x14ac:dyDescent="0.2">
      <c r="A41" s="159">
        <f t="shared" si="0"/>
        <v>30</v>
      </c>
      <c r="B41" s="152" t="s">
        <v>939</v>
      </c>
      <c r="C41" s="124"/>
      <c r="D41" s="124"/>
      <c r="E41" s="482"/>
      <c r="F41" s="124"/>
      <c r="G41" s="124"/>
      <c r="H41" s="482"/>
      <c r="I41" s="117"/>
      <c r="J41" s="496" t="s">
        <v>3</v>
      </c>
      <c r="K41" s="168"/>
      <c r="L41" s="339"/>
      <c r="M41" s="420"/>
      <c r="N41" s="184"/>
      <c r="O41" s="184"/>
      <c r="P41" s="420"/>
      <c r="Q41" s="280"/>
      <c r="R41" s="472"/>
    </row>
    <row r="42" spans="1:18" x14ac:dyDescent="0.2">
      <c r="A42" s="159">
        <f t="shared" si="0"/>
        <v>31</v>
      </c>
      <c r="B42" s="116" t="s">
        <v>682</v>
      </c>
      <c r="C42" s="180"/>
      <c r="D42" s="180"/>
      <c r="E42" s="1353"/>
      <c r="F42" s="180"/>
      <c r="G42" s="180"/>
      <c r="H42" s="1353"/>
      <c r="I42" s="117"/>
      <c r="J42" s="136" t="s">
        <v>5</v>
      </c>
      <c r="K42" s="168"/>
      <c r="L42" s="339"/>
      <c r="M42" s="420"/>
      <c r="N42" s="280"/>
      <c r="O42" s="280"/>
      <c r="P42" s="437"/>
      <c r="Q42" s="280"/>
      <c r="R42" s="185"/>
    </row>
    <row r="43" spans="1:18" x14ac:dyDescent="0.2">
      <c r="A43" s="159">
        <f t="shared" si="0"/>
        <v>32</v>
      </c>
      <c r="B43" s="116" t="s">
        <v>207</v>
      </c>
      <c r="C43" s="117"/>
      <c r="D43" s="117"/>
      <c r="E43" s="425"/>
      <c r="F43" s="117"/>
      <c r="G43" s="117"/>
      <c r="H43" s="425"/>
      <c r="I43" s="117"/>
      <c r="J43" s="136" t="s">
        <v>6</v>
      </c>
      <c r="K43" s="177"/>
      <c r="L43" s="184"/>
      <c r="M43" s="420"/>
      <c r="N43" s="280"/>
      <c r="O43" s="280"/>
      <c r="P43" s="437"/>
      <c r="Q43" s="280"/>
      <c r="R43" s="185"/>
    </row>
    <row r="44" spans="1:18" x14ac:dyDescent="0.2">
      <c r="A44" s="159">
        <f t="shared" si="0"/>
        <v>33</v>
      </c>
      <c r="B44" s="494" t="s">
        <v>208</v>
      </c>
      <c r="C44" s="117">
        <v>3148</v>
      </c>
      <c r="D44" s="117"/>
      <c r="E44" s="425">
        <f>C44+D44</f>
        <v>3148</v>
      </c>
      <c r="F44" s="117">
        <v>3148</v>
      </c>
      <c r="G44" s="117"/>
      <c r="H44" s="425">
        <f>F44+G44</f>
        <v>3148</v>
      </c>
      <c r="I44" s="117">
        <f t="shared" si="5"/>
        <v>100</v>
      </c>
      <c r="J44" s="136" t="s">
        <v>7</v>
      </c>
      <c r="K44" s="177"/>
      <c r="L44" s="184"/>
      <c r="M44" s="420"/>
      <c r="N44" s="280"/>
      <c r="O44" s="280"/>
      <c r="P44" s="437"/>
      <c r="Q44" s="280"/>
      <c r="R44" s="185"/>
    </row>
    <row r="45" spans="1:18" x14ac:dyDescent="0.2">
      <c r="A45" s="159">
        <f t="shared" si="0"/>
        <v>34</v>
      </c>
      <c r="B45" s="494" t="s">
        <v>935</v>
      </c>
      <c r="C45" s="117"/>
      <c r="D45" s="117"/>
      <c r="E45" s="425">
        <f>C45+D45</f>
        <v>0</v>
      </c>
      <c r="F45" s="117"/>
      <c r="G45" s="117"/>
      <c r="H45" s="425">
        <f t="shared" ref="H45:H50" si="11">F45+G45</f>
        <v>0</v>
      </c>
      <c r="I45" s="117"/>
      <c r="J45" s="136"/>
      <c r="K45" s="177"/>
      <c r="L45" s="184"/>
      <c r="M45" s="420"/>
      <c r="N45" s="280"/>
      <c r="O45" s="280"/>
      <c r="P45" s="437"/>
      <c r="Q45" s="280"/>
      <c r="R45" s="185"/>
    </row>
    <row r="46" spans="1:18" x14ac:dyDescent="0.2">
      <c r="A46" s="159">
        <f t="shared" si="0"/>
        <v>35</v>
      </c>
      <c r="B46" s="117" t="s">
        <v>683</v>
      </c>
      <c r="C46" s="117"/>
      <c r="D46" s="117"/>
      <c r="E46" s="425"/>
      <c r="F46" s="117"/>
      <c r="G46" s="117"/>
      <c r="H46" s="425"/>
      <c r="I46" s="117"/>
      <c r="J46" s="136" t="s">
        <v>8</v>
      </c>
      <c r="K46" s="168"/>
      <c r="L46" s="339"/>
      <c r="M46" s="437"/>
      <c r="N46" s="280"/>
      <c r="O46" s="280"/>
      <c r="P46" s="437"/>
      <c r="Q46" s="280"/>
      <c r="R46" s="185"/>
    </row>
    <row r="47" spans="1:18" x14ac:dyDescent="0.2">
      <c r="A47" s="159">
        <f t="shared" si="0"/>
        <v>36</v>
      </c>
      <c r="B47" s="117" t="s">
        <v>684</v>
      </c>
      <c r="C47" s="124"/>
      <c r="D47" s="124"/>
      <c r="E47" s="482"/>
      <c r="F47" s="124"/>
      <c r="G47" s="124"/>
      <c r="H47" s="425"/>
      <c r="I47" s="117"/>
      <c r="J47" s="136" t="s">
        <v>9</v>
      </c>
      <c r="K47" s="168"/>
      <c r="L47" s="339"/>
      <c r="M47" s="437"/>
      <c r="N47" s="280"/>
      <c r="O47" s="280"/>
      <c r="P47" s="437"/>
      <c r="Q47" s="280"/>
      <c r="R47" s="185"/>
    </row>
    <row r="48" spans="1:18" x14ac:dyDescent="0.2">
      <c r="A48" s="159">
        <f t="shared" si="0"/>
        <v>37</v>
      </c>
      <c r="B48" s="116" t="s">
        <v>211</v>
      </c>
      <c r="C48" s="117"/>
      <c r="D48" s="117"/>
      <c r="E48" s="425"/>
      <c r="F48" s="117"/>
      <c r="G48" s="117"/>
      <c r="H48" s="425"/>
      <c r="I48" s="117"/>
      <c r="J48" s="136" t="s">
        <v>10</v>
      </c>
      <c r="K48" s="164"/>
      <c r="L48" s="282"/>
      <c r="M48" s="437"/>
      <c r="N48" s="280"/>
      <c r="O48" s="280"/>
      <c r="P48" s="437"/>
      <c r="Q48" s="280"/>
      <c r="R48" s="185"/>
    </row>
    <row r="49" spans="1:18" x14ac:dyDescent="0.2">
      <c r="A49" s="159">
        <f t="shared" si="0"/>
        <v>38</v>
      </c>
      <c r="B49" s="494" t="s">
        <v>212</v>
      </c>
      <c r="C49" s="117">
        <f>K25-(C35+C44+C45)</f>
        <v>14172</v>
      </c>
      <c r="D49" s="117">
        <f>L25-(D35+D44+D45)</f>
        <v>157378</v>
      </c>
      <c r="E49" s="425">
        <f>M25-(E35+E44+E45)</f>
        <v>171550</v>
      </c>
      <c r="F49" s="117">
        <v>14172</v>
      </c>
      <c r="G49" s="117">
        <v>157377</v>
      </c>
      <c r="H49" s="425">
        <f t="shared" si="11"/>
        <v>171549</v>
      </c>
      <c r="I49" s="117">
        <f t="shared" si="5"/>
        <v>99.999417079568644</v>
      </c>
      <c r="J49" s="136" t="s">
        <v>11</v>
      </c>
      <c r="K49" s="164"/>
      <c r="L49" s="282"/>
      <c r="M49" s="437"/>
      <c r="N49" s="280"/>
      <c r="O49" s="280"/>
      <c r="P49" s="437"/>
      <c r="Q49" s="280"/>
      <c r="R49" s="185"/>
    </row>
    <row r="50" spans="1:18" x14ac:dyDescent="0.2">
      <c r="A50" s="159">
        <f t="shared" si="0"/>
        <v>39</v>
      </c>
      <c r="B50" s="494" t="s">
        <v>213</v>
      </c>
      <c r="C50" s="117">
        <f>K34-C34</f>
        <v>1423</v>
      </c>
      <c r="D50" s="117">
        <f>L34-D34</f>
        <v>2588</v>
      </c>
      <c r="E50" s="425">
        <f>M34-E34</f>
        <v>4011</v>
      </c>
      <c r="F50" s="117">
        <v>1420</v>
      </c>
      <c r="G50" s="117">
        <v>2588</v>
      </c>
      <c r="H50" s="425">
        <f t="shared" si="11"/>
        <v>4008</v>
      </c>
      <c r="I50" s="117">
        <f t="shared" si="5"/>
        <v>99.925205684367995</v>
      </c>
      <c r="J50" s="136" t="s">
        <v>12</v>
      </c>
      <c r="K50" s="164"/>
      <c r="L50" s="282"/>
      <c r="M50" s="437"/>
      <c r="N50" s="280"/>
      <c r="O50" s="280"/>
      <c r="P50" s="437"/>
      <c r="Q50" s="280"/>
      <c r="R50" s="185"/>
    </row>
    <row r="51" spans="1:18" x14ac:dyDescent="0.2">
      <c r="A51" s="159">
        <f t="shared" si="0"/>
        <v>40</v>
      </c>
      <c r="B51" s="116" t="s">
        <v>1</v>
      </c>
      <c r="C51" s="117"/>
      <c r="D51" s="117"/>
      <c r="E51" s="425"/>
      <c r="F51" s="117"/>
      <c r="G51" s="117"/>
      <c r="H51" s="425"/>
      <c r="I51" s="117"/>
      <c r="J51" s="136" t="s">
        <v>13</v>
      </c>
      <c r="K51" s="164"/>
      <c r="L51" s="282"/>
      <c r="M51" s="437"/>
      <c r="N51" s="280"/>
      <c r="O51" s="280"/>
      <c r="P51" s="437"/>
      <c r="Q51" s="280"/>
      <c r="R51" s="185"/>
    </row>
    <row r="52" spans="1:18" x14ac:dyDescent="0.2">
      <c r="A52" s="159">
        <f t="shared" si="0"/>
        <v>41</v>
      </c>
      <c r="B52" s="116"/>
      <c r="C52" s="117"/>
      <c r="D52" s="117"/>
      <c r="E52" s="425"/>
      <c r="F52" s="117"/>
      <c r="G52" s="117"/>
      <c r="H52" s="425"/>
      <c r="I52" s="117"/>
      <c r="J52" s="136" t="s">
        <v>14</v>
      </c>
      <c r="K52" s="164"/>
      <c r="L52" s="282"/>
      <c r="M52" s="437"/>
      <c r="N52" s="280"/>
      <c r="O52" s="280"/>
      <c r="P52" s="437"/>
      <c r="Q52" s="280"/>
      <c r="R52" s="185"/>
    </row>
    <row r="53" spans="1:18" x14ac:dyDescent="0.2">
      <c r="A53" s="159">
        <f t="shared" si="0"/>
        <v>42</v>
      </c>
      <c r="B53" s="116"/>
      <c r="C53" s="117"/>
      <c r="D53" s="117"/>
      <c r="E53" s="425"/>
      <c r="F53" s="117"/>
      <c r="G53" s="117"/>
      <c r="H53" s="425"/>
      <c r="I53" s="117"/>
      <c r="J53" s="136" t="s">
        <v>15</v>
      </c>
      <c r="K53" s="164"/>
      <c r="L53" s="282"/>
      <c r="M53" s="437"/>
      <c r="N53" s="280"/>
      <c r="O53" s="280"/>
      <c r="P53" s="437"/>
      <c r="Q53" s="280"/>
      <c r="R53" s="185"/>
    </row>
    <row r="54" spans="1:18" ht="12" thickBot="1" x14ac:dyDescent="0.25">
      <c r="A54" s="159">
        <f t="shared" si="0"/>
        <v>43</v>
      </c>
      <c r="B54" s="173" t="s">
        <v>447</v>
      </c>
      <c r="C54" s="124">
        <f>SUM(C40:C52)</f>
        <v>18743</v>
      </c>
      <c r="D54" s="124">
        <f>SUM(D40:D52)</f>
        <v>159966</v>
      </c>
      <c r="E54" s="482">
        <f>SUM(E40:E52)</f>
        <v>178709</v>
      </c>
      <c r="F54" s="124">
        <f t="shared" ref="F54:H54" si="12">SUM(F40:F52)</f>
        <v>18740</v>
      </c>
      <c r="G54" s="124">
        <f t="shared" si="12"/>
        <v>159965</v>
      </c>
      <c r="H54" s="482">
        <f t="shared" si="12"/>
        <v>178705</v>
      </c>
      <c r="I54" s="1421">
        <f>H54/E54*100</f>
        <v>99.99776172436755</v>
      </c>
      <c r="J54" s="124" t="s">
        <v>440</v>
      </c>
      <c r="K54" s="168">
        <f>SUM(K40:K53)</f>
        <v>0</v>
      </c>
      <c r="L54" s="339">
        <f>SUM(L40:L53)</f>
        <v>0</v>
      </c>
      <c r="M54" s="420">
        <f>SUM(M40:M53)</f>
        <v>0</v>
      </c>
      <c r="N54" s="168">
        <f t="shared" ref="N54:P54" si="13">SUM(N40:N53)</f>
        <v>0</v>
      </c>
      <c r="O54" s="168">
        <f t="shared" si="13"/>
        <v>0</v>
      </c>
      <c r="P54" s="953">
        <f t="shared" si="13"/>
        <v>0</v>
      </c>
      <c r="Q54" s="1279"/>
      <c r="R54" s="185"/>
    </row>
    <row r="55" spans="1:18" ht="12" thickBot="1" x14ac:dyDescent="0.25">
      <c r="A55" s="846">
        <f t="shared" si="0"/>
        <v>44</v>
      </c>
      <c r="B55" s="1008" t="s">
        <v>442</v>
      </c>
      <c r="C55" s="293">
        <f>C35+C54</f>
        <v>93073</v>
      </c>
      <c r="D55" s="293">
        <f>D35+D54</f>
        <v>200921</v>
      </c>
      <c r="E55" s="743">
        <f>E35+E54</f>
        <v>293994</v>
      </c>
      <c r="F55" s="293">
        <f t="shared" ref="F55:H55" si="14">F35+F54</f>
        <v>99107</v>
      </c>
      <c r="G55" s="293">
        <f t="shared" si="14"/>
        <v>200934</v>
      </c>
      <c r="H55" s="743">
        <f t="shared" si="14"/>
        <v>300041</v>
      </c>
      <c r="I55" s="1206">
        <f t="shared" si="5"/>
        <v>102.05684469751084</v>
      </c>
      <c r="J55" s="294" t="s">
        <v>441</v>
      </c>
      <c r="K55" s="974">
        <f>K35+K54</f>
        <v>93073</v>
      </c>
      <c r="L55" s="744">
        <f>L35+L54</f>
        <v>200921</v>
      </c>
      <c r="M55" s="745">
        <f>M35+M54</f>
        <v>293994</v>
      </c>
      <c r="N55" s="974">
        <f t="shared" ref="N55:P55" si="15">N35+N54</f>
        <v>92862</v>
      </c>
      <c r="O55" s="974">
        <f t="shared" si="15"/>
        <v>200884</v>
      </c>
      <c r="P55" s="974">
        <f t="shared" si="15"/>
        <v>293746</v>
      </c>
      <c r="Q55" s="184">
        <f t="shared" si="3"/>
        <v>99.915644536963342</v>
      </c>
      <c r="R55" s="185"/>
    </row>
    <row r="56" spans="1:18" x14ac:dyDescent="0.2">
      <c r="B56" s="178"/>
      <c r="C56" s="177"/>
      <c r="D56" s="177"/>
      <c r="E56" s="177"/>
      <c r="F56" s="177"/>
      <c r="G56" s="177"/>
      <c r="H56" s="177"/>
      <c r="I56" s="177"/>
      <c r="J56" s="177"/>
      <c r="K56" s="177"/>
      <c r="L56" s="184"/>
      <c r="M56" s="184"/>
      <c r="Q56" s="1288"/>
    </row>
    <row r="61" spans="1:18" x14ac:dyDescent="0.2">
      <c r="G61" s="153" t="s">
        <v>1379</v>
      </c>
    </row>
  </sheetData>
  <mergeCells count="19">
    <mergeCell ref="N9:Q9"/>
    <mergeCell ref="N10:P10"/>
    <mergeCell ref="Q10:Q11"/>
    <mergeCell ref="C1:Q1"/>
    <mergeCell ref="B4:Q4"/>
    <mergeCell ref="B5:Q5"/>
    <mergeCell ref="B6:Q6"/>
    <mergeCell ref="B7:Q7"/>
    <mergeCell ref="B8:Q8"/>
    <mergeCell ref="A9:A11"/>
    <mergeCell ref="B9:B10"/>
    <mergeCell ref="C9:E9"/>
    <mergeCell ref="J9:J10"/>
    <mergeCell ref="K9:M9"/>
    <mergeCell ref="C10:E10"/>
    <mergeCell ref="K10:M10"/>
    <mergeCell ref="F9:I9"/>
    <mergeCell ref="F10:H10"/>
    <mergeCell ref="I10:I1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57"/>
  <sheetViews>
    <sheetView topLeftCell="B1" zoomScale="120" workbookViewId="0">
      <selection activeCell="B1" sqref="B1:Q1"/>
    </sheetView>
  </sheetViews>
  <sheetFormatPr defaultColWidth="9.140625" defaultRowHeight="11.25" x14ac:dyDescent="0.2"/>
  <cols>
    <col min="1" max="1" width="4.85546875" style="152" customWidth="1"/>
    <col min="2" max="2" width="36.7109375" style="152" customWidth="1"/>
    <col min="3" max="3" width="9.7109375" style="153" customWidth="1"/>
    <col min="4" max="8" width="9.5703125" style="153" customWidth="1"/>
    <col min="9" max="9" width="7.42578125" style="153" customWidth="1"/>
    <col min="10" max="10" width="38" style="153" customWidth="1"/>
    <col min="11" max="11" width="9.42578125" style="153" customWidth="1"/>
    <col min="12" max="12" width="9.5703125" style="280" customWidth="1"/>
    <col min="13" max="13" width="9.85546875" style="280" customWidth="1"/>
    <col min="14" max="14" width="9.5703125" style="152" customWidth="1"/>
    <col min="15" max="16" width="9.5703125" style="10" customWidth="1"/>
    <col min="17" max="17" width="7.28515625" style="10" customWidth="1"/>
    <col min="18" max="16384" width="9.140625" style="10"/>
  </cols>
  <sheetData>
    <row r="1" spans="1:18" ht="12.75" customHeight="1" x14ac:dyDescent="0.2">
      <c r="B1" s="2071" t="s">
        <v>2078</v>
      </c>
      <c r="C1" s="2071"/>
      <c r="D1" s="2071"/>
      <c r="E1" s="2071"/>
      <c r="F1" s="2071"/>
      <c r="G1" s="2071"/>
      <c r="H1" s="2071"/>
      <c r="I1" s="2071"/>
      <c r="J1" s="2071"/>
      <c r="K1" s="2071"/>
      <c r="L1" s="2071"/>
      <c r="M1" s="2071"/>
      <c r="N1" s="2071"/>
      <c r="O1" s="2071"/>
      <c r="P1" s="2071"/>
      <c r="Q1" s="2071"/>
    </row>
    <row r="2" spans="1:18" x14ac:dyDescent="0.2">
      <c r="J2" s="164"/>
      <c r="M2" s="334"/>
    </row>
    <row r="3" spans="1:18" x14ac:dyDescent="0.2">
      <c r="M3" s="334"/>
    </row>
    <row r="4" spans="1:18" s="120" customFormat="1" ht="12.75" customHeight="1" x14ac:dyDescent="0.2">
      <c r="A4" s="1402"/>
      <c r="B4" s="1823" t="s">
        <v>77</v>
      </c>
      <c r="C4" s="1823"/>
      <c r="D4" s="1823"/>
      <c r="E4" s="1823"/>
      <c r="F4" s="1823"/>
      <c r="G4" s="1823"/>
      <c r="H4" s="1823"/>
      <c r="I4" s="1823"/>
      <c r="J4" s="1823"/>
      <c r="K4" s="1823"/>
      <c r="L4" s="1823"/>
      <c r="M4" s="1823"/>
      <c r="N4" s="1823"/>
      <c r="O4" s="1823"/>
      <c r="P4" s="1823"/>
      <c r="Q4" s="1823"/>
    </row>
    <row r="5" spans="1:18" s="120" customFormat="1" ht="12.75" customHeight="1" x14ac:dyDescent="0.2">
      <c r="A5" s="1402"/>
      <c r="B5" s="1823" t="s">
        <v>1359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</row>
    <row r="6" spans="1:18" s="120" customFormat="1" ht="12.75" customHeight="1" x14ac:dyDescent="0.2">
      <c r="A6" s="1404"/>
      <c r="B6" s="1964" t="s">
        <v>711</v>
      </c>
      <c r="C6" s="1964"/>
      <c r="D6" s="1964"/>
      <c r="E6" s="1964"/>
      <c r="F6" s="1964"/>
      <c r="G6" s="1964"/>
      <c r="H6" s="1964"/>
      <c r="I6" s="1964"/>
      <c r="J6" s="1964"/>
      <c r="K6" s="1964"/>
      <c r="L6" s="1964"/>
      <c r="M6" s="1964"/>
      <c r="N6" s="1964"/>
      <c r="O6" s="1964"/>
      <c r="P6" s="1964"/>
      <c r="Q6" s="1964"/>
    </row>
    <row r="7" spans="1:18" s="120" customFormat="1" ht="12.75" customHeight="1" x14ac:dyDescent="0.2">
      <c r="A7" s="1402"/>
      <c r="B7" s="1823" t="s">
        <v>1102</v>
      </c>
      <c r="C7" s="1823"/>
      <c r="D7" s="1823"/>
      <c r="E7" s="1823"/>
      <c r="F7" s="1823"/>
      <c r="G7" s="1823"/>
      <c r="H7" s="1823"/>
      <c r="I7" s="1823"/>
      <c r="J7" s="1823"/>
      <c r="K7" s="1823"/>
      <c r="L7" s="1823"/>
      <c r="M7" s="1823"/>
      <c r="N7" s="1823"/>
      <c r="O7" s="1823"/>
      <c r="P7" s="1823"/>
      <c r="Q7" s="1823"/>
    </row>
    <row r="8" spans="1:18" s="120" customFormat="1" x14ac:dyDescent="0.2">
      <c r="A8" s="155"/>
      <c r="B8" s="1824" t="s">
        <v>304</v>
      </c>
      <c r="C8" s="1824"/>
      <c r="D8" s="1824"/>
      <c r="E8" s="1824"/>
      <c r="F8" s="1824"/>
      <c r="G8" s="1824"/>
      <c r="H8" s="1824"/>
      <c r="I8" s="1824"/>
      <c r="J8" s="1824"/>
      <c r="K8" s="1824"/>
      <c r="L8" s="1824"/>
      <c r="M8" s="1824"/>
      <c r="N8" s="1824"/>
      <c r="O8" s="1824"/>
      <c r="P8" s="1824"/>
      <c r="Q8" s="1824"/>
    </row>
    <row r="9" spans="1:18" s="120" customFormat="1" ht="12.75" customHeight="1" x14ac:dyDescent="0.2">
      <c r="A9" s="1829" t="s">
        <v>56</v>
      </c>
      <c r="B9" s="1828" t="s">
        <v>57</v>
      </c>
      <c r="C9" s="1850" t="s">
        <v>58</v>
      </c>
      <c r="D9" s="1850"/>
      <c r="E9" s="1827"/>
      <c r="F9" s="1834" t="s">
        <v>59</v>
      </c>
      <c r="G9" s="1834"/>
      <c r="H9" s="1834"/>
      <c r="I9" s="1835"/>
      <c r="J9" s="1962" t="s">
        <v>60</v>
      </c>
      <c r="K9" s="1959" t="s">
        <v>469</v>
      </c>
      <c r="L9" s="1960"/>
      <c r="M9" s="1960"/>
      <c r="N9" s="2067" t="s">
        <v>470</v>
      </c>
      <c r="O9" s="2067"/>
      <c r="P9" s="2067"/>
      <c r="Q9" s="2067"/>
    </row>
    <row r="10" spans="1:18" s="120" customFormat="1" ht="12.75" customHeight="1" x14ac:dyDescent="0.2">
      <c r="A10" s="1829"/>
      <c r="B10" s="1828"/>
      <c r="C10" s="1825" t="s">
        <v>1103</v>
      </c>
      <c r="D10" s="1825"/>
      <c r="E10" s="2070"/>
      <c r="F10" s="1817" t="s">
        <v>1355</v>
      </c>
      <c r="G10" s="1818"/>
      <c r="H10" s="1819"/>
      <c r="I10" s="1820" t="s">
        <v>1357</v>
      </c>
      <c r="J10" s="1962"/>
      <c r="K10" s="1825" t="s">
        <v>1103</v>
      </c>
      <c r="L10" s="1825"/>
      <c r="M10" s="1825"/>
      <c r="N10" s="1817" t="s">
        <v>1355</v>
      </c>
      <c r="O10" s="1818"/>
      <c r="P10" s="1819"/>
      <c r="Q10" s="1820" t="s">
        <v>1357</v>
      </c>
    </row>
    <row r="11" spans="1:18" s="121" customFormat="1" ht="36.6" customHeight="1" x14ac:dyDescent="0.2">
      <c r="A11" s="1829"/>
      <c r="B11" s="156" t="s">
        <v>61</v>
      </c>
      <c r="C11" s="132" t="s">
        <v>62</v>
      </c>
      <c r="D11" s="132" t="s">
        <v>63</v>
      </c>
      <c r="E11" s="1419" t="s">
        <v>64</v>
      </c>
      <c r="F11" s="1418" t="s">
        <v>62</v>
      </c>
      <c r="G11" s="132" t="s">
        <v>63</v>
      </c>
      <c r="H11" s="1352" t="s">
        <v>1356</v>
      </c>
      <c r="I11" s="1965"/>
      <c r="J11" s="158" t="s">
        <v>65</v>
      </c>
      <c r="K11" s="132" t="s">
        <v>62</v>
      </c>
      <c r="L11" s="335" t="s">
        <v>63</v>
      </c>
      <c r="M11" s="335" t="s">
        <v>64</v>
      </c>
      <c r="N11" s="132" t="s">
        <v>62</v>
      </c>
      <c r="O11" s="1348" t="s">
        <v>63</v>
      </c>
      <c r="P11" s="157" t="s">
        <v>1356</v>
      </c>
      <c r="Q11" s="1837"/>
      <c r="R11" s="554"/>
    </row>
    <row r="12" spans="1:18" ht="11.45" customHeight="1" x14ac:dyDescent="0.2">
      <c r="A12" s="159">
        <v>1</v>
      </c>
      <c r="B12" s="160" t="s">
        <v>24</v>
      </c>
      <c r="C12" s="161"/>
      <c r="D12" s="161"/>
      <c r="E12" s="1190"/>
      <c r="F12" s="161"/>
      <c r="G12" s="161"/>
      <c r="H12" s="1190"/>
      <c r="I12" s="161"/>
      <c r="J12" s="135" t="s">
        <v>25</v>
      </c>
      <c r="K12" s="161"/>
      <c r="L12" s="340"/>
      <c r="M12" s="434"/>
      <c r="N12" s="185"/>
      <c r="P12" s="1350"/>
      <c r="Q12" s="1354"/>
    </row>
    <row r="13" spans="1:18" x14ac:dyDescent="0.2">
      <c r="A13" s="159">
        <f t="shared" ref="A13:A55" si="0">A12+1</f>
        <v>2</v>
      </c>
      <c r="B13" s="162" t="s">
        <v>35</v>
      </c>
      <c r="C13" s="116"/>
      <c r="D13" s="116"/>
      <c r="E13" s="425"/>
      <c r="F13" s="117"/>
      <c r="G13" s="117"/>
      <c r="H13" s="425"/>
      <c r="I13" s="117"/>
      <c r="J13" s="136" t="s">
        <v>215</v>
      </c>
      <c r="K13" s="275">
        <v>85643</v>
      </c>
      <c r="L13" s="275">
        <v>168280</v>
      </c>
      <c r="M13" s="435">
        <f>SUM(K13:L13)</f>
        <v>253923</v>
      </c>
      <c r="N13" s="461">
        <v>84603</v>
      </c>
      <c r="O13" s="287">
        <v>168100</v>
      </c>
      <c r="P13" s="436">
        <f>N13+O13</f>
        <v>252703</v>
      </c>
      <c r="Q13" s="1200">
        <f>P13/M13*100</f>
        <v>99.519539387924681</v>
      </c>
    </row>
    <row r="14" spans="1:18" x14ac:dyDescent="0.2">
      <c r="A14" s="159">
        <f t="shared" si="0"/>
        <v>3</v>
      </c>
      <c r="B14" s="162" t="s">
        <v>36</v>
      </c>
      <c r="C14" s="116"/>
      <c r="D14" s="116"/>
      <c r="E14" s="425"/>
      <c r="F14" s="117"/>
      <c r="G14" s="117"/>
      <c r="H14" s="425"/>
      <c r="I14" s="117"/>
      <c r="J14" s="136" t="s">
        <v>216</v>
      </c>
      <c r="K14" s="275">
        <v>18422</v>
      </c>
      <c r="L14" s="275">
        <v>32730</v>
      </c>
      <c r="M14" s="435">
        <f>SUM(K14:L14)</f>
        <v>51152</v>
      </c>
      <c r="N14" s="461">
        <v>18409</v>
      </c>
      <c r="O14" s="287">
        <v>32695</v>
      </c>
      <c r="P14" s="436">
        <f t="shared" ref="P14:P15" si="1">N14+O14</f>
        <v>51104</v>
      </c>
      <c r="Q14" s="1200">
        <f t="shared" ref="Q14:Q55" si="2">P14/M14*100</f>
        <v>99.906162026900219</v>
      </c>
    </row>
    <row r="15" spans="1:18" x14ac:dyDescent="0.2">
      <c r="A15" s="159">
        <f t="shared" si="0"/>
        <v>4</v>
      </c>
      <c r="B15" s="162" t="s">
        <v>192</v>
      </c>
      <c r="C15" s="287">
        <f>'tám, végl. pe.átv  '!C72</f>
        <v>20865</v>
      </c>
      <c r="D15" s="287">
        <f>'tám, végl. pe.átv  '!D72</f>
        <v>1421</v>
      </c>
      <c r="E15" s="436">
        <f>SUM(C15:D15)</f>
        <v>22286</v>
      </c>
      <c r="F15" s="275">
        <f>'tám, végl. pe.átv  '!F72</f>
        <v>21587</v>
      </c>
      <c r="G15" s="275">
        <f>'tám, végl. pe.átv  '!G72</f>
        <v>2088</v>
      </c>
      <c r="H15" s="436">
        <f>F15+G15</f>
        <v>23675</v>
      </c>
      <c r="I15" s="275">
        <f>H15/E15*100</f>
        <v>106.2326124024051</v>
      </c>
      <c r="J15" s="136" t="s">
        <v>217</v>
      </c>
      <c r="K15" s="275">
        <v>68046</v>
      </c>
      <c r="L15" s="275">
        <v>81322</v>
      </c>
      <c r="M15" s="435">
        <f>SUM(K15:L15)</f>
        <v>149368</v>
      </c>
      <c r="N15" s="461">
        <v>57418</v>
      </c>
      <c r="O15" s="287">
        <v>81300</v>
      </c>
      <c r="P15" s="436">
        <f t="shared" si="1"/>
        <v>138718</v>
      </c>
      <c r="Q15" s="1200">
        <f t="shared" si="2"/>
        <v>92.869958759573663</v>
      </c>
    </row>
    <row r="16" spans="1:18" ht="12" customHeight="1" x14ac:dyDescent="0.2">
      <c r="A16" s="159">
        <f t="shared" si="0"/>
        <v>5</v>
      </c>
      <c r="B16" s="125"/>
      <c r="C16" s="116"/>
      <c r="D16" s="116"/>
      <c r="E16" s="425"/>
      <c r="F16" s="117"/>
      <c r="G16" s="117"/>
      <c r="H16" s="436"/>
      <c r="I16" s="275"/>
      <c r="J16" s="136"/>
      <c r="K16" s="355"/>
      <c r="L16" s="355"/>
      <c r="M16" s="436"/>
      <c r="N16" s="553"/>
      <c r="O16" s="280"/>
      <c r="P16" s="437"/>
      <c r="Q16" s="1271"/>
    </row>
    <row r="17" spans="1:17" x14ac:dyDescent="0.2">
      <c r="A17" s="159">
        <f t="shared" si="0"/>
        <v>6</v>
      </c>
      <c r="B17" s="162" t="s">
        <v>38</v>
      </c>
      <c r="C17" s="116"/>
      <c r="D17" s="116"/>
      <c r="E17" s="425"/>
      <c r="F17" s="117"/>
      <c r="G17" s="117"/>
      <c r="H17" s="436"/>
      <c r="I17" s="275"/>
      <c r="J17" s="136" t="s">
        <v>28</v>
      </c>
      <c r="K17" s="164"/>
      <c r="L17" s="282"/>
      <c r="M17" s="437"/>
      <c r="N17" s="553"/>
      <c r="O17" s="280"/>
      <c r="P17" s="437"/>
      <c r="Q17" s="1271"/>
    </row>
    <row r="18" spans="1:17" x14ac:dyDescent="0.2">
      <c r="A18" s="159">
        <f t="shared" si="0"/>
        <v>7</v>
      </c>
      <c r="B18" s="162"/>
      <c r="C18" s="116"/>
      <c r="D18" s="116"/>
      <c r="E18" s="425"/>
      <c r="F18" s="117"/>
      <c r="G18" s="117"/>
      <c r="H18" s="436"/>
      <c r="I18" s="275"/>
      <c r="J18" s="136" t="s">
        <v>30</v>
      </c>
      <c r="K18" s="164"/>
      <c r="L18" s="282"/>
      <c r="M18" s="437"/>
      <c r="N18" s="553"/>
      <c r="O18" s="280"/>
      <c r="P18" s="437"/>
      <c r="Q18" s="1271"/>
    </row>
    <row r="19" spans="1:17" x14ac:dyDescent="0.2">
      <c r="A19" s="159">
        <f t="shared" si="0"/>
        <v>8</v>
      </c>
      <c r="B19" s="162" t="s">
        <v>39</v>
      </c>
      <c r="C19" s="116"/>
      <c r="D19" s="116"/>
      <c r="E19" s="425"/>
      <c r="F19" s="117"/>
      <c r="G19" s="117"/>
      <c r="H19" s="436"/>
      <c r="I19" s="275"/>
      <c r="J19" s="136" t="s">
        <v>445</v>
      </c>
      <c r="K19" s="164"/>
      <c r="L19" s="282"/>
      <c r="M19" s="437"/>
      <c r="N19" s="553"/>
      <c r="O19" s="280"/>
      <c r="P19" s="437"/>
      <c r="Q19" s="1271"/>
    </row>
    <row r="20" spans="1:17" x14ac:dyDescent="0.2">
      <c r="A20" s="159">
        <f t="shared" si="0"/>
        <v>9</v>
      </c>
      <c r="B20" s="165" t="s">
        <v>40</v>
      </c>
      <c r="C20" s="163"/>
      <c r="D20" s="163"/>
      <c r="E20" s="417"/>
      <c r="F20" s="163"/>
      <c r="G20" s="163"/>
      <c r="H20" s="436"/>
      <c r="I20" s="275"/>
      <c r="J20" s="136" t="s">
        <v>444</v>
      </c>
      <c r="K20" s="164"/>
      <c r="L20" s="282"/>
      <c r="M20" s="437"/>
      <c r="N20" s="553"/>
      <c r="O20" s="280"/>
      <c r="P20" s="437"/>
      <c r="Q20" s="1271"/>
    </row>
    <row r="21" spans="1:17" x14ac:dyDescent="0.2">
      <c r="A21" s="159">
        <f t="shared" si="0"/>
        <v>10</v>
      </c>
      <c r="B21" s="114" t="s">
        <v>194</v>
      </c>
      <c r="C21" s="336">
        <v>24899</v>
      </c>
      <c r="D21" s="336">
        <v>81814</v>
      </c>
      <c r="E21" s="417">
        <f>SUM(C21:D21)</f>
        <v>106713</v>
      </c>
      <c r="F21" s="163">
        <v>24899</v>
      </c>
      <c r="G21" s="163">
        <v>82755</v>
      </c>
      <c r="H21" s="436">
        <f t="shared" ref="H21:H26" si="3">F21+G21</f>
        <v>107654</v>
      </c>
      <c r="I21" s="275">
        <f t="shared" ref="I21:I55" si="4">H21/E21*100</f>
        <v>100.881804466185</v>
      </c>
      <c r="J21" s="136" t="s">
        <v>904</v>
      </c>
      <c r="K21" s="164"/>
      <c r="L21" s="282"/>
      <c r="M21" s="437"/>
      <c r="N21" s="553"/>
      <c r="O21" s="280"/>
      <c r="P21" s="437"/>
      <c r="Q21" s="1271"/>
    </row>
    <row r="22" spans="1:17" x14ac:dyDescent="0.2">
      <c r="A22" s="159">
        <f t="shared" si="0"/>
        <v>11</v>
      </c>
      <c r="C22" s="163"/>
      <c r="D22" s="163"/>
      <c r="E22" s="417"/>
      <c r="F22" s="163"/>
      <c r="G22" s="163"/>
      <c r="H22" s="436"/>
      <c r="I22" s="275"/>
      <c r="J22" s="136" t="s">
        <v>437</v>
      </c>
      <c r="K22" s="164"/>
      <c r="L22" s="282"/>
      <c r="M22" s="437"/>
      <c r="N22" s="553"/>
      <c r="O22" s="280"/>
      <c r="P22" s="437"/>
      <c r="Q22" s="1271"/>
    </row>
    <row r="23" spans="1:17" s="122" customFormat="1" x14ac:dyDescent="0.2">
      <c r="A23" s="159">
        <f t="shared" si="0"/>
        <v>12</v>
      </c>
      <c r="B23" s="152" t="s">
        <v>42</v>
      </c>
      <c r="C23" s="163"/>
      <c r="D23" s="163"/>
      <c r="E23" s="417"/>
      <c r="F23" s="163"/>
      <c r="G23" s="163"/>
      <c r="H23" s="436"/>
      <c r="I23" s="275"/>
      <c r="J23" s="136" t="s">
        <v>438</v>
      </c>
      <c r="K23" s="164"/>
      <c r="L23" s="282"/>
      <c r="M23" s="437"/>
      <c r="N23" s="1266"/>
      <c r="O23" s="1267"/>
      <c r="P23" s="439"/>
      <c r="Q23" s="1271"/>
    </row>
    <row r="24" spans="1:17" s="122" customFormat="1" x14ac:dyDescent="0.2">
      <c r="A24" s="159">
        <f t="shared" si="0"/>
        <v>13</v>
      </c>
      <c r="B24" s="152" t="s">
        <v>43</v>
      </c>
      <c r="C24" s="163"/>
      <c r="D24" s="163"/>
      <c r="E24" s="417"/>
      <c r="F24" s="163"/>
      <c r="G24" s="163"/>
      <c r="H24" s="436"/>
      <c r="I24" s="275"/>
      <c r="J24" s="166"/>
      <c r="K24" s="164"/>
      <c r="L24" s="282"/>
      <c r="M24" s="437"/>
      <c r="N24" s="1266"/>
      <c r="O24" s="1267"/>
      <c r="P24" s="439"/>
      <c r="Q24" s="1271"/>
    </row>
    <row r="25" spans="1:17" x14ac:dyDescent="0.2">
      <c r="A25" s="159">
        <f t="shared" si="0"/>
        <v>14</v>
      </c>
      <c r="B25" s="162" t="s">
        <v>44</v>
      </c>
      <c r="C25" s="127"/>
      <c r="D25" s="127"/>
      <c r="E25" s="1412"/>
      <c r="F25" s="127"/>
      <c r="G25" s="127"/>
      <c r="H25" s="436"/>
      <c r="I25" s="275"/>
      <c r="J25" s="167" t="s">
        <v>66</v>
      </c>
      <c r="K25" s="123">
        <f>SUM(K13:K23)</f>
        <v>172111</v>
      </c>
      <c r="L25" s="337">
        <f>SUM(L13:L23)</f>
        <v>282332</v>
      </c>
      <c r="M25" s="438">
        <f>SUM(M13:M23)</f>
        <v>454443</v>
      </c>
      <c r="N25" s="123">
        <f t="shared" ref="N25:P25" si="5">SUM(N13:N23)</f>
        <v>160430</v>
      </c>
      <c r="O25" s="123">
        <f t="shared" si="5"/>
        <v>282095</v>
      </c>
      <c r="P25" s="418">
        <f t="shared" si="5"/>
        <v>442525</v>
      </c>
      <c r="Q25" s="1355">
        <f t="shared" si="2"/>
        <v>97.377448876976871</v>
      </c>
    </row>
    <row r="26" spans="1:17" x14ac:dyDescent="0.2">
      <c r="A26" s="159">
        <f t="shared" si="0"/>
        <v>15</v>
      </c>
      <c r="B26" s="162" t="s">
        <v>45</v>
      </c>
      <c r="C26" s="163">
        <v>0</v>
      </c>
      <c r="D26" s="163"/>
      <c r="E26" s="417">
        <f>D26+C26</f>
        <v>0</v>
      </c>
      <c r="F26" s="163"/>
      <c r="G26" s="163"/>
      <c r="H26" s="436">
        <f t="shared" si="3"/>
        <v>0</v>
      </c>
      <c r="I26" s="275"/>
      <c r="J26" s="166"/>
      <c r="K26" s="164"/>
      <c r="L26" s="282"/>
      <c r="M26" s="437"/>
      <c r="N26" s="553"/>
      <c r="O26" s="280"/>
      <c r="P26" s="437"/>
      <c r="Q26" s="1271"/>
    </row>
    <row r="27" spans="1:17" x14ac:dyDescent="0.2">
      <c r="A27" s="159">
        <f t="shared" si="0"/>
        <v>16</v>
      </c>
      <c r="B27" s="114" t="s">
        <v>46</v>
      </c>
      <c r="C27" s="124"/>
      <c r="D27" s="124"/>
      <c r="E27" s="482"/>
      <c r="F27" s="124"/>
      <c r="G27" s="124"/>
      <c r="H27" s="482"/>
      <c r="I27" s="275"/>
      <c r="J27" s="137" t="s">
        <v>34</v>
      </c>
      <c r="K27" s="168"/>
      <c r="L27" s="339"/>
      <c r="M27" s="437"/>
      <c r="N27" s="553"/>
      <c r="O27" s="280"/>
      <c r="P27" s="437"/>
      <c r="Q27" s="1271"/>
    </row>
    <row r="28" spans="1:17" x14ac:dyDescent="0.2">
      <c r="A28" s="159">
        <f t="shared" si="0"/>
        <v>17</v>
      </c>
      <c r="B28" s="162" t="s">
        <v>47</v>
      </c>
      <c r="C28" s="117"/>
      <c r="D28" s="117"/>
      <c r="E28" s="425"/>
      <c r="F28" s="117"/>
      <c r="G28" s="117"/>
      <c r="H28" s="425"/>
      <c r="I28" s="275"/>
      <c r="J28" s="136" t="s">
        <v>273</v>
      </c>
      <c r="K28" s="164">
        <v>600</v>
      </c>
      <c r="L28" s="282">
        <f>'felhalm. kiad.  '!I130</f>
        <v>1780</v>
      </c>
      <c r="M28" s="437">
        <f>SUM(K28:L28)</f>
        <v>2380</v>
      </c>
      <c r="N28" s="553">
        <f>'felhalm. kiad.  '!K132</f>
        <v>582</v>
      </c>
      <c r="O28" s="282">
        <f>'felhalm. kiad.  '!L132</f>
        <v>1580</v>
      </c>
      <c r="P28" s="437">
        <f>N28+O28</f>
        <v>2162</v>
      </c>
      <c r="Q28" s="1271">
        <f t="shared" si="2"/>
        <v>90.840336134453779</v>
      </c>
    </row>
    <row r="29" spans="1:17" x14ac:dyDescent="0.2">
      <c r="A29" s="159">
        <f t="shared" si="0"/>
        <v>18</v>
      </c>
      <c r="B29" s="162"/>
      <c r="C29" s="117"/>
      <c r="D29" s="117"/>
      <c r="E29" s="425"/>
      <c r="F29" s="117"/>
      <c r="G29" s="117"/>
      <c r="H29" s="425"/>
      <c r="I29" s="275"/>
      <c r="J29" s="136" t="s">
        <v>31</v>
      </c>
      <c r="K29" s="164"/>
      <c r="L29" s="282"/>
      <c r="M29" s="437"/>
      <c r="N29" s="553"/>
      <c r="O29" s="280"/>
      <c r="P29" s="437"/>
      <c r="Q29" s="1271"/>
    </row>
    <row r="30" spans="1:17" x14ac:dyDescent="0.2">
      <c r="A30" s="159">
        <f t="shared" si="0"/>
        <v>19</v>
      </c>
      <c r="B30" s="152" t="s">
        <v>50</v>
      </c>
      <c r="C30" s="117"/>
      <c r="D30" s="117"/>
      <c r="E30" s="425"/>
      <c r="F30" s="117"/>
      <c r="G30" s="117"/>
      <c r="H30" s="425"/>
      <c r="I30" s="275"/>
      <c r="J30" s="136" t="s">
        <v>32</v>
      </c>
      <c r="K30" s="164"/>
      <c r="L30" s="282"/>
      <c r="M30" s="437"/>
      <c r="N30" s="553"/>
      <c r="O30" s="280"/>
      <c r="P30" s="437"/>
      <c r="Q30" s="1271"/>
    </row>
    <row r="31" spans="1:17" s="122" customFormat="1" x14ac:dyDescent="0.2">
      <c r="A31" s="159">
        <f t="shared" si="0"/>
        <v>20</v>
      </c>
      <c r="B31" s="152" t="s">
        <v>48</v>
      </c>
      <c r="C31" s="117"/>
      <c r="D31" s="117"/>
      <c r="E31" s="425"/>
      <c r="F31" s="117"/>
      <c r="G31" s="117"/>
      <c r="H31" s="425"/>
      <c r="I31" s="275"/>
      <c r="J31" s="136" t="s">
        <v>446</v>
      </c>
      <c r="K31" s="164"/>
      <c r="L31" s="282"/>
      <c r="M31" s="437"/>
      <c r="N31" s="1266"/>
      <c r="O31" s="1267"/>
      <c r="P31" s="439"/>
      <c r="Q31" s="1271"/>
    </row>
    <row r="32" spans="1:17" x14ac:dyDescent="0.2">
      <c r="A32" s="159">
        <f t="shared" si="0"/>
        <v>21</v>
      </c>
      <c r="C32" s="117"/>
      <c r="D32" s="117"/>
      <c r="E32" s="425"/>
      <c r="F32" s="117"/>
      <c r="G32" s="117"/>
      <c r="H32" s="425"/>
      <c r="I32" s="275"/>
      <c r="J32" s="136" t="s">
        <v>443</v>
      </c>
      <c r="K32" s="164"/>
      <c r="L32" s="282"/>
      <c r="M32" s="437"/>
      <c r="N32" s="553"/>
      <c r="O32" s="280"/>
      <c r="P32" s="437"/>
      <c r="Q32" s="1271"/>
    </row>
    <row r="33" spans="1:17" s="11" customFormat="1" x14ac:dyDescent="0.2">
      <c r="A33" s="159">
        <f t="shared" si="0"/>
        <v>22</v>
      </c>
      <c r="B33" s="169" t="s">
        <v>52</v>
      </c>
      <c r="C33" s="844">
        <f>C15+C21</f>
        <v>45764</v>
      </c>
      <c r="D33" s="844">
        <f>D15+D21</f>
        <v>83235</v>
      </c>
      <c r="E33" s="1420">
        <f>E15+E21</f>
        <v>128999</v>
      </c>
      <c r="F33" s="844">
        <f t="shared" ref="F33:H33" si="6">F15+F21</f>
        <v>46486</v>
      </c>
      <c r="G33" s="844">
        <f t="shared" si="6"/>
        <v>84843</v>
      </c>
      <c r="H33" s="1420">
        <f t="shared" si="6"/>
        <v>131329</v>
      </c>
      <c r="I33" s="275">
        <f t="shared" si="4"/>
        <v>101.80621555205853</v>
      </c>
      <c r="J33" s="136" t="s">
        <v>439</v>
      </c>
      <c r="K33" s="153"/>
      <c r="L33" s="280"/>
      <c r="M33" s="437"/>
      <c r="N33" s="796"/>
      <c r="O33" s="184"/>
      <c r="P33" s="420"/>
      <c r="Q33" s="1271"/>
    </row>
    <row r="34" spans="1:17" x14ac:dyDescent="0.2">
      <c r="A34" s="159">
        <f t="shared" si="0"/>
        <v>23</v>
      </c>
      <c r="B34" s="165" t="s">
        <v>67</v>
      </c>
      <c r="C34" s="123">
        <f>C17+C25+C26+C27+C28+C31</f>
        <v>0</v>
      </c>
      <c r="D34" s="123">
        <f t="shared" ref="D34:E34" si="7">D17+D25+D26+D27+D28+D31</f>
        <v>0</v>
      </c>
      <c r="E34" s="418">
        <f t="shared" si="7"/>
        <v>0</v>
      </c>
      <c r="F34" s="123"/>
      <c r="G34" s="123"/>
      <c r="H34" s="418"/>
      <c r="I34" s="275"/>
      <c r="J34" s="1175" t="s">
        <v>68</v>
      </c>
      <c r="K34" s="123">
        <f>SUM(K28:K33)</f>
        <v>600</v>
      </c>
      <c r="L34" s="337">
        <f>SUM(L28:L33)</f>
        <v>1780</v>
      </c>
      <c r="M34" s="438">
        <f>SUM(M28:M32)</f>
        <v>2380</v>
      </c>
      <c r="N34" s="123">
        <f t="shared" ref="N34:P34" si="8">SUM(N28:N33)</f>
        <v>582</v>
      </c>
      <c r="O34" s="123">
        <f t="shared" si="8"/>
        <v>1580</v>
      </c>
      <c r="P34" s="418">
        <f t="shared" si="8"/>
        <v>2162</v>
      </c>
      <c r="Q34" s="1355">
        <f t="shared" si="2"/>
        <v>90.840336134453779</v>
      </c>
    </row>
    <row r="35" spans="1:17" x14ac:dyDescent="0.2">
      <c r="A35" s="159">
        <f t="shared" si="0"/>
        <v>24</v>
      </c>
      <c r="B35" s="173" t="s">
        <v>51</v>
      </c>
      <c r="C35" s="168">
        <f>SUM(C33:C34)</f>
        <v>45764</v>
      </c>
      <c r="D35" s="168">
        <f>SUM(D33:D34)</f>
        <v>83235</v>
      </c>
      <c r="E35" s="422">
        <f>SUM(C35:D35)</f>
        <v>128999</v>
      </c>
      <c r="F35" s="168">
        <f t="shared" ref="F35:H35" si="9">SUM(F33:F34)</f>
        <v>46486</v>
      </c>
      <c r="G35" s="168">
        <f t="shared" si="9"/>
        <v>84843</v>
      </c>
      <c r="H35" s="422">
        <f t="shared" si="9"/>
        <v>131329</v>
      </c>
      <c r="I35" s="275">
        <f t="shared" si="4"/>
        <v>101.80621555205853</v>
      </c>
      <c r="J35" s="174" t="s">
        <v>69</v>
      </c>
      <c r="K35" s="168">
        <f>K25+K34</f>
        <v>172711</v>
      </c>
      <c r="L35" s="339">
        <f>L25+L34</f>
        <v>284112</v>
      </c>
      <c r="M35" s="420">
        <f>M25+M34</f>
        <v>456823</v>
      </c>
      <c r="N35" s="168">
        <f>N25+N34</f>
        <v>161012</v>
      </c>
      <c r="O35" s="168">
        <f t="shared" ref="O35:P35" si="10">O25+O34</f>
        <v>283675</v>
      </c>
      <c r="P35" s="422">
        <f t="shared" si="10"/>
        <v>444687</v>
      </c>
      <c r="Q35" s="1272">
        <f t="shared" si="2"/>
        <v>97.343391204033068</v>
      </c>
    </row>
    <row r="36" spans="1:17" x14ac:dyDescent="0.2">
      <c r="A36" s="159">
        <f t="shared" si="0"/>
        <v>25</v>
      </c>
      <c r="B36" s="175"/>
      <c r="C36" s="164"/>
      <c r="D36" s="164"/>
      <c r="E36" s="419"/>
      <c r="F36" s="164"/>
      <c r="G36" s="164"/>
      <c r="H36" s="419"/>
      <c r="I36" s="275"/>
      <c r="J36" s="166"/>
      <c r="K36" s="164"/>
      <c r="L36" s="282"/>
      <c r="M36" s="437"/>
      <c r="N36" s="553"/>
      <c r="O36" s="280"/>
      <c r="P36" s="437"/>
      <c r="Q36" s="1271"/>
    </row>
    <row r="37" spans="1:17" x14ac:dyDescent="0.2">
      <c r="A37" s="159">
        <f t="shared" si="0"/>
        <v>26</v>
      </c>
      <c r="B37" s="175"/>
      <c r="C37" s="164"/>
      <c r="D37" s="164"/>
      <c r="E37" s="419"/>
      <c r="F37" s="164"/>
      <c r="G37" s="164"/>
      <c r="H37" s="419"/>
      <c r="I37" s="275"/>
      <c r="J37" s="167"/>
      <c r="K37" s="123"/>
      <c r="L37" s="337"/>
      <c r="M37" s="438"/>
      <c r="N37" s="553"/>
      <c r="O37" s="280"/>
      <c r="P37" s="437"/>
      <c r="Q37" s="1271"/>
    </row>
    <row r="38" spans="1:17" s="11" customFormat="1" x14ac:dyDescent="0.2">
      <c r="A38" s="159">
        <f t="shared" si="0"/>
        <v>27</v>
      </c>
      <c r="B38" s="175"/>
      <c r="C38" s="164"/>
      <c r="D38" s="164"/>
      <c r="E38" s="419"/>
      <c r="F38" s="164"/>
      <c r="G38" s="164"/>
      <c r="H38" s="419"/>
      <c r="I38" s="275"/>
      <c r="J38" s="166"/>
      <c r="K38" s="164"/>
      <c r="L38" s="282"/>
      <c r="M38" s="437"/>
      <c r="N38" s="796"/>
      <c r="O38" s="184"/>
      <c r="P38" s="420"/>
      <c r="Q38" s="1271"/>
    </row>
    <row r="39" spans="1:17" s="11" customFormat="1" x14ac:dyDescent="0.2">
      <c r="A39" s="721">
        <f t="shared" si="0"/>
        <v>28</v>
      </c>
      <c r="B39" s="124" t="s">
        <v>53</v>
      </c>
      <c r="C39" s="124"/>
      <c r="D39" s="124"/>
      <c r="E39" s="482"/>
      <c r="F39" s="124"/>
      <c r="G39" s="124"/>
      <c r="H39" s="482"/>
      <c r="I39" s="275"/>
      <c r="J39" s="137" t="s">
        <v>33</v>
      </c>
      <c r="K39" s="168"/>
      <c r="L39" s="339"/>
      <c r="M39" s="420"/>
      <c r="N39" s="796"/>
      <c r="O39" s="184"/>
      <c r="P39" s="420"/>
      <c r="Q39" s="1271"/>
    </row>
    <row r="40" spans="1:17" s="11" customFormat="1" x14ac:dyDescent="0.2">
      <c r="A40" s="159">
        <f t="shared" si="0"/>
        <v>29</v>
      </c>
      <c r="B40" s="133" t="s">
        <v>680</v>
      </c>
      <c r="C40" s="124"/>
      <c r="D40" s="124"/>
      <c r="E40" s="482"/>
      <c r="F40" s="124"/>
      <c r="G40" s="124"/>
      <c r="H40" s="482"/>
      <c r="I40" s="275"/>
      <c r="J40" s="176" t="s">
        <v>4</v>
      </c>
      <c r="K40" s="177"/>
      <c r="M40" s="440"/>
      <c r="N40" s="796"/>
      <c r="O40" s="184"/>
      <c r="P40" s="420"/>
      <c r="Q40" s="1271"/>
    </row>
    <row r="41" spans="1:17" s="11" customFormat="1" x14ac:dyDescent="0.2">
      <c r="A41" s="159">
        <f t="shared" si="0"/>
        <v>30</v>
      </c>
      <c r="B41" s="114" t="s">
        <v>938</v>
      </c>
      <c r="C41" s="124"/>
      <c r="D41" s="124"/>
      <c r="E41" s="482"/>
      <c r="F41" s="124"/>
      <c r="G41" s="124"/>
      <c r="H41" s="482"/>
      <c r="I41" s="275"/>
      <c r="J41" s="496" t="s">
        <v>3</v>
      </c>
      <c r="K41" s="168"/>
      <c r="L41" s="339"/>
      <c r="M41" s="420"/>
      <c r="N41" s="796"/>
      <c r="O41" s="184"/>
      <c r="P41" s="420"/>
      <c r="Q41" s="1271"/>
    </row>
    <row r="42" spans="1:17" x14ac:dyDescent="0.2">
      <c r="A42" s="159">
        <f t="shared" si="0"/>
        <v>31</v>
      </c>
      <c r="B42" s="116" t="s">
        <v>682</v>
      </c>
      <c r="C42" s="180"/>
      <c r="D42" s="180"/>
      <c r="E42" s="1353"/>
      <c r="F42" s="180"/>
      <c r="G42" s="180"/>
      <c r="H42" s="1353"/>
      <c r="I42" s="275"/>
      <c r="J42" s="136" t="s">
        <v>5</v>
      </c>
      <c r="K42" s="168"/>
      <c r="L42" s="339"/>
      <c r="M42" s="420"/>
      <c r="N42" s="553"/>
      <c r="O42" s="280"/>
      <c r="P42" s="437"/>
      <c r="Q42" s="1271"/>
    </row>
    <row r="43" spans="1:17" x14ac:dyDescent="0.2">
      <c r="A43" s="159">
        <f t="shared" si="0"/>
        <v>32</v>
      </c>
      <c r="B43" s="116" t="s">
        <v>207</v>
      </c>
      <c r="C43" s="117"/>
      <c r="D43" s="117"/>
      <c r="E43" s="425"/>
      <c r="F43" s="117"/>
      <c r="G43" s="117"/>
      <c r="H43" s="425"/>
      <c r="I43" s="275"/>
      <c r="J43" s="136" t="s">
        <v>6</v>
      </c>
      <c r="K43" s="177"/>
      <c r="L43" s="184"/>
      <c r="M43" s="420"/>
      <c r="N43" s="553"/>
      <c r="O43" s="280"/>
      <c r="P43" s="437"/>
      <c r="Q43" s="1271"/>
    </row>
    <row r="44" spans="1:17" x14ac:dyDescent="0.2">
      <c r="A44" s="159">
        <f t="shared" si="0"/>
        <v>33</v>
      </c>
      <c r="B44" s="494" t="s">
        <v>208</v>
      </c>
      <c r="C44" s="117">
        <v>14707</v>
      </c>
      <c r="D44" s="117"/>
      <c r="E44" s="425">
        <f>C44+D44</f>
        <v>14707</v>
      </c>
      <c r="F44" s="117">
        <v>14707</v>
      </c>
      <c r="G44" s="117"/>
      <c r="H44" s="425">
        <f>F44+G44</f>
        <v>14707</v>
      </c>
      <c r="I44" s="275">
        <f t="shared" si="4"/>
        <v>100</v>
      </c>
      <c r="J44" s="136" t="s">
        <v>7</v>
      </c>
      <c r="K44" s="177"/>
      <c r="L44" s="184"/>
      <c r="M44" s="420"/>
      <c r="N44" s="553"/>
      <c r="O44" s="280"/>
      <c r="P44" s="437"/>
      <c r="Q44" s="1271"/>
    </row>
    <row r="45" spans="1:17" x14ac:dyDescent="0.2">
      <c r="A45" s="159">
        <f t="shared" si="0"/>
        <v>34</v>
      </c>
      <c r="B45" s="494" t="s">
        <v>935</v>
      </c>
      <c r="C45" s="117"/>
      <c r="D45" s="117"/>
      <c r="E45" s="425"/>
      <c r="F45" s="117"/>
      <c r="G45" s="117"/>
      <c r="H45" s="425"/>
      <c r="I45" s="275"/>
      <c r="J45" s="136"/>
      <c r="K45" s="177"/>
      <c r="L45" s="184"/>
      <c r="M45" s="420"/>
      <c r="N45" s="553"/>
      <c r="O45" s="280"/>
      <c r="P45" s="437"/>
      <c r="Q45" s="1271"/>
    </row>
    <row r="46" spans="1:17" x14ac:dyDescent="0.2">
      <c r="A46" s="159">
        <f t="shared" si="0"/>
        <v>35</v>
      </c>
      <c r="B46" s="117" t="s">
        <v>683</v>
      </c>
      <c r="C46" s="117"/>
      <c r="D46" s="117"/>
      <c r="E46" s="425"/>
      <c r="F46" s="117"/>
      <c r="G46" s="117"/>
      <c r="H46" s="425"/>
      <c r="I46" s="275"/>
      <c r="J46" s="136" t="s">
        <v>8</v>
      </c>
      <c r="K46" s="168"/>
      <c r="L46" s="339"/>
      <c r="M46" s="437"/>
      <c r="N46" s="553"/>
      <c r="O46" s="280"/>
      <c r="P46" s="437"/>
      <c r="Q46" s="1271"/>
    </row>
    <row r="47" spans="1:17" x14ac:dyDescent="0.2">
      <c r="A47" s="159">
        <f t="shared" si="0"/>
        <v>36</v>
      </c>
      <c r="B47" s="117" t="s">
        <v>684</v>
      </c>
      <c r="C47" s="124"/>
      <c r="D47" s="124"/>
      <c r="E47" s="482"/>
      <c r="F47" s="124"/>
      <c r="G47" s="124"/>
      <c r="H47" s="425"/>
      <c r="I47" s="275"/>
      <c r="J47" s="136" t="s">
        <v>9</v>
      </c>
      <c r="K47" s="168"/>
      <c r="L47" s="339"/>
      <c r="M47" s="437"/>
      <c r="N47" s="553"/>
      <c r="O47" s="280"/>
      <c r="P47" s="437"/>
      <c r="Q47" s="1271"/>
    </row>
    <row r="48" spans="1:17" x14ac:dyDescent="0.2">
      <c r="A48" s="159">
        <f t="shared" si="0"/>
        <v>37</v>
      </c>
      <c r="B48" s="116" t="s">
        <v>211</v>
      </c>
      <c r="C48" s="117"/>
      <c r="D48" s="117"/>
      <c r="E48" s="425"/>
      <c r="F48" s="117"/>
      <c r="G48" s="117"/>
      <c r="H48" s="425"/>
      <c r="I48" s="275"/>
      <c r="J48" s="136" t="s">
        <v>10</v>
      </c>
      <c r="K48" s="164"/>
      <c r="L48" s="282"/>
      <c r="M48" s="437"/>
      <c r="N48" s="553"/>
      <c r="O48" s="280"/>
      <c r="P48" s="437"/>
      <c r="Q48" s="1271"/>
    </row>
    <row r="49" spans="1:17" x14ac:dyDescent="0.2">
      <c r="A49" s="159">
        <f t="shared" si="0"/>
        <v>38</v>
      </c>
      <c r="B49" s="494" t="s">
        <v>212</v>
      </c>
      <c r="C49" s="275">
        <f>K25-(C33+C44)</f>
        <v>111640</v>
      </c>
      <c r="D49" s="275">
        <f>L25-(D33+D44)</f>
        <v>199097</v>
      </c>
      <c r="E49" s="436">
        <f>M25-(E33+E44)</f>
        <v>310737</v>
      </c>
      <c r="F49" s="275">
        <v>111640</v>
      </c>
      <c r="G49" s="275">
        <v>197654</v>
      </c>
      <c r="H49" s="425">
        <f t="shared" ref="H49:H50" si="11">F49+G49</f>
        <v>309294</v>
      </c>
      <c r="I49" s="275">
        <f t="shared" si="4"/>
        <v>99.535620154664556</v>
      </c>
      <c r="J49" s="136" t="s">
        <v>11</v>
      </c>
      <c r="K49" s="164"/>
      <c r="L49" s="282"/>
      <c r="M49" s="437"/>
      <c r="N49" s="553"/>
      <c r="O49" s="280"/>
      <c r="P49" s="437"/>
      <c r="Q49" s="1271"/>
    </row>
    <row r="50" spans="1:17" x14ac:dyDescent="0.2">
      <c r="A50" s="159">
        <f t="shared" si="0"/>
        <v>39</v>
      </c>
      <c r="B50" s="494" t="s">
        <v>213</v>
      </c>
      <c r="C50" s="117">
        <f>K34-C34</f>
        <v>600</v>
      </c>
      <c r="D50" s="117">
        <f>L34-D34</f>
        <v>1780</v>
      </c>
      <c r="E50" s="425">
        <f>M34-E34</f>
        <v>2380</v>
      </c>
      <c r="F50" s="117">
        <v>582</v>
      </c>
      <c r="G50" s="117">
        <v>1580</v>
      </c>
      <c r="H50" s="425">
        <f t="shared" si="11"/>
        <v>2162</v>
      </c>
      <c r="I50" s="275">
        <f t="shared" si="4"/>
        <v>90.840336134453779</v>
      </c>
      <c r="J50" s="136" t="s">
        <v>12</v>
      </c>
      <c r="K50" s="164"/>
      <c r="L50" s="282"/>
      <c r="M50" s="437"/>
      <c r="N50" s="553"/>
      <c r="O50" s="280"/>
      <c r="P50" s="437"/>
      <c r="Q50" s="1271"/>
    </row>
    <row r="51" spans="1:17" x14ac:dyDescent="0.2">
      <c r="A51" s="159">
        <f t="shared" si="0"/>
        <v>40</v>
      </c>
      <c r="B51" s="116" t="s">
        <v>1</v>
      </c>
      <c r="C51" s="117"/>
      <c r="D51" s="117"/>
      <c r="E51" s="425"/>
      <c r="F51" s="117"/>
      <c r="G51" s="117"/>
      <c r="H51" s="425"/>
      <c r="I51" s="275"/>
      <c r="J51" s="136" t="s">
        <v>13</v>
      </c>
      <c r="K51" s="164"/>
      <c r="L51" s="282"/>
      <c r="M51" s="437"/>
      <c r="N51" s="553"/>
      <c r="O51" s="280"/>
      <c r="P51" s="437"/>
      <c r="Q51" s="1271"/>
    </row>
    <row r="52" spans="1:17" x14ac:dyDescent="0.2">
      <c r="A52" s="159">
        <f t="shared" si="0"/>
        <v>41</v>
      </c>
      <c r="B52" s="116"/>
      <c r="C52" s="117"/>
      <c r="D52" s="117"/>
      <c r="E52" s="425"/>
      <c r="F52" s="117"/>
      <c r="G52" s="117"/>
      <c r="H52" s="425"/>
      <c r="I52" s="275"/>
      <c r="J52" s="136" t="s">
        <v>14</v>
      </c>
      <c r="K52" s="164"/>
      <c r="L52" s="282"/>
      <c r="M52" s="437"/>
      <c r="N52" s="553"/>
      <c r="O52" s="280"/>
      <c r="P52" s="437"/>
      <c r="Q52" s="1271"/>
    </row>
    <row r="53" spans="1:17" x14ac:dyDescent="0.2">
      <c r="A53" s="159">
        <f t="shared" si="0"/>
        <v>42</v>
      </c>
      <c r="B53" s="116"/>
      <c r="C53" s="117"/>
      <c r="D53" s="117"/>
      <c r="E53" s="425"/>
      <c r="F53" s="117"/>
      <c r="G53" s="117"/>
      <c r="H53" s="425"/>
      <c r="I53" s="275"/>
      <c r="J53" s="136" t="s">
        <v>15</v>
      </c>
      <c r="K53" s="164"/>
      <c r="L53" s="282"/>
      <c r="M53" s="437"/>
      <c r="N53" s="553"/>
      <c r="O53" s="280"/>
      <c r="P53" s="437"/>
      <c r="Q53" s="1271"/>
    </row>
    <row r="54" spans="1:17" ht="12" thickBot="1" x14ac:dyDescent="0.25">
      <c r="A54" s="159">
        <f t="shared" si="0"/>
        <v>43</v>
      </c>
      <c r="B54" s="173" t="s">
        <v>447</v>
      </c>
      <c r="C54" s="124">
        <f>SUM(C40:C52)</f>
        <v>126947</v>
      </c>
      <c r="D54" s="124">
        <f>SUM(D40:D52)</f>
        <v>200877</v>
      </c>
      <c r="E54" s="482">
        <f>SUM(E40:E52)</f>
        <v>327824</v>
      </c>
      <c r="F54" s="124">
        <f t="shared" ref="F54:H54" si="12">SUM(F40:F52)</f>
        <v>126929</v>
      </c>
      <c r="G54" s="124">
        <f t="shared" si="12"/>
        <v>199234</v>
      </c>
      <c r="H54" s="1225">
        <f t="shared" si="12"/>
        <v>326163</v>
      </c>
      <c r="I54" s="1422">
        <f t="shared" si="4"/>
        <v>99.493325686953966</v>
      </c>
      <c r="J54" s="137" t="s">
        <v>440</v>
      </c>
      <c r="K54" s="168">
        <f>SUM(K40:K53)</f>
        <v>0</v>
      </c>
      <c r="L54" s="339">
        <f>SUM(L40:L53)</f>
        <v>0</v>
      </c>
      <c r="M54" s="420">
        <f>SUM(M40:M53)</f>
        <v>0</v>
      </c>
      <c r="N54" s="168">
        <f t="shared" ref="N54:P54" si="13">SUM(N40:N53)</f>
        <v>0</v>
      </c>
      <c r="O54" s="168">
        <f t="shared" si="13"/>
        <v>0</v>
      </c>
      <c r="P54" s="953">
        <f t="shared" si="13"/>
        <v>0</v>
      </c>
      <c r="Q54" s="1279"/>
    </row>
    <row r="55" spans="1:17" ht="12" thickBot="1" x14ac:dyDescent="0.25">
      <c r="A55" s="1010">
        <f t="shared" si="0"/>
        <v>44</v>
      </c>
      <c r="B55" s="466" t="s">
        <v>442</v>
      </c>
      <c r="C55" s="973">
        <f>C35+C54</f>
        <v>172711</v>
      </c>
      <c r="D55" s="293">
        <f>D35+D54</f>
        <v>284112</v>
      </c>
      <c r="E55" s="743">
        <f>E35+E54</f>
        <v>456823</v>
      </c>
      <c r="F55" s="973">
        <f t="shared" ref="F55:H55" si="14">F35+F54</f>
        <v>173415</v>
      </c>
      <c r="G55" s="973">
        <f t="shared" si="14"/>
        <v>284077</v>
      </c>
      <c r="H55" s="973">
        <f t="shared" si="14"/>
        <v>457492</v>
      </c>
      <c r="I55" s="339">
        <f t="shared" si="4"/>
        <v>100.14644621658717</v>
      </c>
      <c r="J55" s="1008" t="s">
        <v>441</v>
      </c>
      <c r="K55" s="974">
        <f>K35+K54</f>
        <v>172711</v>
      </c>
      <c r="L55" s="1007">
        <f>L35+L54</f>
        <v>284112</v>
      </c>
      <c r="M55" s="850">
        <f>M35+M54</f>
        <v>456823</v>
      </c>
      <c r="N55" s="974">
        <f t="shared" ref="N55:P55" si="15">N35+N54</f>
        <v>161012</v>
      </c>
      <c r="O55" s="974">
        <f t="shared" si="15"/>
        <v>283675</v>
      </c>
      <c r="P55" s="974">
        <f t="shared" si="15"/>
        <v>444687</v>
      </c>
      <c r="Q55" s="1272">
        <f t="shared" si="2"/>
        <v>97.343391204033068</v>
      </c>
    </row>
    <row r="56" spans="1:17" x14ac:dyDescent="0.2">
      <c r="B56" s="178"/>
      <c r="C56" s="177"/>
      <c r="D56" s="177"/>
      <c r="E56" s="177"/>
      <c r="F56" s="177"/>
      <c r="G56" s="177"/>
      <c r="H56" s="177"/>
      <c r="I56" s="1226"/>
      <c r="J56" s="177"/>
      <c r="K56" s="177"/>
      <c r="L56" s="184"/>
      <c r="M56" s="184"/>
      <c r="N56" s="10"/>
      <c r="Q56" s="1288"/>
    </row>
    <row r="57" spans="1:17" x14ac:dyDescent="0.2">
      <c r="N57" s="10"/>
    </row>
  </sheetData>
  <sheetProtection selectLockedCells="1" selectUnlockedCells="1"/>
  <mergeCells count="19">
    <mergeCell ref="N9:Q9"/>
    <mergeCell ref="N10:P10"/>
    <mergeCell ref="Q10:Q11"/>
    <mergeCell ref="B1:Q1"/>
    <mergeCell ref="B8:Q8"/>
    <mergeCell ref="B5:Q5"/>
    <mergeCell ref="B4:Q4"/>
    <mergeCell ref="B6:Q6"/>
    <mergeCell ref="B7:Q7"/>
    <mergeCell ref="K10:M10"/>
    <mergeCell ref="K9:M9"/>
    <mergeCell ref="A9:A11"/>
    <mergeCell ref="B9:B10"/>
    <mergeCell ref="C9:E9"/>
    <mergeCell ref="J9:J10"/>
    <mergeCell ref="C10:E10"/>
    <mergeCell ref="F9:I9"/>
    <mergeCell ref="F10:H10"/>
    <mergeCell ref="I10:I11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67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0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577" customWidth="1"/>
    <col min="2" max="2" width="59" style="1577" bestFit="1" customWidth="1"/>
    <col min="3" max="3" width="10.28515625" style="1577" customWidth="1"/>
    <col min="4" max="4" width="10.7109375" style="1577" customWidth="1"/>
    <col min="5" max="6" width="9" style="1577" customWidth="1"/>
    <col min="7" max="7" width="9.7109375" style="1577" customWidth="1"/>
    <col min="8" max="8" width="9.42578125" style="1577" customWidth="1"/>
    <col min="9" max="9" width="9.85546875" style="1577" customWidth="1"/>
    <col min="10" max="10" width="9.7109375" style="1608" customWidth="1"/>
    <col min="11" max="256" width="10.28515625" style="1577"/>
    <col min="257" max="257" width="3.28515625" style="1577" customWidth="1"/>
    <col min="258" max="258" width="49.140625" style="1577" bestFit="1" customWidth="1"/>
    <col min="259" max="259" width="9.5703125" style="1577" customWidth="1"/>
    <col min="260" max="260" width="7.28515625" style="1577" customWidth="1"/>
    <col min="261" max="261" width="7.7109375" style="1577" customWidth="1"/>
    <col min="262" max="262" width="7.5703125" style="1577" customWidth="1"/>
    <col min="263" max="263" width="6.85546875" style="1577" customWidth="1"/>
    <col min="264" max="264" width="7.140625" style="1577" customWidth="1"/>
    <col min="265" max="265" width="9" style="1577" customWidth="1"/>
    <col min="266" max="266" width="8.28515625" style="1577" customWidth="1"/>
    <col min="267" max="512" width="10.28515625" style="1577"/>
    <col min="513" max="513" width="3.28515625" style="1577" customWidth="1"/>
    <col min="514" max="514" width="49.140625" style="1577" bestFit="1" customWidth="1"/>
    <col min="515" max="515" width="9.5703125" style="1577" customWidth="1"/>
    <col min="516" max="516" width="7.28515625" style="1577" customWidth="1"/>
    <col min="517" max="517" width="7.7109375" style="1577" customWidth="1"/>
    <col min="518" max="518" width="7.5703125" style="1577" customWidth="1"/>
    <col min="519" max="519" width="6.85546875" style="1577" customWidth="1"/>
    <col min="520" max="520" width="7.140625" style="1577" customWidth="1"/>
    <col min="521" max="521" width="9" style="1577" customWidth="1"/>
    <col min="522" max="522" width="8.28515625" style="1577" customWidth="1"/>
    <col min="523" max="768" width="10.28515625" style="1577"/>
    <col min="769" max="769" width="3.28515625" style="1577" customWidth="1"/>
    <col min="770" max="770" width="49.140625" style="1577" bestFit="1" customWidth="1"/>
    <col min="771" max="771" width="9.5703125" style="1577" customWidth="1"/>
    <col min="772" max="772" width="7.28515625" style="1577" customWidth="1"/>
    <col min="773" max="773" width="7.7109375" style="1577" customWidth="1"/>
    <col min="774" max="774" width="7.5703125" style="1577" customWidth="1"/>
    <col min="775" max="775" width="6.85546875" style="1577" customWidth="1"/>
    <col min="776" max="776" width="7.140625" style="1577" customWidth="1"/>
    <col min="777" max="777" width="9" style="1577" customWidth="1"/>
    <col min="778" max="778" width="8.28515625" style="1577" customWidth="1"/>
    <col min="779" max="1024" width="10.28515625" style="1577"/>
    <col min="1025" max="1025" width="3.28515625" style="1577" customWidth="1"/>
    <col min="1026" max="1026" width="49.140625" style="1577" bestFit="1" customWidth="1"/>
    <col min="1027" max="1027" width="9.5703125" style="1577" customWidth="1"/>
    <col min="1028" max="1028" width="7.28515625" style="1577" customWidth="1"/>
    <col min="1029" max="1029" width="7.7109375" style="1577" customWidth="1"/>
    <col min="1030" max="1030" width="7.5703125" style="1577" customWidth="1"/>
    <col min="1031" max="1031" width="6.85546875" style="1577" customWidth="1"/>
    <col min="1032" max="1032" width="7.140625" style="1577" customWidth="1"/>
    <col min="1033" max="1033" width="9" style="1577" customWidth="1"/>
    <col min="1034" max="1034" width="8.28515625" style="1577" customWidth="1"/>
    <col min="1035" max="1280" width="10.28515625" style="1577"/>
    <col min="1281" max="1281" width="3.28515625" style="1577" customWidth="1"/>
    <col min="1282" max="1282" width="49.140625" style="1577" bestFit="1" customWidth="1"/>
    <col min="1283" max="1283" width="9.5703125" style="1577" customWidth="1"/>
    <col min="1284" max="1284" width="7.28515625" style="1577" customWidth="1"/>
    <col min="1285" max="1285" width="7.7109375" style="1577" customWidth="1"/>
    <col min="1286" max="1286" width="7.5703125" style="1577" customWidth="1"/>
    <col min="1287" max="1287" width="6.85546875" style="1577" customWidth="1"/>
    <col min="1288" max="1288" width="7.140625" style="1577" customWidth="1"/>
    <col min="1289" max="1289" width="9" style="1577" customWidth="1"/>
    <col min="1290" max="1290" width="8.28515625" style="1577" customWidth="1"/>
    <col min="1291" max="1536" width="10.28515625" style="1577"/>
    <col min="1537" max="1537" width="3.28515625" style="1577" customWidth="1"/>
    <col min="1538" max="1538" width="49.140625" style="1577" bestFit="1" customWidth="1"/>
    <col min="1539" max="1539" width="9.5703125" style="1577" customWidth="1"/>
    <col min="1540" max="1540" width="7.28515625" style="1577" customWidth="1"/>
    <col min="1541" max="1541" width="7.7109375" style="1577" customWidth="1"/>
    <col min="1542" max="1542" width="7.5703125" style="1577" customWidth="1"/>
    <col min="1543" max="1543" width="6.85546875" style="1577" customWidth="1"/>
    <col min="1544" max="1544" width="7.140625" style="1577" customWidth="1"/>
    <col min="1545" max="1545" width="9" style="1577" customWidth="1"/>
    <col min="1546" max="1546" width="8.28515625" style="1577" customWidth="1"/>
    <col min="1547" max="1792" width="10.28515625" style="1577"/>
    <col min="1793" max="1793" width="3.28515625" style="1577" customWidth="1"/>
    <col min="1794" max="1794" width="49.140625" style="1577" bestFit="1" customWidth="1"/>
    <col min="1795" max="1795" width="9.5703125" style="1577" customWidth="1"/>
    <col min="1796" max="1796" width="7.28515625" style="1577" customWidth="1"/>
    <col min="1797" max="1797" width="7.7109375" style="1577" customWidth="1"/>
    <col min="1798" max="1798" width="7.5703125" style="1577" customWidth="1"/>
    <col min="1799" max="1799" width="6.85546875" style="1577" customWidth="1"/>
    <col min="1800" max="1800" width="7.140625" style="1577" customWidth="1"/>
    <col min="1801" max="1801" width="9" style="1577" customWidth="1"/>
    <col min="1802" max="1802" width="8.28515625" style="1577" customWidth="1"/>
    <col min="1803" max="2048" width="10.28515625" style="1577"/>
    <col min="2049" max="2049" width="3.28515625" style="1577" customWidth="1"/>
    <col min="2050" max="2050" width="49.140625" style="1577" bestFit="1" customWidth="1"/>
    <col min="2051" max="2051" width="9.5703125" style="1577" customWidth="1"/>
    <col min="2052" max="2052" width="7.28515625" style="1577" customWidth="1"/>
    <col min="2053" max="2053" width="7.7109375" style="1577" customWidth="1"/>
    <col min="2054" max="2054" width="7.5703125" style="1577" customWidth="1"/>
    <col min="2055" max="2055" width="6.85546875" style="1577" customWidth="1"/>
    <col min="2056" max="2056" width="7.140625" style="1577" customWidth="1"/>
    <col min="2057" max="2057" width="9" style="1577" customWidth="1"/>
    <col min="2058" max="2058" width="8.28515625" style="1577" customWidth="1"/>
    <col min="2059" max="2304" width="10.28515625" style="1577"/>
    <col min="2305" max="2305" width="3.28515625" style="1577" customWidth="1"/>
    <col min="2306" max="2306" width="49.140625" style="1577" bestFit="1" customWidth="1"/>
    <col min="2307" max="2307" width="9.5703125" style="1577" customWidth="1"/>
    <col min="2308" max="2308" width="7.28515625" style="1577" customWidth="1"/>
    <col min="2309" max="2309" width="7.7109375" style="1577" customWidth="1"/>
    <col min="2310" max="2310" width="7.5703125" style="1577" customWidth="1"/>
    <col min="2311" max="2311" width="6.85546875" style="1577" customWidth="1"/>
    <col min="2312" max="2312" width="7.140625" style="1577" customWidth="1"/>
    <col min="2313" max="2313" width="9" style="1577" customWidth="1"/>
    <col min="2314" max="2314" width="8.28515625" style="1577" customWidth="1"/>
    <col min="2315" max="2560" width="10.28515625" style="1577"/>
    <col min="2561" max="2561" width="3.28515625" style="1577" customWidth="1"/>
    <col min="2562" max="2562" width="49.140625" style="1577" bestFit="1" customWidth="1"/>
    <col min="2563" max="2563" width="9.5703125" style="1577" customWidth="1"/>
    <col min="2564" max="2564" width="7.28515625" style="1577" customWidth="1"/>
    <col min="2565" max="2565" width="7.7109375" style="1577" customWidth="1"/>
    <col min="2566" max="2566" width="7.5703125" style="1577" customWidth="1"/>
    <col min="2567" max="2567" width="6.85546875" style="1577" customWidth="1"/>
    <col min="2568" max="2568" width="7.140625" style="1577" customWidth="1"/>
    <col min="2569" max="2569" width="9" style="1577" customWidth="1"/>
    <col min="2570" max="2570" width="8.28515625" style="1577" customWidth="1"/>
    <col min="2571" max="2816" width="10.28515625" style="1577"/>
    <col min="2817" max="2817" width="3.28515625" style="1577" customWidth="1"/>
    <col min="2818" max="2818" width="49.140625" style="1577" bestFit="1" customWidth="1"/>
    <col min="2819" max="2819" width="9.5703125" style="1577" customWidth="1"/>
    <col min="2820" max="2820" width="7.28515625" style="1577" customWidth="1"/>
    <col min="2821" max="2821" width="7.7109375" style="1577" customWidth="1"/>
    <col min="2822" max="2822" width="7.5703125" style="1577" customWidth="1"/>
    <col min="2823" max="2823" width="6.85546875" style="1577" customWidth="1"/>
    <col min="2824" max="2824" width="7.140625" style="1577" customWidth="1"/>
    <col min="2825" max="2825" width="9" style="1577" customWidth="1"/>
    <col min="2826" max="2826" width="8.28515625" style="1577" customWidth="1"/>
    <col min="2827" max="3072" width="10.28515625" style="1577"/>
    <col min="3073" max="3073" width="3.28515625" style="1577" customWidth="1"/>
    <col min="3074" max="3074" width="49.140625" style="1577" bestFit="1" customWidth="1"/>
    <col min="3075" max="3075" width="9.5703125" style="1577" customWidth="1"/>
    <col min="3076" max="3076" width="7.28515625" style="1577" customWidth="1"/>
    <col min="3077" max="3077" width="7.7109375" style="1577" customWidth="1"/>
    <col min="3078" max="3078" width="7.5703125" style="1577" customWidth="1"/>
    <col min="3079" max="3079" width="6.85546875" style="1577" customWidth="1"/>
    <col min="3080" max="3080" width="7.140625" style="1577" customWidth="1"/>
    <col min="3081" max="3081" width="9" style="1577" customWidth="1"/>
    <col min="3082" max="3082" width="8.28515625" style="1577" customWidth="1"/>
    <col min="3083" max="3328" width="10.28515625" style="1577"/>
    <col min="3329" max="3329" width="3.28515625" style="1577" customWidth="1"/>
    <col min="3330" max="3330" width="49.140625" style="1577" bestFit="1" customWidth="1"/>
    <col min="3331" max="3331" width="9.5703125" style="1577" customWidth="1"/>
    <col min="3332" max="3332" width="7.28515625" style="1577" customWidth="1"/>
    <col min="3333" max="3333" width="7.7109375" style="1577" customWidth="1"/>
    <col min="3334" max="3334" width="7.5703125" style="1577" customWidth="1"/>
    <col min="3335" max="3335" width="6.85546875" style="1577" customWidth="1"/>
    <col min="3336" max="3336" width="7.140625" style="1577" customWidth="1"/>
    <col min="3337" max="3337" width="9" style="1577" customWidth="1"/>
    <col min="3338" max="3338" width="8.28515625" style="1577" customWidth="1"/>
    <col min="3339" max="3584" width="10.28515625" style="1577"/>
    <col min="3585" max="3585" width="3.28515625" style="1577" customWidth="1"/>
    <col min="3586" max="3586" width="49.140625" style="1577" bestFit="1" customWidth="1"/>
    <col min="3587" max="3587" width="9.5703125" style="1577" customWidth="1"/>
    <col min="3588" max="3588" width="7.28515625" style="1577" customWidth="1"/>
    <col min="3589" max="3589" width="7.7109375" style="1577" customWidth="1"/>
    <col min="3590" max="3590" width="7.5703125" style="1577" customWidth="1"/>
    <col min="3591" max="3591" width="6.85546875" style="1577" customWidth="1"/>
    <col min="3592" max="3592" width="7.140625" style="1577" customWidth="1"/>
    <col min="3593" max="3593" width="9" style="1577" customWidth="1"/>
    <col min="3594" max="3594" width="8.28515625" style="1577" customWidth="1"/>
    <col min="3595" max="3840" width="10.28515625" style="1577"/>
    <col min="3841" max="3841" width="3.28515625" style="1577" customWidth="1"/>
    <col min="3842" max="3842" width="49.140625" style="1577" bestFit="1" customWidth="1"/>
    <col min="3843" max="3843" width="9.5703125" style="1577" customWidth="1"/>
    <col min="3844" max="3844" width="7.28515625" style="1577" customWidth="1"/>
    <col min="3845" max="3845" width="7.7109375" style="1577" customWidth="1"/>
    <col min="3846" max="3846" width="7.5703125" style="1577" customWidth="1"/>
    <col min="3847" max="3847" width="6.85546875" style="1577" customWidth="1"/>
    <col min="3848" max="3848" width="7.140625" style="1577" customWidth="1"/>
    <col min="3849" max="3849" width="9" style="1577" customWidth="1"/>
    <col min="3850" max="3850" width="8.28515625" style="1577" customWidth="1"/>
    <col min="3851" max="4096" width="10.28515625" style="1577"/>
    <col min="4097" max="4097" width="3.28515625" style="1577" customWidth="1"/>
    <col min="4098" max="4098" width="49.140625" style="1577" bestFit="1" customWidth="1"/>
    <col min="4099" max="4099" width="9.5703125" style="1577" customWidth="1"/>
    <col min="4100" max="4100" width="7.28515625" style="1577" customWidth="1"/>
    <col min="4101" max="4101" width="7.7109375" style="1577" customWidth="1"/>
    <col min="4102" max="4102" width="7.5703125" style="1577" customWidth="1"/>
    <col min="4103" max="4103" width="6.85546875" style="1577" customWidth="1"/>
    <col min="4104" max="4104" width="7.140625" style="1577" customWidth="1"/>
    <col min="4105" max="4105" width="9" style="1577" customWidth="1"/>
    <col min="4106" max="4106" width="8.28515625" style="1577" customWidth="1"/>
    <col min="4107" max="4352" width="10.28515625" style="1577"/>
    <col min="4353" max="4353" width="3.28515625" style="1577" customWidth="1"/>
    <col min="4354" max="4354" width="49.140625" style="1577" bestFit="1" customWidth="1"/>
    <col min="4355" max="4355" width="9.5703125" style="1577" customWidth="1"/>
    <col min="4356" max="4356" width="7.28515625" style="1577" customWidth="1"/>
    <col min="4357" max="4357" width="7.7109375" style="1577" customWidth="1"/>
    <col min="4358" max="4358" width="7.5703125" style="1577" customWidth="1"/>
    <col min="4359" max="4359" width="6.85546875" style="1577" customWidth="1"/>
    <col min="4360" max="4360" width="7.140625" style="1577" customWidth="1"/>
    <col min="4361" max="4361" width="9" style="1577" customWidth="1"/>
    <col min="4362" max="4362" width="8.28515625" style="1577" customWidth="1"/>
    <col min="4363" max="4608" width="10.28515625" style="1577"/>
    <col min="4609" max="4609" width="3.28515625" style="1577" customWidth="1"/>
    <col min="4610" max="4610" width="49.140625" style="1577" bestFit="1" customWidth="1"/>
    <col min="4611" max="4611" width="9.5703125" style="1577" customWidth="1"/>
    <col min="4612" max="4612" width="7.28515625" style="1577" customWidth="1"/>
    <col min="4613" max="4613" width="7.7109375" style="1577" customWidth="1"/>
    <col min="4614" max="4614" width="7.5703125" style="1577" customWidth="1"/>
    <col min="4615" max="4615" width="6.85546875" style="1577" customWidth="1"/>
    <col min="4616" max="4616" width="7.140625" style="1577" customWidth="1"/>
    <col min="4617" max="4617" width="9" style="1577" customWidth="1"/>
    <col min="4618" max="4618" width="8.28515625" style="1577" customWidth="1"/>
    <col min="4619" max="4864" width="10.28515625" style="1577"/>
    <col min="4865" max="4865" width="3.28515625" style="1577" customWidth="1"/>
    <col min="4866" max="4866" width="49.140625" style="1577" bestFit="1" customWidth="1"/>
    <col min="4867" max="4867" width="9.5703125" style="1577" customWidth="1"/>
    <col min="4868" max="4868" width="7.28515625" style="1577" customWidth="1"/>
    <col min="4869" max="4869" width="7.7109375" style="1577" customWidth="1"/>
    <col min="4870" max="4870" width="7.5703125" style="1577" customWidth="1"/>
    <col min="4871" max="4871" width="6.85546875" style="1577" customWidth="1"/>
    <col min="4872" max="4872" width="7.140625" style="1577" customWidth="1"/>
    <col min="4873" max="4873" width="9" style="1577" customWidth="1"/>
    <col min="4874" max="4874" width="8.28515625" style="1577" customWidth="1"/>
    <col min="4875" max="5120" width="10.28515625" style="1577"/>
    <col min="5121" max="5121" width="3.28515625" style="1577" customWidth="1"/>
    <col min="5122" max="5122" width="49.140625" style="1577" bestFit="1" customWidth="1"/>
    <col min="5123" max="5123" width="9.5703125" style="1577" customWidth="1"/>
    <col min="5124" max="5124" width="7.28515625" style="1577" customWidth="1"/>
    <col min="5125" max="5125" width="7.7109375" style="1577" customWidth="1"/>
    <col min="5126" max="5126" width="7.5703125" style="1577" customWidth="1"/>
    <col min="5127" max="5127" width="6.85546875" style="1577" customWidth="1"/>
    <col min="5128" max="5128" width="7.140625" style="1577" customWidth="1"/>
    <col min="5129" max="5129" width="9" style="1577" customWidth="1"/>
    <col min="5130" max="5130" width="8.28515625" style="1577" customWidth="1"/>
    <col min="5131" max="5376" width="10.28515625" style="1577"/>
    <col min="5377" max="5377" width="3.28515625" style="1577" customWidth="1"/>
    <col min="5378" max="5378" width="49.140625" style="1577" bestFit="1" customWidth="1"/>
    <col min="5379" max="5379" width="9.5703125" style="1577" customWidth="1"/>
    <col min="5380" max="5380" width="7.28515625" style="1577" customWidth="1"/>
    <col min="5381" max="5381" width="7.7109375" style="1577" customWidth="1"/>
    <col min="5382" max="5382" width="7.5703125" style="1577" customWidth="1"/>
    <col min="5383" max="5383" width="6.85546875" style="1577" customWidth="1"/>
    <col min="5384" max="5384" width="7.140625" style="1577" customWidth="1"/>
    <col min="5385" max="5385" width="9" style="1577" customWidth="1"/>
    <col min="5386" max="5386" width="8.28515625" style="1577" customWidth="1"/>
    <col min="5387" max="5632" width="10.28515625" style="1577"/>
    <col min="5633" max="5633" width="3.28515625" style="1577" customWidth="1"/>
    <col min="5634" max="5634" width="49.140625" style="1577" bestFit="1" customWidth="1"/>
    <col min="5635" max="5635" width="9.5703125" style="1577" customWidth="1"/>
    <col min="5636" max="5636" width="7.28515625" style="1577" customWidth="1"/>
    <col min="5637" max="5637" width="7.7109375" style="1577" customWidth="1"/>
    <col min="5638" max="5638" width="7.5703125" style="1577" customWidth="1"/>
    <col min="5639" max="5639" width="6.85546875" style="1577" customWidth="1"/>
    <col min="5640" max="5640" width="7.140625" style="1577" customWidth="1"/>
    <col min="5641" max="5641" width="9" style="1577" customWidth="1"/>
    <col min="5642" max="5642" width="8.28515625" style="1577" customWidth="1"/>
    <col min="5643" max="5888" width="10.28515625" style="1577"/>
    <col min="5889" max="5889" width="3.28515625" style="1577" customWidth="1"/>
    <col min="5890" max="5890" width="49.140625" style="1577" bestFit="1" customWidth="1"/>
    <col min="5891" max="5891" width="9.5703125" style="1577" customWidth="1"/>
    <col min="5892" max="5892" width="7.28515625" style="1577" customWidth="1"/>
    <col min="5893" max="5893" width="7.7109375" style="1577" customWidth="1"/>
    <col min="5894" max="5894" width="7.5703125" style="1577" customWidth="1"/>
    <col min="5895" max="5895" width="6.85546875" style="1577" customWidth="1"/>
    <col min="5896" max="5896" width="7.140625" style="1577" customWidth="1"/>
    <col min="5897" max="5897" width="9" style="1577" customWidth="1"/>
    <col min="5898" max="5898" width="8.28515625" style="1577" customWidth="1"/>
    <col min="5899" max="6144" width="10.28515625" style="1577"/>
    <col min="6145" max="6145" width="3.28515625" style="1577" customWidth="1"/>
    <col min="6146" max="6146" width="49.140625" style="1577" bestFit="1" customWidth="1"/>
    <col min="6147" max="6147" width="9.5703125" style="1577" customWidth="1"/>
    <col min="6148" max="6148" width="7.28515625" style="1577" customWidth="1"/>
    <col min="6149" max="6149" width="7.7109375" style="1577" customWidth="1"/>
    <col min="6150" max="6150" width="7.5703125" style="1577" customWidth="1"/>
    <col min="6151" max="6151" width="6.85546875" style="1577" customWidth="1"/>
    <col min="6152" max="6152" width="7.140625" style="1577" customWidth="1"/>
    <col min="6153" max="6153" width="9" style="1577" customWidth="1"/>
    <col min="6154" max="6154" width="8.28515625" style="1577" customWidth="1"/>
    <col min="6155" max="6400" width="10.28515625" style="1577"/>
    <col min="6401" max="6401" width="3.28515625" style="1577" customWidth="1"/>
    <col min="6402" max="6402" width="49.140625" style="1577" bestFit="1" customWidth="1"/>
    <col min="6403" max="6403" width="9.5703125" style="1577" customWidth="1"/>
    <col min="6404" max="6404" width="7.28515625" style="1577" customWidth="1"/>
    <col min="6405" max="6405" width="7.7109375" style="1577" customWidth="1"/>
    <col min="6406" max="6406" width="7.5703125" style="1577" customWidth="1"/>
    <col min="6407" max="6407" width="6.85546875" style="1577" customWidth="1"/>
    <col min="6408" max="6408" width="7.140625" style="1577" customWidth="1"/>
    <col min="6409" max="6409" width="9" style="1577" customWidth="1"/>
    <col min="6410" max="6410" width="8.28515625" style="1577" customWidth="1"/>
    <col min="6411" max="6656" width="10.28515625" style="1577"/>
    <col min="6657" max="6657" width="3.28515625" style="1577" customWidth="1"/>
    <col min="6658" max="6658" width="49.140625" style="1577" bestFit="1" customWidth="1"/>
    <col min="6659" max="6659" width="9.5703125" style="1577" customWidth="1"/>
    <col min="6660" max="6660" width="7.28515625" style="1577" customWidth="1"/>
    <col min="6661" max="6661" width="7.7109375" style="1577" customWidth="1"/>
    <col min="6662" max="6662" width="7.5703125" style="1577" customWidth="1"/>
    <col min="6663" max="6663" width="6.85546875" style="1577" customWidth="1"/>
    <col min="6664" max="6664" width="7.140625" style="1577" customWidth="1"/>
    <col min="6665" max="6665" width="9" style="1577" customWidth="1"/>
    <col min="6666" max="6666" width="8.28515625" style="1577" customWidth="1"/>
    <col min="6667" max="6912" width="10.28515625" style="1577"/>
    <col min="6913" max="6913" width="3.28515625" style="1577" customWidth="1"/>
    <col min="6914" max="6914" width="49.140625" style="1577" bestFit="1" customWidth="1"/>
    <col min="6915" max="6915" width="9.5703125" style="1577" customWidth="1"/>
    <col min="6916" max="6916" width="7.28515625" style="1577" customWidth="1"/>
    <col min="6917" max="6917" width="7.7109375" style="1577" customWidth="1"/>
    <col min="6918" max="6918" width="7.5703125" style="1577" customWidth="1"/>
    <col min="6919" max="6919" width="6.85546875" style="1577" customWidth="1"/>
    <col min="6920" max="6920" width="7.140625" style="1577" customWidth="1"/>
    <col min="6921" max="6921" width="9" style="1577" customWidth="1"/>
    <col min="6922" max="6922" width="8.28515625" style="1577" customWidth="1"/>
    <col min="6923" max="7168" width="10.28515625" style="1577"/>
    <col min="7169" max="7169" width="3.28515625" style="1577" customWidth="1"/>
    <col min="7170" max="7170" width="49.140625" style="1577" bestFit="1" customWidth="1"/>
    <col min="7171" max="7171" width="9.5703125" style="1577" customWidth="1"/>
    <col min="7172" max="7172" width="7.28515625" style="1577" customWidth="1"/>
    <col min="7173" max="7173" width="7.7109375" style="1577" customWidth="1"/>
    <col min="7174" max="7174" width="7.5703125" style="1577" customWidth="1"/>
    <col min="7175" max="7175" width="6.85546875" style="1577" customWidth="1"/>
    <col min="7176" max="7176" width="7.140625" style="1577" customWidth="1"/>
    <col min="7177" max="7177" width="9" style="1577" customWidth="1"/>
    <col min="7178" max="7178" width="8.28515625" style="1577" customWidth="1"/>
    <col min="7179" max="7424" width="10.28515625" style="1577"/>
    <col min="7425" max="7425" width="3.28515625" style="1577" customWidth="1"/>
    <col min="7426" max="7426" width="49.140625" style="1577" bestFit="1" customWidth="1"/>
    <col min="7427" max="7427" width="9.5703125" style="1577" customWidth="1"/>
    <col min="7428" max="7428" width="7.28515625" style="1577" customWidth="1"/>
    <col min="7429" max="7429" width="7.7109375" style="1577" customWidth="1"/>
    <col min="7430" max="7430" width="7.5703125" style="1577" customWidth="1"/>
    <col min="7431" max="7431" width="6.85546875" style="1577" customWidth="1"/>
    <col min="7432" max="7432" width="7.140625" style="1577" customWidth="1"/>
    <col min="7433" max="7433" width="9" style="1577" customWidth="1"/>
    <col min="7434" max="7434" width="8.28515625" style="1577" customWidth="1"/>
    <col min="7435" max="7680" width="10.28515625" style="1577"/>
    <col min="7681" max="7681" width="3.28515625" style="1577" customWidth="1"/>
    <col min="7682" max="7682" width="49.140625" style="1577" bestFit="1" customWidth="1"/>
    <col min="7683" max="7683" width="9.5703125" style="1577" customWidth="1"/>
    <col min="7684" max="7684" width="7.28515625" style="1577" customWidth="1"/>
    <col min="7685" max="7685" width="7.7109375" style="1577" customWidth="1"/>
    <col min="7686" max="7686" width="7.5703125" style="1577" customWidth="1"/>
    <col min="7687" max="7687" width="6.85546875" style="1577" customWidth="1"/>
    <col min="7688" max="7688" width="7.140625" style="1577" customWidth="1"/>
    <col min="7689" max="7689" width="9" style="1577" customWidth="1"/>
    <col min="7690" max="7690" width="8.28515625" style="1577" customWidth="1"/>
    <col min="7691" max="7936" width="10.28515625" style="1577"/>
    <col min="7937" max="7937" width="3.28515625" style="1577" customWidth="1"/>
    <col min="7938" max="7938" width="49.140625" style="1577" bestFit="1" customWidth="1"/>
    <col min="7939" max="7939" width="9.5703125" style="1577" customWidth="1"/>
    <col min="7940" max="7940" width="7.28515625" style="1577" customWidth="1"/>
    <col min="7941" max="7941" width="7.7109375" style="1577" customWidth="1"/>
    <col min="7942" max="7942" width="7.5703125" style="1577" customWidth="1"/>
    <col min="7943" max="7943" width="6.85546875" style="1577" customWidth="1"/>
    <col min="7944" max="7944" width="7.140625" style="1577" customWidth="1"/>
    <col min="7945" max="7945" width="9" style="1577" customWidth="1"/>
    <col min="7946" max="7946" width="8.28515625" style="1577" customWidth="1"/>
    <col min="7947" max="8192" width="10.28515625" style="1577"/>
    <col min="8193" max="8193" width="3.28515625" style="1577" customWidth="1"/>
    <col min="8194" max="8194" width="49.140625" style="1577" bestFit="1" customWidth="1"/>
    <col min="8195" max="8195" width="9.5703125" style="1577" customWidth="1"/>
    <col min="8196" max="8196" width="7.28515625" style="1577" customWidth="1"/>
    <col min="8197" max="8197" width="7.7109375" style="1577" customWidth="1"/>
    <col min="8198" max="8198" width="7.5703125" style="1577" customWidth="1"/>
    <col min="8199" max="8199" width="6.85546875" style="1577" customWidth="1"/>
    <col min="8200" max="8200" width="7.140625" style="1577" customWidth="1"/>
    <col min="8201" max="8201" width="9" style="1577" customWidth="1"/>
    <col min="8202" max="8202" width="8.28515625" style="1577" customWidth="1"/>
    <col min="8203" max="8448" width="10.28515625" style="1577"/>
    <col min="8449" max="8449" width="3.28515625" style="1577" customWidth="1"/>
    <col min="8450" max="8450" width="49.140625" style="1577" bestFit="1" customWidth="1"/>
    <col min="8451" max="8451" width="9.5703125" style="1577" customWidth="1"/>
    <col min="8452" max="8452" width="7.28515625" style="1577" customWidth="1"/>
    <col min="8453" max="8453" width="7.7109375" style="1577" customWidth="1"/>
    <col min="8454" max="8454" width="7.5703125" style="1577" customWidth="1"/>
    <col min="8455" max="8455" width="6.85546875" style="1577" customWidth="1"/>
    <col min="8456" max="8456" width="7.140625" style="1577" customWidth="1"/>
    <col min="8457" max="8457" width="9" style="1577" customWidth="1"/>
    <col min="8458" max="8458" width="8.28515625" style="1577" customWidth="1"/>
    <col min="8459" max="8704" width="10.28515625" style="1577"/>
    <col min="8705" max="8705" width="3.28515625" style="1577" customWidth="1"/>
    <col min="8706" max="8706" width="49.140625" style="1577" bestFit="1" customWidth="1"/>
    <col min="8707" max="8707" width="9.5703125" style="1577" customWidth="1"/>
    <col min="8708" max="8708" width="7.28515625" style="1577" customWidth="1"/>
    <col min="8709" max="8709" width="7.7109375" style="1577" customWidth="1"/>
    <col min="8710" max="8710" width="7.5703125" style="1577" customWidth="1"/>
    <col min="8711" max="8711" width="6.85546875" style="1577" customWidth="1"/>
    <col min="8712" max="8712" width="7.140625" style="1577" customWidth="1"/>
    <col min="8713" max="8713" width="9" style="1577" customWidth="1"/>
    <col min="8714" max="8714" width="8.28515625" style="1577" customWidth="1"/>
    <col min="8715" max="8960" width="10.28515625" style="1577"/>
    <col min="8961" max="8961" width="3.28515625" style="1577" customWidth="1"/>
    <col min="8962" max="8962" width="49.140625" style="1577" bestFit="1" customWidth="1"/>
    <col min="8963" max="8963" width="9.5703125" style="1577" customWidth="1"/>
    <col min="8964" max="8964" width="7.28515625" style="1577" customWidth="1"/>
    <col min="8965" max="8965" width="7.7109375" style="1577" customWidth="1"/>
    <col min="8966" max="8966" width="7.5703125" style="1577" customWidth="1"/>
    <col min="8967" max="8967" width="6.85546875" style="1577" customWidth="1"/>
    <col min="8968" max="8968" width="7.140625" style="1577" customWidth="1"/>
    <col min="8969" max="8969" width="9" style="1577" customWidth="1"/>
    <col min="8970" max="8970" width="8.28515625" style="1577" customWidth="1"/>
    <col min="8971" max="9216" width="10.28515625" style="1577"/>
    <col min="9217" max="9217" width="3.28515625" style="1577" customWidth="1"/>
    <col min="9218" max="9218" width="49.140625" style="1577" bestFit="1" customWidth="1"/>
    <col min="9219" max="9219" width="9.5703125" style="1577" customWidth="1"/>
    <col min="9220" max="9220" width="7.28515625" style="1577" customWidth="1"/>
    <col min="9221" max="9221" width="7.7109375" style="1577" customWidth="1"/>
    <col min="9222" max="9222" width="7.5703125" style="1577" customWidth="1"/>
    <col min="9223" max="9223" width="6.85546875" style="1577" customWidth="1"/>
    <col min="9224" max="9224" width="7.140625" style="1577" customWidth="1"/>
    <col min="9225" max="9225" width="9" style="1577" customWidth="1"/>
    <col min="9226" max="9226" width="8.28515625" style="1577" customWidth="1"/>
    <col min="9227" max="9472" width="10.28515625" style="1577"/>
    <col min="9473" max="9473" width="3.28515625" style="1577" customWidth="1"/>
    <col min="9474" max="9474" width="49.140625" style="1577" bestFit="1" customWidth="1"/>
    <col min="9475" max="9475" width="9.5703125" style="1577" customWidth="1"/>
    <col min="9476" max="9476" width="7.28515625" style="1577" customWidth="1"/>
    <col min="9477" max="9477" width="7.7109375" style="1577" customWidth="1"/>
    <col min="9478" max="9478" width="7.5703125" style="1577" customWidth="1"/>
    <col min="9479" max="9479" width="6.85546875" style="1577" customWidth="1"/>
    <col min="9480" max="9480" width="7.140625" style="1577" customWidth="1"/>
    <col min="9481" max="9481" width="9" style="1577" customWidth="1"/>
    <col min="9482" max="9482" width="8.28515625" style="1577" customWidth="1"/>
    <col min="9483" max="9728" width="10.28515625" style="1577"/>
    <col min="9729" max="9729" width="3.28515625" style="1577" customWidth="1"/>
    <col min="9730" max="9730" width="49.140625" style="1577" bestFit="1" customWidth="1"/>
    <col min="9731" max="9731" width="9.5703125" style="1577" customWidth="1"/>
    <col min="9732" max="9732" width="7.28515625" style="1577" customWidth="1"/>
    <col min="9733" max="9733" width="7.7109375" style="1577" customWidth="1"/>
    <col min="9734" max="9734" width="7.5703125" style="1577" customWidth="1"/>
    <col min="9735" max="9735" width="6.85546875" style="1577" customWidth="1"/>
    <col min="9736" max="9736" width="7.140625" style="1577" customWidth="1"/>
    <col min="9737" max="9737" width="9" style="1577" customWidth="1"/>
    <col min="9738" max="9738" width="8.28515625" style="1577" customWidth="1"/>
    <col min="9739" max="9984" width="10.28515625" style="1577"/>
    <col min="9985" max="9985" width="3.28515625" style="1577" customWidth="1"/>
    <col min="9986" max="9986" width="49.140625" style="1577" bestFit="1" customWidth="1"/>
    <col min="9987" max="9987" width="9.5703125" style="1577" customWidth="1"/>
    <col min="9988" max="9988" width="7.28515625" style="1577" customWidth="1"/>
    <col min="9989" max="9989" width="7.7109375" style="1577" customWidth="1"/>
    <col min="9990" max="9990" width="7.5703125" style="1577" customWidth="1"/>
    <col min="9991" max="9991" width="6.85546875" style="1577" customWidth="1"/>
    <col min="9992" max="9992" width="7.140625" style="1577" customWidth="1"/>
    <col min="9993" max="9993" width="9" style="1577" customWidth="1"/>
    <col min="9994" max="9994" width="8.28515625" style="1577" customWidth="1"/>
    <col min="9995" max="10240" width="10.28515625" style="1577"/>
    <col min="10241" max="10241" width="3.28515625" style="1577" customWidth="1"/>
    <col min="10242" max="10242" width="49.140625" style="1577" bestFit="1" customWidth="1"/>
    <col min="10243" max="10243" width="9.5703125" style="1577" customWidth="1"/>
    <col min="10244" max="10244" width="7.28515625" style="1577" customWidth="1"/>
    <col min="10245" max="10245" width="7.7109375" style="1577" customWidth="1"/>
    <col min="10246" max="10246" width="7.5703125" style="1577" customWidth="1"/>
    <col min="10247" max="10247" width="6.85546875" style="1577" customWidth="1"/>
    <col min="10248" max="10248" width="7.140625" style="1577" customWidth="1"/>
    <col min="10249" max="10249" width="9" style="1577" customWidth="1"/>
    <col min="10250" max="10250" width="8.28515625" style="1577" customWidth="1"/>
    <col min="10251" max="10496" width="10.28515625" style="1577"/>
    <col min="10497" max="10497" width="3.28515625" style="1577" customWidth="1"/>
    <col min="10498" max="10498" width="49.140625" style="1577" bestFit="1" customWidth="1"/>
    <col min="10499" max="10499" width="9.5703125" style="1577" customWidth="1"/>
    <col min="10500" max="10500" width="7.28515625" style="1577" customWidth="1"/>
    <col min="10501" max="10501" width="7.7109375" style="1577" customWidth="1"/>
    <col min="10502" max="10502" width="7.5703125" style="1577" customWidth="1"/>
    <col min="10503" max="10503" width="6.85546875" style="1577" customWidth="1"/>
    <col min="10504" max="10504" width="7.140625" style="1577" customWidth="1"/>
    <col min="10505" max="10505" width="9" style="1577" customWidth="1"/>
    <col min="10506" max="10506" width="8.28515625" style="1577" customWidth="1"/>
    <col min="10507" max="10752" width="10.28515625" style="1577"/>
    <col min="10753" max="10753" width="3.28515625" style="1577" customWidth="1"/>
    <col min="10754" max="10754" width="49.140625" style="1577" bestFit="1" customWidth="1"/>
    <col min="10755" max="10755" width="9.5703125" style="1577" customWidth="1"/>
    <col min="10756" max="10756" width="7.28515625" style="1577" customWidth="1"/>
    <col min="10757" max="10757" width="7.7109375" style="1577" customWidth="1"/>
    <col min="10758" max="10758" width="7.5703125" style="1577" customWidth="1"/>
    <col min="10759" max="10759" width="6.85546875" style="1577" customWidth="1"/>
    <col min="10760" max="10760" width="7.140625" style="1577" customWidth="1"/>
    <col min="10761" max="10761" width="9" style="1577" customWidth="1"/>
    <col min="10762" max="10762" width="8.28515625" style="1577" customWidth="1"/>
    <col min="10763" max="11008" width="10.28515625" style="1577"/>
    <col min="11009" max="11009" width="3.28515625" style="1577" customWidth="1"/>
    <col min="11010" max="11010" width="49.140625" style="1577" bestFit="1" customWidth="1"/>
    <col min="11011" max="11011" width="9.5703125" style="1577" customWidth="1"/>
    <col min="11012" max="11012" width="7.28515625" style="1577" customWidth="1"/>
    <col min="11013" max="11013" width="7.7109375" style="1577" customWidth="1"/>
    <col min="11014" max="11014" width="7.5703125" style="1577" customWidth="1"/>
    <col min="11015" max="11015" width="6.85546875" style="1577" customWidth="1"/>
    <col min="11016" max="11016" width="7.140625" style="1577" customWidth="1"/>
    <col min="11017" max="11017" width="9" style="1577" customWidth="1"/>
    <col min="11018" max="11018" width="8.28515625" style="1577" customWidth="1"/>
    <col min="11019" max="11264" width="10.28515625" style="1577"/>
    <col min="11265" max="11265" width="3.28515625" style="1577" customWidth="1"/>
    <col min="11266" max="11266" width="49.140625" style="1577" bestFit="1" customWidth="1"/>
    <col min="11267" max="11267" width="9.5703125" style="1577" customWidth="1"/>
    <col min="11268" max="11268" width="7.28515625" style="1577" customWidth="1"/>
    <col min="11269" max="11269" width="7.7109375" style="1577" customWidth="1"/>
    <col min="11270" max="11270" width="7.5703125" style="1577" customWidth="1"/>
    <col min="11271" max="11271" width="6.85546875" style="1577" customWidth="1"/>
    <col min="11272" max="11272" width="7.140625" style="1577" customWidth="1"/>
    <col min="11273" max="11273" width="9" style="1577" customWidth="1"/>
    <col min="11274" max="11274" width="8.28515625" style="1577" customWidth="1"/>
    <col min="11275" max="11520" width="10.28515625" style="1577"/>
    <col min="11521" max="11521" width="3.28515625" style="1577" customWidth="1"/>
    <col min="11522" max="11522" width="49.140625" style="1577" bestFit="1" customWidth="1"/>
    <col min="11523" max="11523" width="9.5703125" style="1577" customWidth="1"/>
    <col min="11524" max="11524" width="7.28515625" style="1577" customWidth="1"/>
    <col min="11525" max="11525" width="7.7109375" style="1577" customWidth="1"/>
    <col min="11526" max="11526" width="7.5703125" style="1577" customWidth="1"/>
    <col min="11527" max="11527" width="6.85546875" style="1577" customWidth="1"/>
    <col min="11528" max="11528" width="7.140625" style="1577" customWidth="1"/>
    <col min="11529" max="11529" width="9" style="1577" customWidth="1"/>
    <col min="11530" max="11530" width="8.28515625" style="1577" customWidth="1"/>
    <col min="11531" max="11776" width="10.28515625" style="1577"/>
    <col min="11777" max="11777" width="3.28515625" style="1577" customWidth="1"/>
    <col min="11778" max="11778" width="49.140625" style="1577" bestFit="1" customWidth="1"/>
    <col min="11779" max="11779" width="9.5703125" style="1577" customWidth="1"/>
    <col min="11780" max="11780" width="7.28515625" style="1577" customWidth="1"/>
    <col min="11781" max="11781" width="7.7109375" style="1577" customWidth="1"/>
    <col min="11782" max="11782" width="7.5703125" style="1577" customWidth="1"/>
    <col min="11783" max="11783" width="6.85546875" style="1577" customWidth="1"/>
    <col min="11784" max="11784" width="7.140625" style="1577" customWidth="1"/>
    <col min="11785" max="11785" width="9" style="1577" customWidth="1"/>
    <col min="11786" max="11786" width="8.28515625" style="1577" customWidth="1"/>
    <col min="11787" max="12032" width="10.28515625" style="1577"/>
    <col min="12033" max="12033" width="3.28515625" style="1577" customWidth="1"/>
    <col min="12034" max="12034" width="49.140625" style="1577" bestFit="1" customWidth="1"/>
    <col min="12035" max="12035" width="9.5703125" style="1577" customWidth="1"/>
    <col min="12036" max="12036" width="7.28515625" style="1577" customWidth="1"/>
    <col min="12037" max="12037" width="7.7109375" style="1577" customWidth="1"/>
    <col min="12038" max="12038" width="7.5703125" style="1577" customWidth="1"/>
    <col min="12039" max="12039" width="6.85546875" style="1577" customWidth="1"/>
    <col min="12040" max="12040" width="7.140625" style="1577" customWidth="1"/>
    <col min="12041" max="12041" width="9" style="1577" customWidth="1"/>
    <col min="12042" max="12042" width="8.28515625" style="1577" customWidth="1"/>
    <col min="12043" max="12288" width="10.28515625" style="1577"/>
    <col min="12289" max="12289" width="3.28515625" style="1577" customWidth="1"/>
    <col min="12290" max="12290" width="49.140625" style="1577" bestFit="1" customWidth="1"/>
    <col min="12291" max="12291" width="9.5703125" style="1577" customWidth="1"/>
    <col min="12292" max="12292" width="7.28515625" style="1577" customWidth="1"/>
    <col min="12293" max="12293" width="7.7109375" style="1577" customWidth="1"/>
    <col min="12294" max="12294" width="7.5703125" style="1577" customWidth="1"/>
    <col min="12295" max="12295" width="6.85546875" style="1577" customWidth="1"/>
    <col min="12296" max="12296" width="7.140625" style="1577" customWidth="1"/>
    <col min="12297" max="12297" width="9" style="1577" customWidth="1"/>
    <col min="12298" max="12298" width="8.28515625" style="1577" customWidth="1"/>
    <col min="12299" max="12544" width="10.28515625" style="1577"/>
    <col min="12545" max="12545" width="3.28515625" style="1577" customWidth="1"/>
    <col min="12546" max="12546" width="49.140625" style="1577" bestFit="1" customWidth="1"/>
    <col min="12547" max="12547" width="9.5703125" style="1577" customWidth="1"/>
    <col min="12548" max="12548" width="7.28515625" style="1577" customWidth="1"/>
    <col min="12549" max="12549" width="7.7109375" style="1577" customWidth="1"/>
    <col min="12550" max="12550" width="7.5703125" style="1577" customWidth="1"/>
    <col min="12551" max="12551" width="6.85546875" style="1577" customWidth="1"/>
    <col min="12552" max="12552" width="7.140625" style="1577" customWidth="1"/>
    <col min="12553" max="12553" width="9" style="1577" customWidth="1"/>
    <col min="12554" max="12554" width="8.28515625" style="1577" customWidth="1"/>
    <col min="12555" max="12800" width="10.28515625" style="1577"/>
    <col min="12801" max="12801" width="3.28515625" style="1577" customWidth="1"/>
    <col min="12802" max="12802" width="49.140625" style="1577" bestFit="1" customWidth="1"/>
    <col min="12803" max="12803" width="9.5703125" style="1577" customWidth="1"/>
    <col min="12804" max="12804" width="7.28515625" style="1577" customWidth="1"/>
    <col min="12805" max="12805" width="7.7109375" style="1577" customWidth="1"/>
    <col min="12806" max="12806" width="7.5703125" style="1577" customWidth="1"/>
    <col min="12807" max="12807" width="6.85546875" style="1577" customWidth="1"/>
    <col min="12808" max="12808" width="7.140625" style="1577" customWidth="1"/>
    <col min="12809" max="12809" width="9" style="1577" customWidth="1"/>
    <col min="12810" max="12810" width="8.28515625" style="1577" customWidth="1"/>
    <col min="12811" max="13056" width="10.28515625" style="1577"/>
    <col min="13057" max="13057" width="3.28515625" style="1577" customWidth="1"/>
    <col min="13058" max="13058" width="49.140625" style="1577" bestFit="1" customWidth="1"/>
    <col min="13059" max="13059" width="9.5703125" style="1577" customWidth="1"/>
    <col min="13060" max="13060" width="7.28515625" style="1577" customWidth="1"/>
    <col min="13061" max="13061" width="7.7109375" style="1577" customWidth="1"/>
    <col min="13062" max="13062" width="7.5703125" style="1577" customWidth="1"/>
    <col min="13063" max="13063" width="6.85546875" style="1577" customWidth="1"/>
    <col min="13064" max="13064" width="7.140625" style="1577" customWidth="1"/>
    <col min="13065" max="13065" width="9" style="1577" customWidth="1"/>
    <col min="13066" max="13066" width="8.28515625" style="1577" customWidth="1"/>
    <col min="13067" max="13312" width="10.28515625" style="1577"/>
    <col min="13313" max="13313" width="3.28515625" style="1577" customWidth="1"/>
    <col min="13314" max="13314" width="49.140625" style="1577" bestFit="1" customWidth="1"/>
    <col min="13315" max="13315" width="9.5703125" style="1577" customWidth="1"/>
    <col min="13316" max="13316" width="7.28515625" style="1577" customWidth="1"/>
    <col min="13317" max="13317" width="7.7109375" style="1577" customWidth="1"/>
    <col min="13318" max="13318" width="7.5703125" style="1577" customWidth="1"/>
    <col min="13319" max="13319" width="6.85546875" style="1577" customWidth="1"/>
    <col min="13320" max="13320" width="7.140625" style="1577" customWidth="1"/>
    <col min="13321" max="13321" width="9" style="1577" customWidth="1"/>
    <col min="13322" max="13322" width="8.28515625" style="1577" customWidth="1"/>
    <col min="13323" max="13568" width="10.28515625" style="1577"/>
    <col min="13569" max="13569" width="3.28515625" style="1577" customWidth="1"/>
    <col min="13570" max="13570" width="49.140625" style="1577" bestFit="1" customWidth="1"/>
    <col min="13571" max="13571" width="9.5703125" style="1577" customWidth="1"/>
    <col min="13572" max="13572" width="7.28515625" style="1577" customWidth="1"/>
    <col min="13573" max="13573" width="7.7109375" style="1577" customWidth="1"/>
    <col min="13574" max="13574" width="7.5703125" style="1577" customWidth="1"/>
    <col min="13575" max="13575" width="6.85546875" style="1577" customWidth="1"/>
    <col min="13576" max="13576" width="7.140625" style="1577" customWidth="1"/>
    <col min="13577" max="13577" width="9" style="1577" customWidth="1"/>
    <col min="13578" max="13578" width="8.28515625" style="1577" customWidth="1"/>
    <col min="13579" max="13824" width="10.28515625" style="1577"/>
    <col min="13825" max="13825" width="3.28515625" style="1577" customWidth="1"/>
    <col min="13826" max="13826" width="49.140625" style="1577" bestFit="1" customWidth="1"/>
    <col min="13827" max="13827" width="9.5703125" style="1577" customWidth="1"/>
    <col min="13828" max="13828" width="7.28515625" style="1577" customWidth="1"/>
    <col min="13829" max="13829" width="7.7109375" style="1577" customWidth="1"/>
    <col min="13830" max="13830" width="7.5703125" style="1577" customWidth="1"/>
    <col min="13831" max="13831" width="6.85546875" style="1577" customWidth="1"/>
    <col min="13832" max="13832" width="7.140625" style="1577" customWidth="1"/>
    <col min="13833" max="13833" width="9" style="1577" customWidth="1"/>
    <col min="13834" max="13834" width="8.28515625" style="1577" customWidth="1"/>
    <col min="13835" max="14080" width="10.28515625" style="1577"/>
    <col min="14081" max="14081" width="3.28515625" style="1577" customWidth="1"/>
    <col min="14082" max="14082" width="49.140625" style="1577" bestFit="1" customWidth="1"/>
    <col min="14083" max="14083" width="9.5703125" style="1577" customWidth="1"/>
    <col min="14084" max="14084" width="7.28515625" style="1577" customWidth="1"/>
    <col min="14085" max="14085" width="7.7109375" style="1577" customWidth="1"/>
    <col min="14086" max="14086" width="7.5703125" style="1577" customWidth="1"/>
    <col min="14087" max="14087" width="6.85546875" style="1577" customWidth="1"/>
    <col min="14088" max="14088" width="7.140625" style="1577" customWidth="1"/>
    <col min="14089" max="14089" width="9" style="1577" customWidth="1"/>
    <col min="14090" max="14090" width="8.28515625" style="1577" customWidth="1"/>
    <col min="14091" max="14336" width="10.28515625" style="1577"/>
    <col min="14337" max="14337" width="3.28515625" style="1577" customWidth="1"/>
    <col min="14338" max="14338" width="49.140625" style="1577" bestFit="1" customWidth="1"/>
    <col min="14339" max="14339" width="9.5703125" style="1577" customWidth="1"/>
    <col min="14340" max="14340" width="7.28515625" style="1577" customWidth="1"/>
    <col min="14341" max="14341" width="7.7109375" style="1577" customWidth="1"/>
    <col min="14342" max="14342" width="7.5703125" style="1577" customWidth="1"/>
    <col min="14343" max="14343" width="6.85546875" style="1577" customWidth="1"/>
    <col min="14344" max="14344" width="7.140625" style="1577" customWidth="1"/>
    <col min="14345" max="14345" width="9" style="1577" customWidth="1"/>
    <col min="14346" max="14346" width="8.28515625" style="1577" customWidth="1"/>
    <col min="14347" max="14592" width="10.28515625" style="1577"/>
    <col min="14593" max="14593" width="3.28515625" style="1577" customWidth="1"/>
    <col min="14594" max="14594" width="49.140625" style="1577" bestFit="1" customWidth="1"/>
    <col min="14595" max="14595" width="9.5703125" style="1577" customWidth="1"/>
    <col min="14596" max="14596" width="7.28515625" style="1577" customWidth="1"/>
    <col min="14597" max="14597" width="7.7109375" style="1577" customWidth="1"/>
    <col min="14598" max="14598" width="7.5703125" style="1577" customWidth="1"/>
    <col min="14599" max="14599" width="6.85546875" style="1577" customWidth="1"/>
    <col min="14600" max="14600" width="7.140625" style="1577" customWidth="1"/>
    <col min="14601" max="14601" width="9" style="1577" customWidth="1"/>
    <col min="14602" max="14602" width="8.28515625" style="1577" customWidth="1"/>
    <col min="14603" max="14848" width="10.28515625" style="1577"/>
    <col min="14849" max="14849" width="3.28515625" style="1577" customWidth="1"/>
    <col min="14850" max="14850" width="49.140625" style="1577" bestFit="1" customWidth="1"/>
    <col min="14851" max="14851" width="9.5703125" style="1577" customWidth="1"/>
    <col min="14852" max="14852" width="7.28515625" style="1577" customWidth="1"/>
    <col min="14853" max="14853" width="7.7109375" style="1577" customWidth="1"/>
    <col min="14854" max="14854" width="7.5703125" style="1577" customWidth="1"/>
    <col min="14855" max="14855" width="6.85546875" style="1577" customWidth="1"/>
    <col min="14856" max="14856" width="7.140625" style="1577" customWidth="1"/>
    <col min="14857" max="14857" width="9" style="1577" customWidth="1"/>
    <col min="14858" max="14858" width="8.28515625" style="1577" customWidth="1"/>
    <col min="14859" max="15104" width="10.28515625" style="1577"/>
    <col min="15105" max="15105" width="3.28515625" style="1577" customWidth="1"/>
    <col min="15106" max="15106" width="49.140625" style="1577" bestFit="1" customWidth="1"/>
    <col min="15107" max="15107" width="9.5703125" style="1577" customWidth="1"/>
    <col min="15108" max="15108" width="7.28515625" style="1577" customWidth="1"/>
    <col min="15109" max="15109" width="7.7109375" style="1577" customWidth="1"/>
    <col min="15110" max="15110" width="7.5703125" style="1577" customWidth="1"/>
    <col min="15111" max="15111" width="6.85546875" style="1577" customWidth="1"/>
    <col min="15112" max="15112" width="7.140625" style="1577" customWidth="1"/>
    <col min="15113" max="15113" width="9" style="1577" customWidth="1"/>
    <col min="15114" max="15114" width="8.28515625" style="1577" customWidth="1"/>
    <col min="15115" max="15360" width="10.28515625" style="1577"/>
    <col min="15361" max="15361" width="3.28515625" style="1577" customWidth="1"/>
    <col min="15362" max="15362" width="49.140625" style="1577" bestFit="1" customWidth="1"/>
    <col min="15363" max="15363" width="9.5703125" style="1577" customWidth="1"/>
    <col min="15364" max="15364" width="7.28515625" style="1577" customWidth="1"/>
    <col min="15365" max="15365" width="7.7109375" style="1577" customWidth="1"/>
    <col min="15366" max="15366" width="7.5703125" style="1577" customWidth="1"/>
    <col min="15367" max="15367" width="6.85546875" style="1577" customWidth="1"/>
    <col min="15368" max="15368" width="7.140625" style="1577" customWidth="1"/>
    <col min="15369" max="15369" width="9" style="1577" customWidth="1"/>
    <col min="15370" max="15370" width="8.28515625" style="1577" customWidth="1"/>
    <col min="15371" max="15616" width="10.28515625" style="1577"/>
    <col min="15617" max="15617" width="3.28515625" style="1577" customWidth="1"/>
    <col min="15618" max="15618" width="49.140625" style="1577" bestFit="1" customWidth="1"/>
    <col min="15619" max="15619" width="9.5703125" style="1577" customWidth="1"/>
    <col min="15620" max="15620" width="7.28515625" style="1577" customWidth="1"/>
    <col min="15621" max="15621" width="7.7109375" style="1577" customWidth="1"/>
    <col min="15622" max="15622" width="7.5703125" style="1577" customWidth="1"/>
    <col min="15623" max="15623" width="6.85546875" style="1577" customWidth="1"/>
    <col min="15624" max="15624" width="7.140625" style="1577" customWidth="1"/>
    <col min="15625" max="15625" width="9" style="1577" customWidth="1"/>
    <col min="15626" max="15626" width="8.28515625" style="1577" customWidth="1"/>
    <col min="15627" max="15872" width="10.28515625" style="1577"/>
    <col min="15873" max="15873" width="3.28515625" style="1577" customWidth="1"/>
    <col min="15874" max="15874" width="49.140625" style="1577" bestFit="1" customWidth="1"/>
    <col min="15875" max="15875" width="9.5703125" style="1577" customWidth="1"/>
    <col min="15876" max="15876" width="7.28515625" style="1577" customWidth="1"/>
    <col min="15877" max="15877" width="7.7109375" style="1577" customWidth="1"/>
    <col min="15878" max="15878" width="7.5703125" style="1577" customWidth="1"/>
    <col min="15879" max="15879" width="6.85546875" style="1577" customWidth="1"/>
    <col min="15880" max="15880" width="7.140625" style="1577" customWidth="1"/>
    <col min="15881" max="15881" width="9" style="1577" customWidth="1"/>
    <col min="15882" max="15882" width="8.28515625" style="1577" customWidth="1"/>
    <col min="15883" max="16128" width="10.28515625" style="1577"/>
    <col min="16129" max="16129" width="3.28515625" style="1577" customWidth="1"/>
    <col min="16130" max="16130" width="49.140625" style="1577" bestFit="1" customWidth="1"/>
    <col min="16131" max="16131" width="9.5703125" style="1577" customWidth="1"/>
    <col min="16132" max="16132" width="7.28515625" style="1577" customWidth="1"/>
    <col min="16133" max="16133" width="7.7109375" style="1577" customWidth="1"/>
    <col min="16134" max="16134" width="7.5703125" style="1577" customWidth="1"/>
    <col min="16135" max="16135" width="6.85546875" style="1577" customWidth="1"/>
    <col min="16136" max="16136" width="7.140625" style="1577" customWidth="1"/>
    <col min="16137" max="16137" width="9" style="1577" customWidth="1"/>
    <col min="16138" max="16138" width="8.28515625" style="1577" customWidth="1"/>
    <col min="16139" max="16384" width="10.28515625" style="1577"/>
  </cols>
  <sheetData>
    <row r="1" spans="1:11" ht="15.75" customHeight="1" x14ac:dyDescent="0.2">
      <c r="C1" s="2079" t="s">
        <v>2079</v>
      </c>
      <c r="D1" s="2080"/>
      <c r="E1" s="2080"/>
      <c r="F1" s="2080"/>
      <c r="G1" s="2080"/>
      <c r="H1" s="2080"/>
      <c r="I1" s="2080"/>
      <c r="J1" s="2080"/>
    </row>
    <row r="2" spans="1:11" x14ac:dyDescent="0.2">
      <c r="B2" s="2078" t="s">
        <v>86</v>
      </c>
      <c r="C2" s="2078"/>
      <c r="D2" s="2078"/>
      <c r="E2" s="2078"/>
      <c r="F2" s="2078"/>
      <c r="G2" s="2078"/>
      <c r="H2" s="2078"/>
      <c r="I2" s="2078"/>
      <c r="J2" s="2078"/>
    </row>
    <row r="3" spans="1:11" x14ac:dyDescent="0.2">
      <c r="B3" s="2078" t="s">
        <v>1362</v>
      </c>
      <c r="C3" s="2078"/>
      <c r="D3" s="2078"/>
      <c r="E3" s="2078"/>
      <c r="F3" s="2078"/>
      <c r="G3" s="2078"/>
      <c r="H3" s="2078"/>
      <c r="I3" s="2078"/>
      <c r="J3" s="2078"/>
    </row>
    <row r="4" spans="1:11" x14ac:dyDescent="0.2">
      <c r="B4" s="2078" t="s">
        <v>1978</v>
      </c>
      <c r="C4" s="2078"/>
      <c r="D4" s="2078"/>
      <c r="E4" s="2078"/>
      <c r="F4" s="2078"/>
      <c r="G4" s="2078"/>
      <c r="H4" s="2078"/>
      <c r="I4" s="2078"/>
      <c r="J4" s="2078"/>
    </row>
    <row r="5" spans="1:11" x14ac:dyDescent="0.2">
      <c r="B5" s="2078" t="s">
        <v>1401</v>
      </c>
      <c r="C5" s="2078"/>
      <c r="D5" s="2078"/>
      <c r="E5" s="2078"/>
      <c r="F5" s="2078"/>
      <c r="G5" s="2078"/>
      <c r="H5" s="2078"/>
      <c r="I5" s="2078"/>
      <c r="J5" s="2078"/>
    </row>
    <row r="6" spans="1:11" x14ac:dyDescent="0.2">
      <c r="B6" s="2078" t="s">
        <v>55</v>
      </c>
      <c r="C6" s="2078"/>
      <c r="D6" s="2078"/>
      <c r="E6" s="2078"/>
      <c r="F6" s="2078"/>
      <c r="G6" s="2078"/>
      <c r="H6" s="2078"/>
      <c r="I6" s="2078"/>
      <c r="J6" s="2078"/>
    </row>
    <row r="7" spans="1:11" x14ac:dyDescent="0.2">
      <c r="A7" s="2075" t="s">
        <v>468</v>
      </c>
      <c r="B7" s="1578" t="s">
        <v>57</v>
      </c>
      <c r="C7" s="1578" t="s">
        <v>58</v>
      </c>
      <c r="D7" s="1578" t="s">
        <v>59</v>
      </c>
      <c r="E7" s="1578" t="s">
        <v>60</v>
      </c>
      <c r="F7" s="1578" t="s">
        <v>469</v>
      </c>
      <c r="G7" s="1578" t="s">
        <v>470</v>
      </c>
      <c r="H7" s="1578" t="s">
        <v>598</v>
      </c>
      <c r="I7" s="1578" t="s">
        <v>599</v>
      </c>
      <c r="J7" s="1578" t="s">
        <v>600</v>
      </c>
    </row>
    <row r="8" spans="1:11" s="140" customFormat="1" ht="15" customHeight="1" x14ac:dyDescent="0.2">
      <c r="A8" s="2075"/>
      <c r="B8" s="2076" t="s">
        <v>1423</v>
      </c>
      <c r="C8" s="2077" t="s">
        <v>1424</v>
      </c>
      <c r="D8" s="2077" t="s">
        <v>1425</v>
      </c>
      <c r="E8" s="1881" t="s">
        <v>665</v>
      </c>
      <c r="F8" s="2072" t="s">
        <v>1426</v>
      </c>
      <c r="G8" s="1881" t="s">
        <v>1427</v>
      </c>
      <c r="H8" s="1881" t="s">
        <v>1224</v>
      </c>
      <c r="I8" s="2072" t="s">
        <v>1428</v>
      </c>
      <c r="J8" s="1881" t="s">
        <v>1429</v>
      </c>
    </row>
    <row r="9" spans="1:11" s="140" customFormat="1" ht="20.25" customHeight="1" x14ac:dyDescent="0.2">
      <c r="A9" s="2075"/>
      <c r="B9" s="2076"/>
      <c r="C9" s="2077"/>
      <c r="D9" s="2077"/>
      <c r="E9" s="1881"/>
      <c r="F9" s="2073"/>
      <c r="G9" s="1881"/>
      <c r="H9" s="1881"/>
      <c r="I9" s="2073"/>
      <c r="J9" s="1881"/>
    </row>
    <row r="10" spans="1:11" s="140" customFormat="1" ht="26.25" customHeight="1" x14ac:dyDescent="0.2">
      <c r="A10" s="2075"/>
      <c r="B10" s="2076"/>
      <c r="C10" s="2077"/>
      <c r="D10" s="2077"/>
      <c r="E10" s="1881"/>
      <c r="F10" s="2074"/>
      <c r="G10" s="1881"/>
      <c r="H10" s="1881"/>
      <c r="I10" s="2074"/>
      <c r="J10" s="1881"/>
    </row>
    <row r="11" spans="1:11" s="4" customFormat="1" ht="20.100000000000001" customHeight="1" x14ac:dyDescent="0.2">
      <c r="A11" s="1579" t="s">
        <v>478</v>
      </c>
      <c r="B11" s="1580" t="s">
        <v>1979</v>
      </c>
      <c r="C11" s="1581">
        <v>3316526</v>
      </c>
      <c r="D11" s="1582">
        <v>3698</v>
      </c>
      <c r="E11" s="1582">
        <v>147879</v>
      </c>
      <c r="F11" s="1582">
        <v>4</v>
      </c>
      <c r="G11" s="1582">
        <v>121336</v>
      </c>
      <c r="H11" s="1582">
        <v>131329</v>
      </c>
      <c r="I11" s="1582">
        <f>E11+F11+G11+H11</f>
        <v>400548</v>
      </c>
      <c r="J11" s="1761">
        <f>C11+D11+I11</f>
        <v>3720772</v>
      </c>
    </row>
    <row r="12" spans="1:11" s="4" customFormat="1" ht="20.100000000000001" customHeight="1" x14ac:dyDescent="0.2">
      <c r="A12" s="1583" t="s">
        <v>486</v>
      </c>
      <c r="B12" s="1584" t="s">
        <v>1980</v>
      </c>
      <c r="C12" s="1585">
        <v>2080792</v>
      </c>
      <c r="D12" s="258">
        <v>285980</v>
      </c>
      <c r="E12" s="258">
        <v>608083</v>
      </c>
      <c r="F12" s="258">
        <v>131727</v>
      </c>
      <c r="G12" s="258">
        <v>293746</v>
      </c>
      <c r="H12" s="258">
        <v>444687</v>
      </c>
      <c r="I12" s="258">
        <f>E12+F12+G12+H12</f>
        <v>1478243</v>
      </c>
      <c r="J12" s="442">
        <f t="shared" ref="J12:J26" si="0">C12+D12+I12</f>
        <v>3845015</v>
      </c>
    </row>
    <row r="13" spans="1:11" s="140" customFormat="1" ht="20.100000000000001" customHeight="1" x14ac:dyDescent="0.2">
      <c r="A13" s="1583" t="s">
        <v>487</v>
      </c>
      <c r="B13" s="1595" t="s">
        <v>1981</v>
      </c>
      <c r="C13" s="1762">
        <f>C11-C12</f>
        <v>1235734</v>
      </c>
      <c r="D13" s="260">
        <f t="shared" ref="D13:J13" si="1">D11-D12</f>
        <v>-282282</v>
      </c>
      <c r="E13" s="260">
        <f>E11-E12</f>
        <v>-460204</v>
      </c>
      <c r="F13" s="260">
        <f t="shared" si="1"/>
        <v>-131723</v>
      </c>
      <c r="G13" s="260">
        <f t="shared" si="1"/>
        <v>-172410</v>
      </c>
      <c r="H13" s="260">
        <f t="shared" si="1"/>
        <v>-313358</v>
      </c>
      <c r="I13" s="260">
        <f t="shared" si="1"/>
        <v>-1077695</v>
      </c>
      <c r="J13" s="1597">
        <f t="shared" si="1"/>
        <v>-124243</v>
      </c>
      <c r="K13" s="4"/>
    </row>
    <row r="14" spans="1:11" s="4" customFormat="1" ht="20.100000000000001" customHeight="1" x14ac:dyDescent="0.2">
      <c r="A14" s="1583" t="s">
        <v>488</v>
      </c>
      <c r="B14" s="1584" t="s">
        <v>1982</v>
      </c>
      <c r="C14" s="1585">
        <v>1485764</v>
      </c>
      <c r="D14" s="258">
        <v>299809</v>
      </c>
      <c r="E14" s="258">
        <v>460999</v>
      </c>
      <c r="F14" s="258">
        <v>131819</v>
      </c>
      <c r="G14" s="258">
        <v>178705</v>
      </c>
      <c r="H14" s="258">
        <v>326163</v>
      </c>
      <c r="I14" s="258">
        <f>E14+F14+G14+H14</f>
        <v>1097686</v>
      </c>
      <c r="J14" s="442">
        <f t="shared" si="0"/>
        <v>2883259</v>
      </c>
    </row>
    <row r="15" spans="1:11" s="4" customFormat="1" ht="20.100000000000001" customHeight="1" x14ac:dyDescent="0.2">
      <c r="A15" s="1583" t="s">
        <v>489</v>
      </c>
      <c r="B15" s="1590" t="s">
        <v>1983</v>
      </c>
      <c r="C15" s="1585">
        <v>1400087</v>
      </c>
      <c r="D15" s="258"/>
      <c r="E15" s="258"/>
      <c r="F15" s="258"/>
      <c r="G15" s="258"/>
      <c r="H15" s="258"/>
      <c r="I15" s="258"/>
      <c r="J15" s="442">
        <f t="shared" si="0"/>
        <v>1400087</v>
      </c>
    </row>
    <row r="16" spans="1:11" s="4" customFormat="1" ht="20.100000000000001" customHeight="1" x14ac:dyDescent="0.2">
      <c r="A16" s="1583" t="s">
        <v>490</v>
      </c>
      <c r="B16" s="1595" t="s">
        <v>1984</v>
      </c>
      <c r="C16" s="1762">
        <f>C14-C15</f>
        <v>85677</v>
      </c>
      <c r="D16" s="260">
        <f t="shared" ref="D16:J16" si="2">D14-D15</f>
        <v>299809</v>
      </c>
      <c r="E16" s="260">
        <f t="shared" si="2"/>
        <v>460999</v>
      </c>
      <c r="F16" s="260">
        <f t="shared" si="2"/>
        <v>131819</v>
      </c>
      <c r="G16" s="260">
        <f t="shared" si="2"/>
        <v>178705</v>
      </c>
      <c r="H16" s="260">
        <f t="shared" si="2"/>
        <v>326163</v>
      </c>
      <c r="I16" s="260">
        <f t="shared" si="2"/>
        <v>1097686</v>
      </c>
      <c r="J16" s="1597">
        <f t="shared" si="2"/>
        <v>1483172</v>
      </c>
    </row>
    <row r="17" spans="1:13" s="4" customFormat="1" ht="20.100000000000001" customHeight="1" x14ac:dyDescent="0.2">
      <c r="A17" s="1583" t="s">
        <v>491</v>
      </c>
      <c r="B17" s="1595" t="s">
        <v>1985</v>
      </c>
      <c r="C17" s="260">
        <f t="shared" ref="C17:H17" si="3">C13+C16</f>
        <v>1321411</v>
      </c>
      <c r="D17" s="260">
        <f t="shared" si="3"/>
        <v>17527</v>
      </c>
      <c r="E17" s="260">
        <f t="shared" si="3"/>
        <v>795</v>
      </c>
      <c r="F17" s="260">
        <f t="shared" si="3"/>
        <v>96</v>
      </c>
      <c r="G17" s="260">
        <f t="shared" si="3"/>
        <v>6295</v>
      </c>
      <c r="H17" s="260">
        <f t="shared" si="3"/>
        <v>12805</v>
      </c>
      <c r="I17" s="260">
        <f>E17+F17+G17+H17</f>
        <v>19991</v>
      </c>
      <c r="J17" s="1597">
        <f t="shared" si="0"/>
        <v>1358929</v>
      </c>
    </row>
    <row r="18" spans="1:13" s="4" customFormat="1" ht="20.100000000000001" customHeight="1" x14ac:dyDescent="0.2">
      <c r="A18" s="1583" t="s">
        <v>492</v>
      </c>
      <c r="B18" s="1584" t="s">
        <v>1986</v>
      </c>
      <c r="C18" s="1585"/>
      <c r="D18" s="258"/>
      <c r="E18" s="258"/>
      <c r="F18" s="258"/>
      <c r="G18" s="258"/>
      <c r="H18" s="258"/>
      <c r="I18" s="258">
        <f>E18+F18+G18+H18</f>
        <v>0</v>
      </c>
      <c r="J18" s="442">
        <f t="shared" si="0"/>
        <v>0</v>
      </c>
    </row>
    <row r="19" spans="1:13" s="4" customFormat="1" ht="20.100000000000001" customHeight="1" x14ac:dyDescent="0.2">
      <c r="A19" s="1583" t="s">
        <v>493</v>
      </c>
      <c r="B19" s="1590" t="s">
        <v>1987</v>
      </c>
      <c r="C19" s="1585"/>
      <c r="D19" s="258"/>
      <c r="E19" s="258"/>
      <c r="F19" s="258"/>
      <c r="G19" s="258"/>
      <c r="H19" s="258"/>
      <c r="I19" s="258">
        <f>E19+F19+G19+H19</f>
        <v>0</v>
      </c>
      <c r="J19" s="442">
        <f t="shared" si="0"/>
        <v>0</v>
      </c>
      <c r="M19" s="1240"/>
    </row>
    <row r="20" spans="1:13" s="4" customFormat="1" ht="20.100000000000001" customHeight="1" x14ac:dyDescent="0.2">
      <c r="A20" s="1583" t="s">
        <v>529</v>
      </c>
      <c r="B20" s="1763" t="s">
        <v>1988</v>
      </c>
      <c r="C20" s="1762">
        <f>C18-C19</f>
        <v>0</v>
      </c>
      <c r="D20" s="260">
        <f t="shared" ref="D20:J20" si="4">D18-D19</f>
        <v>0</v>
      </c>
      <c r="E20" s="260">
        <f t="shared" si="4"/>
        <v>0</v>
      </c>
      <c r="F20" s="260">
        <f t="shared" si="4"/>
        <v>0</v>
      </c>
      <c r="G20" s="260">
        <f t="shared" si="4"/>
        <v>0</v>
      </c>
      <c r="H20" s="260">
        <f t="shared" si="4"/>
        <v>0</v>
      </c>
      <c r="I20" s="260">
        <f t="shared" si="4"/>
        <v>0</v>
      </c>
      <c r="J20" s="1597">
        <f t="shared" si="4"/>
        <v>0</v>
      </c>
    </row>
    <row r="21" spans="1:13" s="140" customFormat="1" ht="20.100000000000001" customHeight="1" x14ac:dyDescent="0.2">
      <c r="A21" s="1583" t="s">
        <v>530</v>
      </c>
      <c r="B21" s="1584" t="s">
        <v>1989</v>
      </c>
      <c r="C21" s="1585"/>
      <c r="D21" s="258"/>
      <c r="E21" s="258"/>
      <c r="F21" s="258"/>
      <c r="G21" s="258"/>
      <c r="H21" s="258"/>
      <c r="I21" s="258">
        <f>E21+F21+G21+H21</f>
        <v>0</v>
      </c>
      <c r="J21" s="442">
        <f t="shared" si="0"/>
        <v>0</v>
      </c>
    </row>
    <row r="22" spans="1:13" s="4" customFormat="1" ht="20.100000000000001" customHeight="1" x14ac:dyDescent="0.2">
      <c r="A22" s="1583" t="s">
        <v>531</v>
      </c>
      <c r="B22" s="896" t="s">
        <v>1990</v>
      </c>
      <c r="C22" s="1585"/>
      <c r="D22" s="258"/>
      <c r="E22" s="258"/>
      <c r="F22" s="258"/>
      <c r="G22" s="258"/>
      <c r="H22" s="258"/>
      <c r="I22" s="258">
        <f>E22+F22+G22+H22</f>
        <v>0</v>
      </c>
      <c r="J22" s="442">
        <f t="shared" si="0"/>
        <v>0</v>
      </c>
    </row>
    <row r="23" spans="1:13" s="4" customFormat="1" ht="20.100000000000001" customHeight="1" x14ac:dyDescent="0.2">
      <c r="A23" s="1583" t="s">
        <v>532</v>
      </c>
      <c r="B23" s="1764" t="s">
        <v>1991</v>
      </c>
      <c r="C23" s="1762">
        <f>C21-C22</f>
        <v>0</v>
      </c>
      <c r="D23" s="260">
        <f t="shared" ref="D23:J23" si="5">D21-D22</f>
        <v>0</v>
      </c>
      <c r="E23" s="260">
        <f t="shared" si="5"/>
        <v>0</v>
      </c>
      <c r="F23" s="260">
        <f t="shared" si="5"/>
        <v>0</v>
      </c>
      <c r="G23" s="260">
        <f t="shared" si="5"/>
        <v>0</v>
      </c>
      <c r="H23" s="260">
        <f t="shared" si="5"/>
        <v>0</v>
      </c>
      <c r="I23" s="260">
        <f t="shared" si="5"/>
        <v>0</v>
      </c>
      <c r="J23" s="1597">
        <f t="shared" si="5"/>
        <v>0</v>
      </c>
    </row>
    <row r="24" spans="1:13" s="140" customFormat="1" ht="20.100000000000001" customHeight="1" x14ac:dyDescent="0.2">
      <c r="A24" s="1583" t="s">
        <v>533</v>
      </c>
      <c r="B24" s="1764" t="s">
        <v>1992</v>
      </c>
      <c r="C24" s="1762">
        <f>C20+C23</f>
        <v>0</v>
      </c>
      <c r="D24" s="260">
        <f t="shared" ref="D24:J24" si="6">D20+D23</f>
        <v>0</v>
      </c>
      <c r="E24" s="260">
        <f t="shared" si="6"/>
        <v>0</v>
      </c>
      <c r="F24" s="260">
        <f t="shared" si="6"/>
        <v>0</v>
      </c>
      <c r="G24" s="260">
        <f t="shared" si="6"/>
        <v>0</v>
      </c>
      <c r="H24" s="260">
        <f t="shared" si="6"/>
        <v>0</v>
      </c>
      <c r="I24" s="260">
        <f t="shared" si="6"/>
        <v>0</v>
      </c>
      <c r="J24" s="1597">
        <f t="shared" si="6"/>
        <v>0</v>
      </c>
    </row>
    <row r="25" spans="1:13" s="140" customFormat="1" ht="16.5" customHeight="1" x14ac:dyDescent="0.2">
      <c r="A25" s="1583" t="s">
        <v>534</v>
      </c>
      <c r="B25" s="1764" t="s">
        <v>1993</v>
      </c>
      <c r="C25" s="1762">
        <f>C17+C24</f>
        <v>1321411</v>
      </c>
      <c r="D25" s="260">
        <f t="shared" ref="D25:J25" si="7">D17+D24</f>
        <v>17527</v>
      </c>
      <c r="E25" s="260">
        <f t="shared" si="7"/>
        <v>795</v>
      </c>
      <c r="F25" s="260">
        <f t="shared" si="7"/>
        <v>96</v>
      </c>
      <c r="G25" s="260">
        <f t="shared" si="7"/>
        <v>6295</v>
      </c>
      <c r="H25" s="260">
        <f t="shared" si="7"/>
        <v>12805</v>
      </c>
      <c r="I25" s="260">
        <f t="shared" si="7"/>
        <v>19991</v>
      </c>
      <c r="J25" s="1597">
        <f t="shared" si="7"/>
        <v>1358929</v>
      </c>
      <c r="L25" s="259"/>
    </row>
    <row r="26" spans="1:13" s="140" customFormat="1" ht="20.100000000000001" customHeight="1" x14ac:dyDescent="0.2">
      <c r="A26" s="1583" t="s">
        <v>535</v>
      </c>
      <c r="B26" s="1764" t="s">
        <v>1994</v>
      </c>
      <c r="C26" s="1762">
        <v>4794</v>
      </c>
      <c r="D26" s="260">
        <v>231</v>
      </c>
      <c r="E26" s="260">
        <f>E25</f>
        <v>795</v>
      </c>
      <c r="F26" s="260">
        <f t="shared" ref="F26:H26" si="8">F25</f>
        <v>96</v>
      </c>
      <c r="G26" s="260">
        <f t="shared" si="8"/>
        <v>6295</v>
      </c>
      <c r="H26" s="260">
        <f t="shared" si="8"/>
        <v>12805</v>
      </c>
      <c r="I26" s="260">
        <f>E26+F26+G26+H26</f>
        <v>19991</v>
      </c>
      <c r="J26" s="1597">
        <f t="shared" si="0"/>
        <v>25016</v>
      </c>
      <c r="K26" s="4"/>
    </row>
    <row r="27" spans="1:13" s="140" customFormat="1" ht="20.100000000000001" customHeight="1" x14ac:dyDescent="0.2">
      <c r="A27" s="1583" t="s">
        <v>536</v>
      </c>
      <c r="B27" s="1764" t="s">
        <v>1995</v>
      </c>
      <c r="C27" s="260">
        <f>C17-C26</f>
        <v>1316617</v>
      </c>
      <c r="D27" s="260">
        <f t="shared" ref="D27:J27" si="9">D17-D26</f>
        <v>17296</v>
      </c>
      <c r="E27" s="260">
        <f t="shared" si="9"/>
        <v>0</v>
      </c>
      <c r="F27" s="260">
        <f t="shared" si="9"/>
        <v>0</v>
      </c>
      <c r="G27" s="260">
        <f t="shared" si="9"/>
        <v>0</v>
      </c>
      <c r="H27" s="260">
        <f t="shared" si="9"/>
        <v>0</v>
      </c>
      <c r="I27" s="260">
        <f t="shared" si="9"/>
        <v>0</v>
      </c>
      <c r="J27" s="1597">
        <f t="shared" si="9"/>
        <v>1333913</v>
      </c>
    </row>
    <row r="28" spans="1:13" s="140" customFormat="1" ht="20.100000000000001" customHeight="1" x14ac:dyDescent="0.2">
      <c r="A28" s="1583" t="s">
        <v>538</v>
      </c>
      <c r="B28" s="1764" t="s">
        <v>1996</v>
      </c>
      <c r="C28" s="1765">
        <f>C24*0.1</f>
        <v>0</v>
      </c>
      <c r="D28" s="1766">
        <f t="shared" ref="D28:J28" si="10">D24*0.1</f>
        <v>0</v>
      </c>
      <c r="E28" s="1766">
        <f t="shared" si="10"/>
        <v>0</v>
      </c>
      <c r="F28" s="1766">
        <f t="shared" si="10"/>
        <v>0</v>
      </c>
      <c r="G28" s="1766">
        <f t="shared" si="10"/>
        <v>0</v>
      </c>
      <c r="H28" s="1766">
        <f t="shared" si="10"/>
        <v>0</v>
      </c>
      <c r="I28" s="1766">
        <f t="shared" si="10"/>
        <v>0</v>
      </c>
      <c r="J28" s="1767">
        <f t="shared" si="10"/>
        <v>0</v>
      </c>
    </row>
    <row r="29" spans="1:13" s="4" customFormat="1" ht="20.100000000000001" customHeight="1" x14ac:dyDescent="0.2">
      <c r="A29" s="1602" t="s">
        <v>539</v>
      </c>
      <c r="B29" s="1768" t="s">
        <v>1997</v>
      </c>
      <c r="C29" s="1769">
        <f>C24-C28</f>
        <v>0</v>
      </c>
      <c r="D29" s="1770">
        <f t="shared" ref="D29:J29" si="11">D24-D28</f>
        <v>0</v>
      </c>
      <c r="E29" s="1770">
        <f t="shared" si="11"/>
        <v>0</v>
      </c>
      <c r="F29" s="1770">
        <f t="shared" si="11"/>
        <v>0</v>
      </c>
      <c r="G29" s="1770">
        <f t="shared" si="11"/>
        <v>0</v>
      </c>
      <c r="H29" s="1770">
        <f t="shared" si="11"/>
        <v>0</v>
      </c>
      <c r="I29" s="1770">
        <f t="shared" si="11"/>
        <v>0</v>
      </c>
      <c r="J29" s="1771">
        <f t="shared" si="11"/>
        <v>0</v>
      </c>
    </row>
    <row r="30" spans="1:13" x14ac:dyDescent="0.2">
      <c r="C30" s="1772"/>
      <c r="D30" s="1772"/>
      <c r="E30" s="1772"/>
      <c r="F30" s="1772"/>
      <c r="G30" s="1772"/>
      <c r="K30" s="1608"/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4"/>
  <sheetViews>
    <sheetView workbookViewId="0">
      <selection activeCell="C1" sqref="C1:J1"/>
    </sheetView>
  </sheetViews>
  <sheetFormatPr defaultColWidth="10.28515625" defaultRowHeight="12.75" x14ac:dyDescent="0.2"/>
  <cols>
    <col min="1" max="1" width="3.28515625" style="1577" customWidth="1"/>
    <col min="2" max="2" width="65.28515625" style="1577" bestFit="1" customWidth="1"/>
    <col min="3" max="3" width="10.28515625" style="1577" customWidth="1"/>
    <col min="4" max="4" width="10.7109375" style="1577" customWidth="1"/>
    <col min="5" max="5" width="8.7109375" style="1577" customWidth="1"/>
    <col min="6" max="6" width="10" style="1577" customWidth="1"/>
    <col min="7" max="7" width="9.5703125" style="1577" customWidth="1"/>
    <col min="8" max="8" width="8" style="1577" bestFit="1" customWidth="1"/>
    <col min="9" max="9" width="9.28515625" style="1577" customWidth="1"/>
    <col min="10" max="10" width="9.42578125" style="1608" bestFit="1" customWidth="1"/>
    <col min="11" max="256" width="10.28515625" style="1577"/>
    <col min="257" max="257" width="3.28515625" style="1577" customWidth="1"/>
    <col min="258" max="258" width="51.85546875" style="1577" customWidth="1"/>
    <col min="259" max="259" width="10.28515625" style="1577" customWidth="1"/>
    <col min="260" max="260" width="7.28515625" style="1577" customWidth="1"/>
    <col min="261" max="261" width="7.7109375" style="1577" customWidth="1"/>
    <col min="262" max="262" width="7.5703125" style="1577" customWidth="1"/>
    <col min="263" max="263" width="6.85546875" style="1577" customWidth="1"/>
    <col min="264" max="264" width="7.140625" style="1577" customWidth="1"/>
    <col min="265" max="265" width="7.85546875" style="1577" customWidth="1"/>
    <col min="266" max="266" width="8.28515625" style="1577" customWidth="1"/>
    <col min="267" max="512" width="10.28515625" style="1577"/>
    <col min="513" max="513" width="3.28515625" style="1577" customWidth="1"/>
    <col min="514" max="514" width="51.85546875" style="1577" customWidth="1"/>
    <col min="515" max="515" width="10.28515625" style="1577" customWidth="1"/>
    <col min="516" max="516" width="7.28515625" style="1577" customWidth="1"/>
    <col min="517" max="517" width="7.7109375" style="1577" customWidth="1"/>
    <col min="518" max="518" width="7.5703125" style="1577" customWidth="1"/>
    <col min="519" max="519" width="6.85546875" style="1577" customWidth="1"/>
    <col min="520" max="520" width="7.140625" style="1577" customWidth="1"/>
    <col min="521" max="521" width="7.85546875" style="1577" customWidth="1"/>
    <col min="522" max="522" width="8.28515625" style="1577" customWidth="1"/>
    <col min="523" max="768" width="10.28515625" style="1577"/>
    <col min="769" max="769" width="3.28515625" style="1577" customWidth="1"/>
    <col min="770" max="770" width="51.85546875" style="1577" customWidth="1"/>
    <col min="771" max="771" width="10.28515625" style="1577" customWidth="1"/>
    <col min="772" max="772" width="7.28515625" style="1577" customWidth="1"/>
    <col min="773" max="773" width="7.7109375" style="1577" customWidth="1"/>
    <col min="774" max="774" width="7.5703125" style="1577" customWidth="1"/>
    <col min="775" max="775" width="6.85546875" style="1577" customWidth="1"/>
    <col min="776" max="776" width="7.140625" style="1577" customWidth="1"/>
    <col min="777" max="777" width="7.85546875" style="1577" customWidth="1"/>
    <col min="778" max="778" width="8.28515625" style="1577" customWidth="1"/>
    <col min="779" max="1024" width="10.28515625" style="1577"/>
    <col min="1025" max="1025" width="3.28515625" style="1577" customWidth="1"/>
    <col min="1026" max="1026" width="51.85546875" style="1577" customWidth="1"/>
    <col min="1027" max="1027" width="10.28515625" style="1577" customWidth="1"/>
    <col min="1028" max="1028" width="7.28515625" style="1577" customWidth="1"/>
    <col min="1029" max="1029" width="7.7109375" style="1577" customWidth="1"/>
    <col min="1030" max="1030" width="7.5703125" style="1577" customWidth="1"/>
    <col min="1031" max="1031" width="6.85546875" style="1577" customWidth="1"/>
    <col min="1032" max="1032" width="7.140625" style="1577" customWidth="1"/>
    <col min="1033" max="1033" width="7.85546875" style="1577" customWidth="1"/>
    <col min="1034" max="1034" width="8.28515625" style="1577" customWidth="1"/>
    <col min="1035" max="1280" width="10.28515625" style="1577"/>
    <col min="1281" max="1281" width="3.28515625" style="1577" customWidth="1"/>
    <col min="1282" max="1282" width="51.85546875" style="1577" customWidth="1"/>
    <col min="1283" max="1283" width="10.28515625" style="1577" customWidth="1"/>
    <col min="1284" max="1284" width="7.28515625" style="1577" customWidth="1"/>
    <col min="1285" max="1285" width="7.7109375" style="1577" customWidth="1"/>
    <col min="1286" max="1286" width="7.5703125" style="1577" customWidth="1"/>
    <col min="1287" max="1287" width="6.85546875" style="1577" customWidth="1"/>
    <col min="1288" max="1288" width="7.140625" style="1577" customWidth="1"/>
    <col min="1289" max="1289" width="7.85546875" style="1577" customWidth="1"/>
    <col min="1290" max="1290" width="8.28515625" style="1577" customWidth="1"/>
    <col min="1291" max="1536" width="10.28515625" style="1577"/>
    <col min="1537" max="1537" width="3.28515625" style="1577" customWidth="1"/>
    <col min="1538" max="1538" width="51.85546875" style="1577" customWidth="1"/>
    <col min="1539" max="1539" width="10.28515625" style="1577" customWidth="1"/>
    <col min="1540" max="1540" width="7.28515625" style="1577" customWidth="1"/>
    <col min="1541" max="1541" width="7.7109375" style="1577" customWidth="1"/>
    <col min="1542" max="1542" width="7.5703125" style="1577" customWidth="1"/>
    <col min="1543" max="1543" width="6.85546875" style="1577" customWidth="1"/>
    <col min="1544" max="1544" width="7.140625" style="1577" customWidth="1"/>
    <col min="1545" max="1545" width="7.85546875" style="1577" customWidth="1"/>
    <col min="1546" max="1546" width="8.28515625" style="1577" customWidth="1"/>
    <col min="1547" max="1792" width="10.28515625" style="1577"/>
    <col min="1793" max="1793" width="3.28515625" style="1577" customWidth="1"/>
    <col min="1794" max="1794" width="51.85546875" style="1577" customWidth="1"/>
    <col min="1795" max="1795" width="10.28515625" style="1577" customWidth="1"/>
    <col min="1796" max="1796" width="7.28515625" style="1577" customWidth="1"/>
    <col min="1797" max="1797" width="7.7109375" style="1577" customWidth="1"/>
    <col min="1798" max="1798" width="7.5703125" style="1577" customWidth="1"/>
    <col min="1799" max="1799" width="6.85546875" style="1577" customWidth="1"/>
    <col min="1800" max="1800" width="7.140625" style="1577" customWidth="1"/>
    <col min="1801" max="1801" width="7.85546875" style="1577" customWidth="1"/>
    <col min="1802" max="1802" width="8.28515625" style="1577" customWidth="1"/>
    <col min="1803" max="2048" width="10.28515625" style="1577"/>
    <col min="2049" max="2049" width="3.28515625" style="1577" customWidth="1"/>
    <col min="2050" max="2050" width="51.85546875" style="1577" customWidth="1"/>
    <col min="2051" max="2051" width="10.28515625" style="1577" customWidth="1"/>
    <col min="2052" max="2052" width="7.28515625" style="1577" customWidth="1"/>
    <col min="2053" max="2053" width="7.7109375" style="1577" customWidth="1"/>
    <col min="2054" max="2054" width="7.5703125" style="1577" customWidth="1"/>
    <col min="2055" max="2055" width="6.85546875" style="1577" customWidth="1"/>
    <col min="2056" max="2056" width="7.140625" style="1577" customWidth="1"/>
    <col min="2057" max="2057" width="7.85546875" style="1577" customWidth="1"/>
    <col min="2058" max="2058" width="8.28515625" style="1577" customWidth="1"/>
    <col min="2059" max="2304" width="10.28515625" style="1577"/>
    <col min="2305" max="2305" width="3.28515625" style="1577" customWidth="1"/>
    <col min="2306" max="2306" width="51.85546875" style="1577" customWidth="1"/>
    <col min="2307" max="2307" width="10.28515625" style="1577" customWidth="1"/>
    <col min="2308" max="2308" width="7.28515625" style="1577" customWidth="1"/>
    <col min="2309" max="2309" width="7.7109375" style="1577" customWidth="1"/>
    <col min="2310" max="2310" width="7.5703125" style="1577" customWidth="1"/>
    <col min="2311" max="2311" width="6.85546875" style="1577" customWidth="1"/>
    <col min="2312" max="2312" width="7.140625" style="1577" customWidth="1"/>
    <col min="2313" max="2313" width="7.85546875" style="1577" customWidth="1"/>
    <col min="2314" max="2314" width="8.28515625" style="1577" customWidth="1"/>
    <col min="2315" max="2560" width="10.28515625" style="1577"/>
    <col min="2561" max="2561" width="3.28515625" style="1577" customWidth="1"/>
    <col min="2562" max="2562" width="51.85546875" style="1577" customWidth="1"/>
    <col min="2563" max="2563" width="10.28515625" style="1577" customWidth="1"/>
    <col min="2564" max="2564" width="7.28515625" style="1577" customWidth="1"/>
    <col min="2565" max="2565" width="7.7109375" style="1577" customWidth="1"/>
    <col min="2566" max="2566" width="7.5703125" style="1577" customWidth="1"/>
    <col min="2567" max="2567" width="6.85546875" style="1577" customWidth="1"/>
    <col min="2568" max="2568" width="7.140625" style="1577" customWidth="1"/>
    <col min="2569" max="2569" width="7.85546875" style="1577" customWidth="1"/>
    <col min="2570" max="2570" width="8.28515625" style="1577" customWidth="1"/>
    <col min="2571" max="2816" width="10.28515625" style="1577"/>
    <col min="2817" max="2817" width="3.28515625" style="1577" customWidth="1"/>
    <col min="2818" max="2818" width="51.85546875" style="1577" customWidth="1"/>
    <col min="2819" max="2819" width="10.28515625" style="1577" customWidth="1"/>
    <col min="2820" max="2820" width="7.28515625" style="1577" customWidth="1"/>
    <col min="2821" max="2821" width="7.7109375" style="1577" customWidth="1"/>
    <col min="2822" max="2822" width="7.5703125" style="1577" customWidth="1"/>
    <col min="2823" max="2823" width="6.85546875" style="1577" customWidth="1"/>
    <col min="2824" max="2824" width="7.140625" style="1577" customWidth="1"/>
    <col min="2825" max="2825" width="7.85546875" style="1577" customWidth="1"/>
    <col min="2826" max="2826" width="8.28515625" style="1577" customWidth="1"/>
    <col min="2827" max="3072" width="10.28515625" style="1577"/>
    <col min="3073" max="3073" width="3.28515625" style="1577" customWidth="1"/>
    <col min="3074" max="3074" width="51.85546875" style="1577" customWidth="1"/>
    <col min="3075" max="3075" width="10.28515625" style="1577" customWidth="1"/>
    <col min="3076" max="3076" width="7.28515625" style="1577" customWidth="1"/>
    <col min="3077" max="3077" width="7.7109375" style="1577" customWidth="1"/>
    <col min="3078" max="3078" width="7.5703125" style="1577" customWidth="1"/>
    <col min="3079" max="3079" width="6.85546875" style="1577" customWidth="1"/>
    <col min="3080" max="3080" width="7.140625" style="1577" customWidth="1"/>
    <col min="3081" max="3081" width="7.85546875" style="1577" customWidth="1"/>
    <col min="3082" max="3082" width="8.28515625" style="1577" customWidth="1"/>
    <col min="3083" max="3328" width="10.28515625" style="1577"/>
    <col min="3329" max="3329" width="3.28515625" style="1577" customWidth="1"/>
    <col min="3330" max="3330" width="51.85546875" style="1577" customWidth="1"/>
    <col min="3331" max="3331" width="10.28515625" style="1577" customWidth="1"/>
    <col min="3332" max="3332" width="7.28515625" style="1577" customWidth="1"/>
    <col min="3333" max="3333" width="7.7109375" style="1577" customWidth="1"/>
    <col min="3334" max="3334" width="7.5703125" style="1577" customWidth="1"/>
    <col min="3335" max="3335" width="6.85546875" style="1577" customWidth="1"/>
    <col min="3336" max="3336" width="7.140625" style="1577" customWidth="1"/>
    <col min="3337" max="3337" width="7.85546875" style="1577" customWidth="1"/>
    <col min="3338" max="3338" width="8.28515625" style="1577" customWidth="1"/>
    <col min="3339" max="3584" width="10.28515625" style="1577"/>
    <col min="3585" max="3585" width="3.28515625" style="1577" customWidth="1"/>
    <col min="3586" max="3586" width="51.85546875" style="1577" customWidth="1"/>
    <col min="3587" max="3587" width="10.28515625" style="1577" customWidth="1"/>
    <col min="3588" max="3588" width="7.28515625" style="1577" customWidth="1"/>
    <col min="3589" max="3589" width="7.7109375" style="1577" customWidth="1"/>
    <col min="3590" max="3590" width="7.5703125" style="1577" customWidth="1"/>
    <col min="3591" max="3591" width="6.85546875" style="1577" customWidth="1"/>
    <col min="3592" max="3592" width="7.140625" style="1577" customWidth="1"/>
    <col min="3593" max="3593" width="7.85546875" style="1577" customWidth="1"/>
    <col min="3594" max="3594" width="8.28515625" style="1577" customWidth="1"/>
    <col min="3595" max="3840" width="10.28515625" style="1577"/>
    <col min="3841" max="3841" width="3.28515625" style="1577" customWidth="1"/>
    <col min="3842" max="3842" width="51.85546875" style="1577" customWidth="1"/>
    <col min="3843" max="3843" width="10.28515625" style="1577" customWidth="1"/>
    <col min="3844" max="3844" width="7.28515625" style="1577" customWidth="1"/>
    <col min="3845" max="3845" width="7.7109375" style="1577" customWidth="1"/>
    <col min="3846" max="3846" width="7.5703125" style="1577" customWidth="1"/>
    <col min="3847" max="3847" width="6.85546875" style="1577" customWidth="1"/>
    <col min="3848" max="3848" width="7.140625" style="1577" customWidth="1"/>
    <col min="3849" max="3849" width="7.85546875" style="1577" customWidth="1"/>
    <col min="3850" max="3850" width="8.28515625" style="1577" customWidth="1"/>
    <col min="3851" max="4096" width="10.28515625" style="1577"/>
    <col min="4097" max="4097" width="3.28515625" style="1577" customWidth="1"/>
    <col min="4098" max="4098" width="51.85546875" style="1577" customWidth="1"/>
    <col min="4099" max="4099" width="10.28515625" style="1577" customWidth="1"/>
    <col min="4100" max="4100" width="7.28515625" style="1577" customWidth="1"/>
    <col min="4101" max="4101" width="7.7109375" style="1577" customWidth="1"/>
    <col min="4102" max="4102" width="7.5703125" style="1577" customWidth="1"/>
    <col min="4103" max="4103" width="6.85546875" style="1577" customWidth="1"/>
    <col min="4104" max="4104" width="7.140625" style="1577" customWidth="1"/>
    <col min="4105" max="4105" width="7.85546875" style="1577" customWidth="1"/>
    <col min="4106" max="4106" width="8.28515625" style="1577" customWidth="1"/>
    <col min="4107" max="4352" width="10.28515625" style="1577"/>
    <col min="4353" max="4353" width="3.28515625" style="1577" customWidth="1"/>
    <col min="4354" max="4354" width="51.85546875" style="1577" customWidth="1"/>
    <col min="4355" max="4355" width="10.28515625" style="1577" customWidth="1"/>
    <col min="4356" max="4356" width="7.28515625" style="1577" customWidth="1"/>
    <col min="4357" max="4357" width="7.7109375" style="1577" customWidth="1"/>
    <col min="4358" max="4358" width="7.5703125" style="1577" customWidth="1"/>
    <col min="4359" max="4359" width="6.85546875" style="1577" customWidth="1"/>
    <col min="4360" max="4360" width="7.140625" style="1577" customWidth="1"/>
    <col min="4361" max="4361" width="7.85546875" style="1577" customWidth="1"/>
    <col min="4362" max="4362" width="8.28515625" style="1577" customWidth="1"/>
    <col min="4363" max="4608" width="10.28515625" style="1577"/>
    <col min="4609" max="4609" width="3.28515625" style="1577" customWidth="1"/>
    <col min="4610" max="4610" width="51.85546875" style="1577" customWidth="1"/>
    <col min="4611" max="4611" width="10.28515625" style="1577" customWidth="1"/>
    <col min="4612" max="4612" width="7.28515625" style="1577" customWidth="1"/>
    <col min="4613" max="4613" width="7.7109375" style="1577" customWidth="1"/>
    <col min="4614" max="4614" width="7.5703125" style="1577" customWidth="1"/>
    <col min="4615" max="4615" width="6.85546875" style="1577" customWidth="1"/>
    <col min="4616" max="4616" width="7.140625" style="1577" customWidth="1"/>
    <col min="4617" max="4617" width="7.85546875" style="1577" customWidth="1"/>
    <col min="4618" max="4618" width="8.28515625" style="1577" customWidth="1"/>
    <col min="4619" max="4864" width="10.28515625" style="1577"/>
    <col min="4865" max="4865" width="3.28515625" style="1577" customWidth="1"/>
    <col min="4866" max="4866" width="51.85546875" style="1577" customWidth="1"/>
    <col min="4867" max="4867" width="10.28515625" style="1577" customWidth="1"/>
    <col min="4868" max="4868" width="7.28515625" style="1577" customWidth="1"/>
    <col min="4869" max="4869" width="7.7109375" style="1577" customWidth="1"/>
    <col min="4870" max="4870" width="7.5703125" style="1577" customWidth="1"/>
    <col min="4871" max="4871" width="6.85546875" style="1577" customWidth="1"/>
    <col min="4872" max="4872" width="7.140625" style="1577" customWidth="1"/>
    <col min="4873" max="4873" width="7.85546875" style="1577" customWidth="1"/>
    <col min="4874" max="4874" width="8.28515625" style="1577" customWidth="1"/>
    <col min="4875" max="5120" width="10.28515625" style="1577"/>
    <col min="5121" max="5121" width="3.28515625" style="1577" customWidth="1"/>
    <col min="5122" max="5122" width="51.85546875" style="1577" customWidth="1"/>
    <col min="5123" max="5123" width="10.28515625" style="1577" customWidth="1"/>
    <col min="5124" max="5124" width="7.28515625" style="1577" customWidth="1"/>
    <col min="5125" max="5125" width="7.7109375" style="1577" customWidth="1"/>
    <col min="5126" max="5126" width="7.5703125" style="1577" customWidth="1"/>
    <col min="5127" max="5127" width="6.85546875" style="1577" customWidth="1"/>
    <col min="5128" max="5128" width="7.140625" style="1577" customWidth="1"/>
    <col min="5129" max="5129" width="7.85546875" style="1577" customWidth="1"/>
    <col min="5130" max="5130" width="8.28515625" style="1577" customWidth="1"/>
    <col min="5131" max="5376" width="10.28515625" style="1577"/>
    <col min="5377" max="5377" width="3.28515625" style="1577" customWidth="1"/>
    <col min="5378" max="5378" width="51.85546875" style="1577" customWidth="1"/>
    <col min="5379" max="5379" width="10.28515625" style="1577" customWidth="1"/>
    <col min="5380" max="5380" width="7.28515625" style="1577" customWidth="1"/>
    <col min="5381" max="5381" width="7.7109375" style="1577" customWidth="1"/>
    <col min="5382" max="5382" width="7.5703125" style="1577" customWidth="1"/>
    <col min="5383" max="5383" width="6.85546875" style="1577" customWidth="1"/>
    <col min="5384" max="5384" width="7.140625" style="1577" customWidth="1"/>
    <col min="5385" max="5385" width="7.85546875" style="1577" customWidth="1"/>
    <col min="5386" max="5386" width="8.28515625" style="1577" customWidth="1"/>
    <col min="5387" max="5632" width="10.28515625" style="1577"/>
    <col min="5633" max="5633" width="3.28515625" style="1577" customWidth="1"/>
    <col min="5634" max="5634" width="51.85546875" style="1577" customWidth="1"/>
    <col min="5635" max="5635" width="10.28515625" style="1577" customWidth="1"/>
    <col min="5636" max="5636" width="7.28515625" style="1577" customWidth="1"/>
    <col min="5637" max="5637" width="7.7109375" style="1577" customWidth="1"/>
    <col min="5638" max="5638" width="7.5703125" style="1577" customWidth="1"/>
    <col min="5639" max="5639" width="6.85546875" style="1577" customWidth="1"/>
    <col min="5640" max="5640" width="7.140625" style="1577" customWidth="1"/>
    <col min="5641" max="5641" width="7.85546875" style="1577" customWidth="1"/>
    <col min="5642" max="5642" width="8.28515625" style="1577" customWidth="1"/>
    <col min="5643" max="5888" width="10.28515625" style="1577"/>
    <col min="5889" max="5889" width="3.28515625" style="1577" customWidth="1"/>
    <col min="5890" max="5890" width="51.85546875" style="1577" customWidth="1"/>
    <col min="5891" max="5891" width="10.28515625" style="1577" customWidth="1"/>
    <col min="5892" max="5892" width="7.28515625" style="1577" customWidth="1"/>
    <col min="5893" max="5893" width="7.7109375" style="1577" customWidth="1"/>
    <col min="5894" max="5894" width="7.5703125" style="1577" customWidth="1"/>
    <col min="5895" max="5895" width="6.85546875" style="1577" customWidth="1"/>
    <col min="5896" max="5896" width="7.140625" style="1577" customWidth="1"/>
    <col min="5897" max="5897" width="7.85546875" style="1577" customWidth="1"/>
    <col min="5898" max="5898" width="8.28515625" style="1577" customWidth="1"/>
    <col min="5899" max="6144" width="10.28515625" style="1577"/>
    <col min="6145" max="6145" width="3.28515625" style="1577" customWidth="1"/>
    <col min="6146" max="6146" width="51.85546875" style="1577" customWidth="1"/>
    <col min="6147" max="6147" width="10.28515625" style="1577" customWidth="1"/>
    <col min="6148" max="6148" width="7.28515625" style="1577" customWidth="1"/>
    <col min="6149" max="6149" width="7.7109375" style="1577" customWidth="1"/>
    <col min="6150" max="6150" width="7.5703125" style="1577" customWidth="1"/>
    <col min="6151" max="6151" width="6.85546875" style="1577" customWidth="1"/>
    <col min="6152" max="6152" width="7.140625" style="1577" customWidth="1"/>
    <col min="6153" max="6153" width="7.85546875" style="1577" customWidth="1"/>
    <col min="6154" max="6154" width="8.28515625" style="1577" customWidth="1"/>
    <col min="6155" max="6400" width="10.28515625" style="1577"/>
    <col min="6401" max="6401" width="3.28515625" style="1577" customWidth="1"/>
    <col min="6402" max="6402" width="51.85546875" style="1577" customWidth="1"/>
    <col min="6403" max="6403" width="10.28515625" style="1577" customWidth="1"/>
    <col min="6404" max="6404" width="7.28515625" style="1577" customWidth="1"/>
    <col min="6405" max="6405" width="7.7109375" style="1577" customWidth="1"/>
    <col min="6406" max="6406" width="7.5703125" style="1577" customWidth="1"/>
    <col min="6407" max="6407" width="6.85546875" style="1577" customWidth="1"/>
    <col min="6408" max="6408" width="7.140625" style="1577" customWidth="1"/>
    <col min="6409" max="6409" width="7.85546875" style="1577" customWidth="1"/>
    <col min="6410" max="6410" width="8.28515625" style="1577" customWidth="1"/>
    <col min="6411" max="6656" width="10.28515625" style="1577"/>
    <col min="6657" max="6657" width="3.28515625" style="1577" customWidth="1"/>
    <col min="6658" max="6658" width="51.85546875" style="1577" customWidth="1"/>
    <col min="6659" max="6659" width="10.28515625" style="1577" customWidth="1"/>
    <col min="6660" max="6660" width="7.28515625" style="1577" customWidth="1"/>
    <col min="6661" max="6661" width="7.7109375" style="1577" customWidth="1"/>
    <col min="6662" max="6662" width="7.5703125" style="1577" customWidth="1"/>
    <col min="6663" max="6663" width="6.85546875" style="1577" customWidth="1"/>
    <col min="6664" max="6664" width="7.140625" style="1577" customWidth="1"/>
    <col min="6665" max="6665" width="7.85546875" style="1577" customWidth="1"/>
    <col min="6666" max="6666" width="8.28515625" style="1577" customWidth="1"/>
    <col min="6667" max="6912" width="10.28515625" style="1577"/>
    <col min="6913" max="6913" width="3.28515625" style="1577" customWidth="1"/>
    <col min="6914" max="6914" width="51.85546875" style="1577" customWidth="1"/>
    <col min="6915" max="6915" width="10.28515625" style="1577" customWidth="1"/>
    <col min="6916" max="6916" width="7.28515625" style="1577" customWidth="1"/>
    <col min="6917" max="6917" width="7.7109375" style="1577" customWidth="1"/>
    <col min="6918" max="6918" width="7.5703125" style="1577" customWidth="1"/>
    <col min="6919" max="6919" width="6.85546875" style="1577" customWidth="1"/>
    <col min="6920" max="6920" width="7.140625" style="1577" customWidth="1"/>
    <col min="6921" max="6921" width="7.85546875" style="1577" customWidth="1"/>
    <col min="6922" max="6922" width="8.28515625" style="1577" customWidth="1"/>
    <col min="6923" max="7168" width="10.28515625" style="1577"/>
    <col min="7169" max="7169" width="3.28515625" style="1577" customWidth="1"/>
    <col min="7170" max="7170" width="51.85546875" style="1577" customWidth="1"/>
    <col min="7171" max="7171" width="10.28515625" style="1577" customWidth="1"/>
    <col min="7172" max="7172" width="7.28515625" style="1577" customWidth="1"/>
    <col min="7173" max="7173" width="7.7109375" style="1577" customWidth="1"/>
    <col min="7174" max="7174" width="7.5703125" style="1577" customWidth="1"/>
    <col min="7175" max="7175" width="6.85546875" style="1577" customWidth="1"/>
    <col min="7176" max="7176" width="7.140625" style="1577" customWidth="1"/>
    <col min="7177" max="7177" width="7.85546875" style="1577" customWidth="1"/>
    <col min="7178" max="7178" width="8.28515625" style="1577" customWidth="1"/>
    <col min="7179" max="7424" width="10.28515625" style="1577"/>
    <col min="7425" max="7425" width="3.28515625" style="1577" customWidth="1"/>
    <col min="7426" max="7426" width="51.85546875" style="1577" customWidth="1"/>
    <col min="7427" max="7427" width="10.28515625" style="1577" customWidth="1"/>
    <col min="7428" max="7428" width="7.28515625" style="1577" customWidth="1"/>
    <col min="7429" max="7429" width="7.7109375" style="1577" customWidth="1"/>
    <col min="7430" max="7430" width="7.5703125" style="1577" customWidth="1"/>
    <col min="7431" max="7431" width="6.85546875" style="1577" customWidth="1"/>
    <col min="7432" max="7432" width="7.140625" style="1577" customWidth="1"/>
    <col min="7433" max="7433" width="7.85546875" style="1577" customWidth="1"/>
    <col min="7434" max="7434" width="8.28515625" style="1577" customWidth="1"/>
    <col min="7435" max="7680" width="10.28515625" style="1577"/>
    <col min="7681" max="7681" width="3.28515625" style="1577" customWidth="1"/>
    <col min="7682" max="7682" width="51.85546875" style="1577" customWidth="1"/>
    <col min="7683" max="7683" width="10.28515625" style="1577" customWidth="1"/>
    <col min="7684" max="7684" width="7.28515625" style="1577" customWidth="1"/>
    <col min="7685" max="7685" width="7.7109375" style="1577" customWidth="1"/>
    <col min="7686" max="7686" width="7.5703125" style="1577" customWidth="1"/>
    <col min="7687" max="7687" width="6.85546875" style="1577" customWidth="1"/>
    <col min="7688" max="7688" width="7.140625" style="1577" customWidth="1"/>
    <col min="7689" max="7689" width="7.85546875" style="1577" customWidth="1"/>
    <col min="7690" max="7690" width="8.28515625" style="1577" customWidth="1"/>
    <col min="7691" max="7936" width="10.28515625" style="1577"/>
    <col min="7937" max="7937" width="3.28515625" style="1577" customWidth="1"/>
    <col min="7938" max="7938" width="51.85546875" style="1577" customWidth="1"/>
    <col min="7939" max="7939" width="10.28515625" style="1577" customWidth="1"/>
    <col min="7940" max="7940" width="7.28515625" style="1577" customWidth="1"/>
    <col min="7941" max="7941" width="7.7109375" style="1577" customWidth="1"/>
    <col min="7942" max="7942" width="7.5703125" style="1577" customWidth="1"/>
    <col min="7943" max="7943" width="6.85546875" style="1577" customWidth="1"/>
    <col min="7944" max="7944" width="7.140625" style="1577" customWidth="1"/>
    <col min="7945" max="7945" width="7.85546875" style="1577" customWidth="1"/>
    <col min="7946" max="7946" width="8.28515625" style="1577" customWidth="1"/>
    <col min="7947" max="8192" width="10.28515625" style="1577"/>
    <col min="8193" max="8193" width="3.28515625" style="1577" customWidth="1"/>
    <col min="8194" max="8194" width="51.85546875" style="1577" customWidth="1"/>
    <col min="8195" max="8195" width="10.28515625" style="1577" customWidth="1"/>
    <col min="8196" max="8196" width="7.28515625" style="1577" customWidth="1"/>
    <col min="8197" max="8197" width="7.7109375" style="1577" customWidth="1"/>
    <col min="8198" max="8198" width="7.5703125" style="1577" customWidth="1"/>
    <col min="8199" max="8199" width="6.85546875" style="1577" customWidth="1"/>
    <col min="8200" max="8200" width="7.140625" style="1577" customWidth="1"/>
    <col min="8201" max="8201" width="7.85546875" style="1577" customWidth="1"/>
    <col min="8202" max="8202" width="8.28515625" style="1577" customWidth="1"/>
    <col min="8203" max="8448" width="10.28515625" style="1577"/>
    <col min="8449" max="8449" width="3.28515625" style="1577" customWidth="1"/>
    <col min="8450" max="8450" width="51.85546875" style="1577" customWidth="1"/>
    <col min="8451" max="8451" width="10.28515625" style="1577" customWidth="1"/>
    <col min="8452" max="8452" width="7.28515625" style="1577" customWidth="1"/>
    <col min="8453" max="8453" width="7.7109375" style="1577" customWidth="1"/>
    <col min="8454" max="8454" width="7.5703125" style="1577" customWidth="1"/>
    <col min="8455" max="8455" width="6.85546875" style="1577" customWidth="1"/>
    <col min="8456" max="8456" width="7.140625" style="1577" customWidth="1"/>
    <col min="8457" max="8457" width="7.85546875" style="1577" customWidth="1"/>
    <col min="8458" max="8458" width="8.28515625" style="1577" customWidth="1"/>
    <col min="8459" max="8704" width="10.28515625" style="1577"/>
    <col min="8705" max="8705" width="3.28515625" style="1577" customWidth="1"/>
    <col min="8706" max="8706" width="51.85546875" style="1577" customWidth="1"/>
    <col min="8707" max="8707" width="10.28515625" style="1577" customWidth="1"/>
    <col min="8708" max="8708" width="7.28515625" style="1577" customWidth="1"/>
    <col min="8709" max="8709" width="7.7109375" style="1577" customWidth="1"/>
    <col min="8710" max="8710" width="7.5703125" style="1577" customWidth="1"/>
    <col min="8711" max="8711" width="6.85546875" style="1577" customWidth="1"/>
    <col min="8712" max="8712" width="7.140625" style="1577" customWidth="1"/>
    <col min="8713" max="8713" width="7.85546875" style="1577" customWidth="1"/>
    <col min="8714" max="8714" width="8.28515625" style="1577" customWidth="1"/>
    <col min="8715" max="8960" width="10.28515625" style="1577"/>
    <col min="8961" max="8961" width="3.28515625" style="1577" customWidth="1"/>
    <col min="8962" max="8962" width="51.85546875" style="1577" customWidth="1"/>
    <col min="8963" max="8963" width="10.28515625" style="1577" customWidth="1"/>
    <col min="8964" max="8964" width="7.28515625" style="1577" customWidth="1"/>
    <col min="8965" max="8965" width="7.7109375" style="1577" customWidth="1"/>
    <col min="8966" max="8966" width="7.5703125" style="1577" customWidth="1"/>
    <col min="8967" max="8967" width="6.85546875" style="1577" customWidth="1"/>
    <col min="8968" max="8968" width="7.140625" style="1577" customWidth="1"/>
    <col min="8969" max="8969" width="7.85546875" style="1577" customWidth="1"/>
    <col min="8970" max="8970" width="8.28515625" style="1577" customWidth="1"/>
    <col min="8971" max="9216" width="10.28515625" style="1577"/>
    <col min="9217" max="9217" width="3.28515625" style="1577" customWidth="1"/>
    <col min="9218" max="9218" width="51.85546875" style="1577" customWidth="1"/>
    <col min="9219" max="9219" width="10.28515625" style="1577" customWidth="1"/>
    <col min="9220" max="9220" width="7.28515625" style="1577" customWidth="1"/>
    <col min="9221" max="9221" width="7.7109375" style="1577" customWidth="1"/>
    <col min="9222" max="9222" width="7.5703125" style="1577" customWidth="1"/>
    <col min="9223" max="9223" width="6.85546875" style="1577" customWidth="1"/>
    <col min="9224" max="9224" width="7.140625" style="1577" customWidth="1"/>
    <col min="9225" max="9225" width="7.85546875" style="1577" customWidth="1"/>
    <col min="9226" max="9226" width="8.28515625" style="1577" customWidth="1"/>
    <col min="9227" max="9472" width="10.28515625" style="1577"/>
    <col min="9473" max="9473" width="3.28515625" style="1577" customWidth="1"/>
    <col min="9474" max="9474" width="51.85546875" style="1577" customWidth="1"/>
    <col min="9475" max="9475" width="10.28515625" style="1577" customWidth="1"/>
    <col min="9476" max="9476" width="7.28515625" style="1577" customWidth="1"/>
    <col min="9477" max="9477" width="7.7109375" style="1577" customWidth="1"/>
    <col min="9478" max="9478" width="7.5703125" style="1577" customWidth="1"/>
    <col min="9479" max="9479" width="6.85546875" style="1577" customWidth="1"/>
    <col min="9480" max="9480" width="7.140625" style="1577" customWidth="1"/>
    <col min="9481" max="9481" width="7.85546875" style="1577" customWidth="1"/>
    <col min="9482" max="9482" width="8.28515625" style="1577" customWidth="1"/>
    <col min="9483" max="9728" width="10.28515625" style="1577"/>
    <col min="9729" max="9729" width="3.28515625" style="1577" customWidth="1"/>
    <col min="9730" max="9730" width="51.85546875" style="1577" customWidth="1"/>
    <col min="9731" max="9731" width="10.28515625" style="1577" customWidth="1"/>
    <col min="9732" max="9732" width="7.28515625" style="1577" customWidth="1"/>
    <col min="9733" max="9733" width="7.7109375" style="1577" customWidth="1"/>
    <col min="9734" max="9734" width="7.5703125" style="1577" customWidth="1"/>
    <col min="9735" max="9735" width="6.85546875" style="1577" customWidth="1"/>
    <col min="9736" max="9736" width="7.140625" style="1577" customWidth="1"/>
    <col min="9737" max="9737" width="7.85546875" style="1577" customWidth="1"/>
    <col min="9738" max="9738" width="8.28515625" style="1577" customWidth="1"/>
    <col min="9739" max="9984" width="10.28515625" style="1577"/>
    <col min="9985" max="9985" width="3.28515625" style="1577" customWidth="1"/>
    <col min="9986" max="9986" width="51.85546875" style="1577" customWidth="1"/>
    <col min="9987" max="9987" width="10.28515625" style="1577" customWidth="1"/>
    <col min="9988" max="9988" width="7.28515625" style="1577" customWidth="1"/>
    <col min="9989" max="9989" width="7.7109375" style="1577" customWidth="1"/>
    <col min="9990" max="9990" width="7.5703125" style="1577" customWidth="1"/>
    <col min="9991" max="9991" width="6.85546875" style="1577" customWidth="1"/>
    <col min="9992" max="9992" width="7.140625" style="1577" customWidth="1"/>
    <col min="9993" max="9993" width="7.85546875" style="1577" customWidth="1"/>
    <col min="9994" max="9994" width="8.28515625" style="1577" customWidth="1"/>
    <col min="9995" max="10240" width="10.28515625" style="1577"/>
    <col min="10241" max="10241" width="3.28515625" style="1577" customWidth="1"/>
    <col min="10242" max="10242" width="51.85546875" style="1577" customWidth="1"/>
    <col min="10243" max="10243" width="10.28515625" style="1577" customWidth="1"/>
    <col min="10244" max="10244" width="7.28515625" style="1577" customWidth="1"/>
    <col min="10245" max="10245" width="7.7109375" style="1577" customWidth="1"/>
    <col min="10246" max="10246" width="7.5703125" style="1577" customWidth="1"/>
    <col min="10247" max="10247" width="6.85546875" style="1577" customWidth="1"/>
    <col min="10248" max="10248" width="7.140625" style="1577" customWidth="1"/>
    <col min="10249" max="10249" width="7.85546875" style="1577" customWidth="1"/>
    <col min="10250" max="10250" width="8.28515625" style="1577" customWidth="1"/>
    <col min="10251" max="10496" width="10.28515625" style="1577"/>
    <col min="10497" max="10497" width="3.28515625" style="1577" customWidth="1"/>
    <col min="10498" max="10498" width="51.85546875" style="1577" customWidth="1"/>
    <col min="10499" max="10499" width="10.28515625" style="1577" customWidth="1"/>
    <col min="10500" max="10500" width="7.28515625" style="1577" customWidth="1"/>
    <col min="10501" max="10501" width="7.7109375" style="1577" customWidth="1"/>
    <col min="10502" max="10502" width="7.5703125" style="1577" customWidth="1"/>
    <col min="10503" max="10503" width="6.85546875" style="1577" customWidth="1"/>
    <col min="10504" max="10504" width="7.140625" style="1577" customWidth="1"/>
    <col min="10505" max="10505" width="7.85546875" style="1577" customWidth="1"/>
    <col min="10506" max="10506" width="8.28515625" style="1577" customWidth="1"/>
    <col min="10507" max="10752" width="10.28515625" style="1577"/>
    <col min="10753" max="10753" width="3.28515625" style="1577" customWidth="1"/>
    <col min="10754" max="10754" width="51.85546875" style="1577" customWidth="1"/>
    <col min="10755" max="10755" width="10.28515625" style="1577" customWidth="1"/>
    <col min="10756" max="10756" width="7.28515625" style="1577" customWidth="1"/>
    <col min="10757" max="10757" width="7.7109375" style="1577" customWidth="1"/>
    <col min="10758" max="10758" width="7.5703125" style="1577" customWidth="1"/>
    <col min="10759" max="10759" width="6.85546875" style="1577" customWidth="1"/>
    <col min="10760" max="10760" width="7.140625" style="1577" customWidth="1"/>
    <col min="10761" max="10761" width="7.85546875" style="1577" customWidth="1"/>
    <col min="10762" max="10762" width="8.28515625" style="1577" customWidth="1"/>
    <col min="10763" max="11008" width="10.28515625" style="1577"/>
    <col min="11009" max="11009" width="3.28515625" style="1577" customWidth="1"/>
    <col min="11010" max="11010" width="51.85546875" style="1577" customWidth="1"/>
    <col min="11011" max="11011" width="10.28515625" style="1577" customWidth="1"/>
    <col min="11012" max="11012" width="7.28515625" style="1577" customWidth="1"/>
    <col min="11013" max="11013" width="7.7109375" style="1577" customWidth="1"/>
    <col min="11014" max="11014" width="7.5703125" style="1577" customWidth="1"/>
    <col min="11015" max="11015" width="6.85546875" style="1577" customWidth="1"/>
    <col min="11016" max="11016" width="7.140625" style="1577" customWidth="1"/>
    <col min="11017" max="11017" width="7.85546875" style="1577" customWidth="1"/>
    <col min="11018" max="11018" width="8.28515625" style="1577" customWidth="1"/>
    <col min="11019" max="11264" width="10.28515625" style="1577"/>
    <col min="11265" max="11265" width="3.28515625" style="1577" customWidth="1"/>
    <col min="11266" max="11266" width="51.85546875" style="1577" customWidth="1"/>
    <col min="11267" max="11267" width="10.28515625" style="1577" customWidth="1"/>
    <col min="11268" max="11268" width="7.28515625" style="1577" customWidth="1"/>
    <col min="11269" max="11269" width="7.7109375" style="1577" customWidth="1"/>
    <col min="11270" max="11270" width="7.5703125" style="1577" customWidth="1"/>
    <col min="11271" max="11271" width="6.85546875" style="1577" customWidth="1"/>
    <col min="11272" max="11272" width="7.140625" style="1577" customWidth="1"/>
    <col min="11273" max="11273" width="7.85546875" style="1577" customWidth="1"/>
    <col min="11274" max="11274" width="8.28515625" style="1577" customWidth="1"/>
    <col min="11275" max="11520" width="10.28515625" style="1577"/>
    <col min="11521" max="11521" width="3.28515625" style="1577" customWidth="1"/>
    <col min="11522" max="11522" width="51.85546875" style="1577" customWidth="1"/>
    <col min="11523" max="11523" width="10.28515625" style="1577" customWidth="1"/>
    <col min="11524" max="11524" width="7.28515625" style="1577" customWidth="1"/>
    <col min="11525" max="11525" width="7.7109375" style="1577" customWidth="1"/>
    <col min="11526" max="11526" width="7.5703125" style="1577" customWidth="1"/>
    <col min="11527" max="11527" width="6.85546875" style="1577" customWidth="1"/>
    <col min="11528" max="11528" width="7.140625" style="1577" customWidth="1"/>
    <col min="11529" max="11529" width="7.85546875" style="1577" customWidth="1"/>
    <col min="11530" max="11530" width="8.28515625" style="1577" customWidth="1"/>
    <col min="11531" max="11776" width="10.28515625" style="1577"/>
    <col min="11777" max="11777" width="3.28515625" style="1577" customWidth="1"/>
    <col min="11778" max="11778" width="51.85546875" style="1577" customWidth="1"/>
    <col min="11779" max="11779" width="10.28515625" style="1577" customWidth="1"/>
    <col min="11780" max="11780" width="7.28515625" style="1577" customWidth="1"/>
    <col min="11781" max="11781" width="7.7109375" style="1577" customWidth="1"/>
    <col min="11782" max="11782" width="7.5703125" style="1577" customWidth="1"/>
    <col min="11783" max="11783" width="6.85546875" style="1577" customWidth="1"/>
    <col min="11784" max="11784" width="7.140625" style="1577" customWidth="1"/>
    <col min="11785" max="11785" width="7.85546875" style="1577" customWidth="1"/>
    <col min="11786" max="11786" width="8.28515625" style="1577" customWidth="1"/>
    <col min="11787" max="12032" width="10.28515625" style="1577"/>
    <col min="12033" max="12033" width="3.28515625" style="1577" customWidth="1"/>
    <col min="12034" max="12034" width="51.85546875" style="1577" customWidth="1"/>
    <col min="12035" max="12035" width="10.28515625" style="1577" customWidth="1"/>
    <col min="12036" max="12036" width="7.28515625" style="1577" customWidth="1"/>
    <col min="12037" max="12037" width="7.7109375" style="1577" customWidth="1"/>
    <col min="12038" max="12038" width="7.5703125" style="1577" customWidth="1"/>
    <col min="12039" max="12039" width="6.85546875" style="1577" customWidth="1"/>
    <col min="12040" max="12040" width="7.140625" style="1577" customWidth="1"/>
    <col min="12041" max="12041" width="7.85546875" style="1577" customWidth="1"/>
    <col min="12042" max="12042" width="8.28515625" style="1577" customWidth="1"/>
    <col min="12043" max="12288" width="10.28515625" style="1577"/>
    <col min="12289" max="12289" width="3.28515625" style="1577" customWidth="1"/>
    <col min="12290" max="12290" width="51.85546875" style="1577" customWidth="1"/>
    <col min="12291" max="12291" width="10.28515625" style="1577" customWidth="1"/>
    <col min="12292" max="12292" width="7.28515625" style="1577" customWidth="1"/>
    <col min="12293" max="12293" width="7.7109375" style="1577" customWidth="1"/>
    <col min="12294" max="12294" width="7.5703125" style="1577" customWidth="1"/>
    <col min="12295" max="12295" width="6.85546875" style="1577" customWidth="1"/>
    <col min="12296" max="12296" width="7.140625" style="1577" customWidth="1"/>
    <col min="12297" max="12297" width="7.85546875" style="1577" customWidth="1"/>
    <col min="12298" max="12298" width="8.28515625" style="1577" customWidth="1"/>
    <col min="12299" max="12544" width="10.28515625" style="1577"/>
    <col min="12545" max="12545" width="3.28515625" style="1577" customWidth="1"/>
    <col min="12546" max="12546" width="51.85546875" style="1577" customWidth="1"/>
    <col min="12547" max="12547" width="10.28515625" style="1577" customWidth="1"/>
    <col min="12548" max="12548" width="7.28515625" style="1577" customWidth="1"/>
    <col min="12549" max="12549" width="7.7109375" style="1577" customWidth="1"/>
    <col min="12550" max="12550" width="7.5703125" style="1577" customWidth="1"/>
    <col min="12551" max="12551" width="6.85546875" style="1577" customWidth="1"/>
    <col min="12552" max="12552" width="7.140625" style="1577" customWidth="1"/>
    <col min="12553" max="12553" width="7.85546875" style="1577" customWidth="1"/>
    <col min="12554" max="12554" width="8.28515625" style="1577" customWidth="1"/>
    <col min="12555" max="12800" width="10.28515625" style="1577"/>
    <col min="12801" max="12801" width="3.28515625" style="1577" customWidth="1"/>
    <col min="12802" max="12802" width="51.85546875" style="1577" customWidth="1"/>
    <col min="12803" max="12803" width="10.28515625" style="1577" customWidth="1"/>
    <col min="12804" max="12804" width="7.28515625" style="1577" customWidth="1"/>
    <col min="12805" max="12805" width="7.7109375" style="1577" customWidth="1"/>
    <col min="12806" max="12806" width="7.5703125" style="1577" customWidth="1"/>
    <col min="12807" max="12807" width="6.85546875" style="1577" customWidth="1"/>
    <col min="12808" max="12808" width="7.140625" style="1577" customWidth="1"/>
    <col min="12809" max="12809" width="7.85546875" style="1577" customWidth="1"/>
    <col min="12810" max="12810" width="8.28515625" style="1577" customWidth="1"/>
    <col min="12811" max="13056" width="10.28515625" style="1577"/>
    <col min="13057" max="13057" width="3.28515625" style="1577" customWidth="1"/>
    <col min="13058" max="13058" width="51.85546875" style="1577" customWidth="1"/>
    <col min="13059" max="13059" width="10.28515625" style="1577" customWidth="1"/>
    <col min="13060" max="13060" width="7.28515625" style="1577" customWidth="1"/>
    <col min="13061" max="13061" width="7.7109375" style="1577" customWidth="1"/>
    <col min="13062" max="13062" width="7.5703125" style="1577" customWidth="1"/>
    <col min="13063" max="13063" width="6.85546875" style="1577" customWidth="1"/>
    <col min="13064" max="13064" width="7.140625" style="1577" customWidth="1"/>
    <col min="13065" max="13065" width="7.85546875" style="1577" customWidth="1"/>
    <col min="13066" max="13066" width="8.28515625" style="1577" customWidth="1"/>
    <col min="13067" max="13312" width="10.28515625" style="1577"/>
    <col min="13313" max="13313" width="3.28515625" style="1577" customWidth="1"/>
    <col min="13314" max="13314" width="51.85546875" style="1577" customWidth="1"/>
    <col min="13315" max="13315" width="10.28515625" style="1577" customWidth="1"/>
    <col min="13316" max="13316" width="7.28515625" style="1577" customWidth="1"/>
    <col min="13317" max="13317" width="7.7109375" style="1577" customWidth="1"/>
    <col min="13318" max="13318" width="7.5703125" style="1577" customWidth="1"/>
    <col min="13319" max="13319" width="6.85546875" style="1577" customWidth="1"/>
    <col min="13320" max="13320" width="7.140625" style="1577" customWidth="1"/>
    <col min="13321" max="13321" width="7.85546875" style="1577" customWidth="1"/>
    <col min="13322" max="13322" width="8.28515625" style="1577" customWidth="1"/>
    <col min="13323" max="13568" width="10.28515625" style="1577"/>
    <col min="13569" max="13569" width="3.28515625" style="1577" customWidth="1"/>
    <col min="13570" max="13570" width="51.85546875" style="1577" customWidth="1"/>
    <col min="13571" max="13571" width="10.28515625" style="1577" customWidth="1"/>
    <col min="13572" max="13572" width="7.28515625" style="1577" customWidth="1"/>
    <col min="13573" max="13573" width="7.7109375" style="1577" customWidth="1"/>
    <col min="13574" max="13574" width="7.5703125" style="1577" customWidth="1"/>
    <col min="13575" max="13575" width="6.85546875" style="1577" customWidth="1"/>
    <col min="13576" max="13576" width="7.140625" style="1577" customWidth="1"/>
    <col min="13577" max="13577" width="7.85546875" style="1577" customWidth="1"/>
    <col min="13578" max="13578" width="8.28515625" style="1577" customWidth="1"/>
    <col min="13579" max="13824" width="10.28515625" style="1577"/>
    <col min="13825" max="13825" width="3.28515625" style="1577" customWidth="1"/>
    <col min="13826" max="13826" width="51.85546875" style="1577" customWidth="1"/>
    <col min="13827" max="13827" width="10.28515625" style="1577" customWidth="1"/>
    <col min="13828" max="13828" width="7.28515625" style="1577" customWidth="1"/>
    <col min="13829" max="13829" width="7.7109375" style="1577" customWidth="1"/>
    <col min="13830" max="13830" width="7.5703125" style="1577" customWidth="1"/>
    <col min="13831" max="13831" width="6.85546875" style="1577" customWidth="1"/>
    <col min="13832" max="13832" width="7.140625" style="1577" customWidth="1"/>
    <col min="13833" max="13833" width="7.85546875" style="1577" customWidth="1"/>
    <col min="13834" max="13834" width="8.28515625" style="1577" customWidth="1"/>
    <col min="13835" max="14080" width="10.28515625" style="1577"/>
    <col min="14081" max="14081" width="3.28515625" style="1577" customWidth="1"/>
    <col min="14082" max="14082" width="51.85546875" style="1577" customWidth="1"/>
    <col min="14083" max="14083" width="10.28515625" style="1577" customWidth="1"/>
    <col min="14084" max="14084" width="7.28515625" style="1577" customWidth="1"/>
    <col min="14085" max="14085" width="7.7109375" style="1577" customWidth="1"/>
    <col min="14086" max="14086" width="7.5703125" style="1577" customWidth="1"/>
    <col min="14087" max="14087" width="6.85546875" style="1577" customWidth="1"/>
    <col min="14088" max="14088" width="7.140625" style="1577" customWidth="1"/>
    <col min="14089" max="14089" width="7.85546875" style="1577" customWidth="1"/>
    <col min="14090" max="14090" width="8.28515625" style="1577" customWidth="1"/>
    <col min="14091" max="14336" width="10.28515625" style="1577"/>
    <col min="14337" max="14337" width="3.28515625" style="1577" customWidth="1"/>
    <col min="14338" max="14338" width="51.85546875" style="1577" customWidth="1"/>
    <col min="14339" max="14339" width="10.28515625" style="1577" customWidth="1"/>
    <col min="14340" max="14340" width="7.28515625" style="1577" customWidth="1"/>
    <col min="14341" max="14341" width="7.7109375" style="1577" customWidth="1"/>
    <col min="14342" max="14342" width="7.5703125" style="1577" customWidth="1"/>
    <col min="14343" max="14343" width="6.85546875" style="1577" customWidth="1"/>
    <col min="14344" max="14344" width="7.140625" style="1577" customWidth="1"/>
    <col min="14345" max="14345" width="7.85546875" style="1577" customWidth="1"/>
    <col min="14346" max="14346" width="8.28515625" style="1577" customWidth="1"/>
    <col min="14347" max="14592" width="10.28515625" style="1577"/>
    <col min="14593" max="14593" width="3.28515625" style="1577" customWidth="1"/>
    <col min="14594" max="14594" width="51.85546875" style="1577" customWidth="1"/>
    <col min="14595" max="14595" width="10.28515625" style="1577" customWidth="1"/>
    <col min="14596" max="14596" width="7.28515625" style="1577" customWidth="1"/>
    <col min="14597" max="14597" width="7.7109375" style="1577" customWidth="1"/>
    <col min="14598" max="14598" width="7.5703125" style="1577" customWidth="1"/>
    <col min="14599" max="14599" width="6.85546875" style="1577" customWidth="1"/>
    <col min="14600" max="14600" width="7.140625" style="1577" customWidth="1"/>
    <col min="14601" max="14601" width="7.85546875" style="1577" customWidth="1"/>
    <col min="14602" max="14602" width="8.28515625" style="1577" customWidth="1"/>
    <col min="14603" max="14848" width="10.28515625" style="1577"/>
    <col min="14849" max="14849" width="3.28515625" style="1577" customWidth="1"/>
    <col min="14850" max="14850" width="51.85546875" style="1577" customWidth="1"/>
    <col min="14851" max="14851" width="10.28515625" style="1577" customWidth="1"/>
    <col min="14852" max="14852" width="7.28515625" style="1577" customWidth="1"/>
    <col min="14853" max="14853" width="7.7109375" style="1577" customWidth="1"/>
    <col min="14854" max="14854" width="7.5703125" style="1577" customWidth="1"/>
    <col min="14855" max="14855" width="6.85546875" style="1577" customWidth="1"/>
    <col min="14856" max="14856" width="7.140625" style="1577" customWidth="1"/>
    <col min="14857" max="14857" width="7.85546875" style="1577" customWidth="1"/>
    <col min="14858" max="14858" width="8.28515625" style="1577" customWidth="1"/>
    <col min="14859" max="15104" width="10.28515625" style="1577"/>
    <col min="15105" max="15105" width="3.28515625" style="1577" customWidth="1"/>
    <col min="15106" max="15106" width="51.85546875" style="1577" customWidth="1"/>
    <col min="15107" max="15107" width="10.28515625" style="1577" customWidth="1"/>
    <col min="15108" max="15108" width="7.28515625" style="1577" customWidth="1"/>
    <col min="15109" max="15109" width="7.7109375" style="1577" customWidth="1"/>
    <col min="15110" max="15110" width="7.5703125" style="1577" customWidth="1"/>
    <col min="15111" max="15111" width="6.85546875" style="1577" customWidth="1"/>
    <col min="15112" max="15112" width="7.140625" style="1577" customWidth="1"/>
    <col min="15113" max="15113" width="7.85546875" style="1577" customWidth="1"/>
    <col min="15114" max="15114" width="8.28515625" style="1577" customWidth="1"/>
    <col min="15115" max="15360" width="10.28515625" style="1577"/>
    <col min="15361" max="15361" width="3.28515625" style="1577" customWidth="1"/>
    <col min="15362" max="15362" width="51.85546875" style="1577" customWidth="1"/>
    <col min="15363" max="15363" width="10.28515625" style="1577" customWidth="1"/>
    <col min="15364" max="15364" width="7.28515625" style="1577" customWidth="1"/>
    <col min="15365" max="15365" width="7.7109375" style="1577" customWidth="1"/>
    <col min="15366" max="15366" width="7.5703125" style="1577" customWidth="1"/>
    <col min="15367" max="15367" width="6.85546875" style="1577" customWidth="1"/>
    <col min="15368" max="15368" width="7.140625" style="1577" customWidth="1"/>
    <col min="15369" max="15369" width="7.85546875" style="1577" customWidth="1"/>
    <col min="15370" max="15370" width="8.28515625" style="1577" customWidth="1"/>
    <col min="15371" max="15616" width="10.28515625" style="1577"/>
    <col min="15617" max="15617" width="3.28515625" style="1577" customWidth="1"/>
    <col min="15618" max="15618" width="51.85546875" style="1577" customWidth="1"/>
    <col min="15619" max="15619" width="10.28515625" style="1577" customWidth="1"/>
    <col min="15620" max="15620" width="7.28515625" style="1577" customWidth="1"/>
    <col min="15621" max="15621" width="7.7109375" style="1577" customWidth="1"/>
    <col min="15622" max="15622" width="7.5703125" style="1577" customWidth="1"/>
    <col min="15623" max="15623" width="6.85546875" style="1577" customWidth="1"/>
    <col min="15624" max="15624" width="7.140625" style="1577" customWidth="1"/>
    <col min="15625" max="15625" width="7.85546875" style="1577" customWidth="1"/>
    <col min="15626" max="15626" width="8.28515625" style="1577" customWidth="1"/>
    <col min="15627" max="15872" width="10.28515625" style="1577"/>
    <col min="15873" max="15873" width="3.28515625" style="1577" customWidth="1"/>
    <col min="15874" max="15874" width="51.85546875" style="1577" customWidth="1"/>
    <col min="15875" max="15875" width="10.28515625" style="1577" customWidth="1"/>
    <col min="15876" max="15876" width="7.28515625" style="1577" customWidth="1"/>
    <col min="15877" max="15877" width="7.7109375" style="1577" customWidth="1"/>
    <col min="15878" max="15878" width="7.5703125" style="1577" customWidth="1"/>
    <col min="15879" max="15879" width="6.85546875" style="1577" customWidth="1"/>
    <col min="15880" max="15880" width="7.140625" style="1577" customWidth="1"/>
    <col min="15881" max="15881" width="7.85546875" style="1577" customWidth="1"/>
    <col min="15882" max="15882" width="8.28515625" style="1577" customWidth="1"/>
    <col min="15883" max="16128" width="10.28515625" style="1577"/>
    <col min="16129" max="16129" width="3.28515625" style="1577" customWidth="1"/>
    <col min="16130" max="16130" width="51.85546875" style="1577" customWidth="1"/>
    <col min="16131" max="16131" width="10.28515625" style="1577" customWidth="1"/>
    <col min="16132" max="16132" width="7.28515625" style="1577" customWidth="1"/>
    <col min="16133" max="16133" width="7.7109375" style="1577" customWidth="1"/>
    <col min="16134" max="16134" width="7.5703125" style="1577" customWidth="1"/>
    <col min="16135" max="16135" width="6.85546875" style="1577" customWidth="1"/>
    <col min="16136" max="16136" width="7.140625" style="1577" customWidth="1"/>
    <col min="16137" max="16137" width="7.85546875" style="1577" customWidth="1"/>
    <col min="16138" max="16138" width="8.28515625" style="1577" customWidth="1"/>
    <col min="16139" max="16384" width="10.28515625" style="1577"/>
  </cols>
  <sheetData>
    <row r="1" spans="1:10" ht="15.75" customHeight="1" x14ac:dyDescent="0.2">
      <c r="C1" s="2090" t="s">
        <v>2080</v>
      </c>
      <c r="D1" s="2090"/>
      <c r="E1" s="2090"/>
      <c r="F1" s="2090"/>
      <c r="G1" s="2090"/>
      <c r="H1" s="2090"/>
      <c r="I1" s="2090"/>
      <c r="J1" s="2090"/>
    </row>
    <row r="2" spans="1:10" x14ac:dyDescent="0.2">
      <c r="B2" s="2078" t="s">
        <v>86</v>
      </c>
      <c r="C2" s="2078"/>
      <c r="D2" s="2078"/>
      <c r="E2" s="2078"/>
      <c r="F2" s="2078"/>
      <c r="G2" s="2078"/>
      <c r="H2" s="2078"/>
      <c r="I2" s="2078"/>
      <c r="J2" s="2078"/>
    </row>
    <row r="3" spans="1:10" x14ac:dyDescent="0.2">
      <c r="B3" s="2078" t="s">
        <v>1362</v>
      </c>
      <c r="C3" s="2078"/>
      <c r="D3" s="2078"/>
      <c r="E3" s="2078"/>
      <c r="F3" s="2078"/>
      <c r="G3" s="2078"/>
      <c r="H3" s="2078"/>
      <c r="I3" s="2078"/>
      <c r="J3" s="2078"/>
    </row>
    <row r="4" spans="1:10" x14ac:dyDescent="0.2">
      <c r="B4" s="2078" t="s">
        <v>1422</v>
      </c>
      <c r="C4" s="2078"/>
      <c r="D4" s="2078"/>
      <c r="E4" s="2078"/>
      <c r="F4" s="2078"/>
      <c r="G4" s="2078"/>
      <c r="H4" s="2078"/>
      <c r="I4" s="2078"/>
      <c r="J4" s="2078"/>
    </row>
    <row r="5" spans="1:10" x14ac:dyDescent="0.2">
      <c r="B5" s="2078" t="s">
        <v>1401</v>
      </c>
      <c r="C5" s="2078"/>
      <c r="D5" s="2078"/>
      <c r="E5" s="2078"/>
      <c r="F5" s="2078"/>
      <c r="G5" s="2078"/>
      <c r="H5" s="2078"/>
      <c r="I5" s="2078"/>
      <c r="J5" s="2078"/>
    </row>
    <row r="6" spans="1:10" x14ac:dyDescent="0.2">
      <c r="B6" s="2078" t="s">
        <v>55</v>
      </c>
      <c r="C6" s="2078"/>
      <c r="D6" s="2078"/>
      <c r="E6" s="2078"/>
      <c r="F6" s="2078"/>
      <c r="G6" s="2078"/>
      <c r="H6" s="2078"/>
      <c r="I6" s="2078"/>
      <c r="J6" s="2078"/>
    </row>
    <row r="7" spans="1:10" ht="11.25" customHeight="1" x14ac:dyDescent="0.2">
      <c r="A7" s="2081" t="s">
        <v>468</v>
      </c>
      <c r="B7" s="1578" t="s">
        <v>57</v>
      </c>
      <c r="C7" s="1578" t="s">
        <v>58</v>
      </c>
      <c r="D7" s="1578" t="s">
        <v>59</v>
      </c>
      <c r="E7" s="1578" t="s">
        <v>60</v>
      </c>
      <c r="F7" s="1578" t="s">
        <v>469</v>
      </c>
      <c r="G7" s="1578" t="s">
        <v>470</v>
      </c>
      <c r="H7" s="1578" t="s">
        <v>598</v>
      </c>
      <c r="I7" s="1578" t="s">
        <v>599</v>
      </c>
      <c r="J7" s="1578" t="s">
        <v>600</v>
      </c>
    </row>
    <row r="8" spans="1:10" s="140" customFormat="1" ht="15" customHeight="1" x14ac:dyDescent="0.2">
      <c r="A8" s="2082"/>
      <c r="B8" s="2084" t="s">
        <v>1423</v>
      </c>
      <c r="C8" s="2087" t="s">
        <v>1424</v>
      </c>
      <c r="D8" s="2087" t="s">
        <v>1425</v>
      </c>
      <c r="E8" s="2072" t="s">
        <v>665</v>
      </c>
      <c r="F8" s="2072" t="s">
        <v>1426</v>
      </c>
      <c r="G8" s="2072" t="s">
        <v>1427</v>
      </c>
      <c r="H8" s="2072" t="s">
        <v>1224</v>
      </c>
      <c r="I8" s="2072" t="s">
        <v>1428</v>
      </c>
      <c r="J8" s="2072" t="s">
        <v>1429</v>
      </c>
    </row>
    <row r="9" spans="1:10" s="140" customFormat="1" ht="20.25" customHeight="1" x14ac:dyDescent="0.2">
      <c r="A9" s="2082"/>
      <c r="B9" s="2085"/>
      <c r="C9" s="2088"/>
      <c r="D9" s="2088"/>
      <c r="E9" s="2073"/>
      <c r="F9" s="2073"/>
      <c r="G9" s="2073"/>
      <c r="H9" s="2073"/>
      <c r="I9" s="2073"/>
      <c r="J9" s="2073"/>
    </row>
    <row r="10" spans="1:10" s="140" customFormat="1" ht="26.25" customHeight="1" x14ac:dyDescent="0.2">
      <c r="A10" s="2083"/>
      <c r="B10" s="2086"/>
      <c r="C10" s="2089"/>
      <c r="D10" s="2089"/>
      <c r="E10" s="2074"/>
      <c r="F10" s="2074"/>
      <c r="G10" s="2074"/>
      <c r="H10" s="2074"/>
      <c r="I10" s="2074"/>
      <c r="J10" s="2074"/>
    </row>
    <row r="11" spans="1:10" s="4" customFormat="1" ht="16.5" customHeight="1" x14ac:dyDescent="0.2">
      <c r="A11" s="1579" t="s">
        <v>478</v>
      </c>
      <c r="B11" s="1580" t="s">
        <v>1430</v>
      </c>
      <c r="C11" s="1581">
        <v>1451165</v>
      </c>
      <c r="D11" s="1582"/>
      <c r="E11" s="1582"/>
      <c r="F11" s="1582"/>
      <c r="G11" s="1582"/>
      <c r="H11" s="1582"/>
      <c r="I11" s="1582">
        <f>E11+F11+G11+H11</f>
        <v>0</v>
      </c>
      <c r="J11" s="442">
        <f>C11+D11+I11</f>
        <v>1451165</v>
      </c>
    </row>
    <row r="12" spans="1:10" s="4" customFormat="1" ht="16.5" customHeight="1" x14ac:dyDescent="0.2">
      <c r="A12" s="1583" t="s">
        <v>486</v>
      </c>
      <c r="B12" s="1584" t="s">
        <v>1431</v>
      </c>
      <c r="C12" s="1585">
        <v>35897</v>
      </c>
      <c r="D12" s="258">
        <v>553</v>
      </c>
      <c r="E12" s="258">
        <v>126627</v>
      </c>
      <c r="F12" s="258"/>
      <c r="G12" s="258">
        <v>95191</v>
      </c>
      <c r="H12" s="258">
        <v>92427</v>
      </c>
      <c r="I12" s="258">
        <f>E12+F12+G12+H12</f>
        <v>314245</v>
      </c>
      <c r="J12" s="442">
        <f t="shared" ref="J12:J54" si="0">C12+D12+I12</f>
        <v>350695</v>
      </c>
    </row>
    <row r="13" spans="1:10" s="4" customFormat="1" ht="16.5" customHeight="1" x14ac:dyDescent="0.2">
      <c r="A13" s="1583" t="s">
        <v>487</v>
      </c>
      <c r="B13" s="1584" t="s">
        <v>1432</v>
      </c>
      <c r="C13" s="1585">
        <v>100000</v>
      </c>
      <c r="D13" s="258"/>
      <c r="E13" s="258"/>
      <c r="F13" s="258"/>
      <c r="G13" s="258"/>
      <c r="H13" s="258"/>
      <c r="I13" s="258">
        <f>E13+F13+G13+H13</f>
        <v>0</v>
      </c>
      <c r="J13" s="442">
        <f t="shared" si="0"/>
        <v>100000</v>
      </c>
    </row>
    <row r="14" spans="1:10" s="4" customFormat="1" ht="16.5" customHeight="1" x14ac:dyDescent="0.2">
      <c r="A14" s="1583" t="s">
        <v>488</v>
      </c>
      <c r="B14" s="1586" t="s">
        <v>1433</v>
      </c>
      <c r="C14" s="1587">
        <f>SUM(C11:C13)</f>
        <v>1587062</v>
      </c>
      <c r="D14" s="1588">
        <f t="shared" ref="D14:J14" si="1">SUM(D11:D13)</f>
        <v>553</v>
      </c>
      <c r="E14" s="1588">
        <f t="shared" si="1"/>
        <v>126627</v>
      </c>
      <c r="F14" s="1588">
        <f t="shared" si="1"/>
        <v>0</v>
      </c>
      <c r="G14" s="1588">
        <f t="shared" si="1"/>
        <v>95191</v>
      </c>
      <c r="H14" s="1588">
        <f t="shared" si="1"/>
        <v>92427</v>
      </c>
      <c r="I14" s="1588">
        <f t="shared" si="1"/>
        <v>314245</v>
      </c>
      <c r="J14" s="1589">
        <f t="shared" si="1"/>
        <v>1901860</v>
      </c>
    </row>
    <row r="15" spans="1:10" s="4" customFormat="1" ht="16.5" customHeight="1" x14ac:dyDescent="0.2">
      <c r="A15" s="1583" t="s">
        <v>489</v>
      </c>
      <c r="B15" s="1590" t="s">
        <v>1434</v>
      </c>
      <c r="C15" s="1585"/>
      <c r="D15" s="258"/>
      <c r="E15" s="258"/>
      <c r="F15" s="258"/>
      <c r="G15" s="258"/>
      <c r="H15" s="258"/>
      <c r="I15" s="258">
        <f t="shared" ref="I15:I54" si="2">E15+F15+G15+H15</f>
        <v>0</v>
      </c>
      <c r="J15" s="442">
        <f t="shared" si="0"/>
        <v>0</v>
      </c>
    </row>
    <row r="16" spans="1:10" s="4" customFormat="1" ht="16.5" customHeight="1" x14ac:dyDescent="0.2">
      <c r="A16" s="1583" t="s">
        <v>490</v>
      </c>
      <c r="B16" s="1584" t="s">
        <v>1435</v>
      </c>
      <c r="C16" s="1585"/>
      <c r="D16" s="258"/>
      <c r="E16" s="258"/>
      <c r="F16" s="258"/>
      <c r="G16" s="258"/>
      <c r="H16" s="258"/>
      <c r="I16" s="258">
        <f t="shared" si="2"/>
        <v>0</v>
      </c>
      <c r="J16" s="442">
        <f t="shared" si="0"/>
        <v>0</v>
      </c>
    </row>
    <row r="17" spans="1:12" s="4" customFormat="1" ht="16.5" customHeight="1" x14ac:dyDescent="0.2">
      <c r="A17" s="1583" t="s">
        <v>491</v>
      </c>
      <c r="B17" s="1586" t="s">
        <v>1436</v>
      </c>
      <c r="C17" s="1587">
        <f>SUM(C15:C16)</f>
        <v>0</v>
      </c>
      <c r="D17" s="1588">
        <f t="shared" ref="D17:F17" si="3">SUM(D15:D16)</f>
        <v>0</v>
      </c>
      <c r="E17" s="1588">
        <f t="shared" si="3"/>
        <v>0</v>
      </c>
      <c r="F17" s="1588">
        <f t="shared" si="3"/>
        <v>0</v>
      </c>
      <c r="G17" s="1588">
        <f>SUM(G15:G16)</f>
        <v>0</v>
      </c>
      <c r="H17" s="1588">
        <f t="shared" ref="H17" si="4">SUM(H15:H16)</f>
        <v>0</v>
      </c>
      <c r="I17" s="1588">
        <f>E17+F17+G17+H17</f>
        <v>0</v>
      </c>
      <c r="J17" s="1589">
        <f t="shared" si="0"/>
        <v>0</v>
      </c>
      <c r="L17" s="1240"/>
    </row>
    <row r="18" spans="1:12" s="4" customFormat="1" ht="16.5" customHeight="1" x14ac:dyDescent="0.2">
      <c r="A18" s="1583" t="s">
        <v>492</v>
      </c>
      <c r="B18" s="1584" t="s">
        <v>1437</v>
      </c>
      <c r="C18" s="1585">
        <v>941668</v>
      </c>
      <c r="D18" s="258">
        <v>285762</v>
      </c>
      <c r="E18" s="258">
        <v>458254</v>
      </c>
      <c r="F18" s="258">
        <v>131776</v>
      </c>
      <c r="G18" s="258">
        <v>175557</v>
      </c>
      <c r="H18" s="258">
        <v>311456</v>
      </c>
      <c r="I18" s="258">
        <f t="shared" si="2"/>
        <v>1077043</v>
      </c>
      <c r="J18" s="442">
        <f t="shared" si="0"/>
        <v>2304473</v>
      </c>
      <c r="L18" s="1480"/>
    </row>
    <row r="19" spans="1:12" s="4" customFormat="1" ht="16.5" customHeight="1" x14ac:dyDescent="0.2">
      <c r="A19" s="1583" t="s">
        <v>493</v>
      </c>
      <c r="B19" s="1590" t="s">
        <v>1438</v>
      </c>
      <c r="C19" s="1585">
        <v>79016</v>
      </c>
      <c r="D19" s="258">
        <v>2846</v>
      </c>
      <c r="E19" s="258">
        <v>2004</v>
      </c>
      <c r="F19" s="258"/>
      <c r="G19" s="258">
        <v>746</v>
      </c>
      <c r="H19" s="258">
        <v>23675</v>
      </c>
      <c r="I19" s="258">
        <f t="shared" si="2"/>
        <v>26425</v>
      </c>
      <c r="J19" s="442">
        <f t="shared" si="0"/>
        <v>108287</v>
      </c>
    </row>
    <row r="20" spans="1:12" s="4" customFormat="1" ht="16.5" customHeight="1" x14ac:dyDescent="0.2">
      <c r="A20" s="1583" t="s">
        <v>529</v>
      </c>
      <c r="B20" s="1590" t="s">
        <v>1439</v>
      </c>
      <c r="C20" s="1585">
        <v>94715</v>
      </c>
      <c r="D20" s="258"/>
      <c r="E20" s="258">
        <v>583</v>
      </c>
      <c r="F20" s="258"/>
      <c r="G20" s="258"/>
      <c r="H20" s="258"/>
      <c r="I20" s="258">
        <f t="shared" si="2"/>
        <v>583</v>
      </c>
      <c r="J20" s="442">
        <f t="shared" si="0"/>
        <v>95298</v>
      </c>
    </row>
    <row r="21" spans="1:12" s="4" customFormat="1" ht="16.5" customHeight="1" x14ac:dyDescent="0.2">
      <c r="A21" s="1583" t="s">
        <v>530</v>
      </c>
      <c r="B21" s="1590" t="s">
        <v>1440</v>
      </c>
      <c r="C21" s="1585">
        <v>81904</v>
      </c>
      <c r="D21" s="258">
        <v>92</v>
      </c>
      <c r="E21" s="258">
        <v>1305</v>
      </c>
      <c r="F21" s="258">
        <v>5</v>
      </c>
      <c r="G21" s="258">
        <v>416</v>
      </c>
      <c r="H21" s="258">
        <v>96</v>
      </c>
      <c r="I21" s="258">
        <f t="shared" si="2"/>
        <v>1822</v>
      </c>
      <c r="J21" s="442">
        <f t="shared" si="0"/>
        <v>83818</v>
      </c>
    </row>
    <row r="22" spans="1:12" s="140" customFormat="1" ht="16.5" customHeight="1" x14ac:dyDescent="0.2">
      <c r="A22" s="1583" t="s">
        <v>531</v>
      </c>
      <c r="B22" s="1586" t="s">
        <v>1441</v>
      </c>
      <c r="C22" s="1587">
        <f>SUM(C18:C21)</f>
        <v>1197303</v>
      </c>
      <c r="D22" s="1588">
        <f t="shared" ref="D22:H22" si="5">SUM(D18:D21)</f>
        <v>288700</v>
      </c>
      <c r="E22" s="1588">
        <f t="shared" si="5"/>
        <v>462146</v>
      </c>
      <c r="F22" s="1588">
        <f t="shared" si="5"/>
        <v>131781</v>
      </c>
      <c r="G22" s="1588">
        <f t="shared" si="5"/>
        <v>176719</v>
      </c>
      <c r="H22" s="1588">
        <f t="shared" si="5"/>
        <v>335227</v>
      </c>
      <c r="I22" s="1588">
        <f t="shared" si="2"/>
        <v>1105873</v>
      </c>
      <c r="J22" s="1589">
        <f t="shared" si="0"/>
        <v>2591876</v>
      </c>
    </row>
    <row r="23" spans="1:12" s="4" customFormat="1" ht="16.5" customHeight="1" x14ac:dyDescent="0.2">
      <c r="A23" s="1583" t="s">
        <v>532</v>
      </c>
      <c r="B23" s="896" t="s">
        <v>1442</v>
      </c>
      <c r="C23" s="1585">
        <v>21390</v>
      </c>
      <c r="D23" s="258">
        <v>10490</v>
      </c>
      <c r="E23" s="258">
        <v>95977</v>
      </c>
      <c r="F23" s="258">
        <v>4830</v>
      </c>
      <c r="G23" s="258">
        <v>9550</v>
      </c>
      <c r="H23" s="258">
        <v>19171</v>
      </c>
      <c r="I23" s="258">
        <f t="shared" si="2"/>
        <v>129528</v>
      </c>
      <c r="J23" s="442">
        <f t="shared" si="0"/>
        <v>161408</v>
      </c>
    </row>
    <row r="24" spans="1:12" s="4" customFormat="1" ht="16.5" customHeight="1" x14ac:dyDescent="0.2">
      <c r="A24" s="1583" t="s">
        <v>533</v>
      </c>
      <c r="B24" s="896" t="s">
        <v>1443</v>
      </c>
      <c r="C24" s="1585">
        <v>281943</v>
      </c>
      <c r="D24" s="258">
        <v>31933</v>
      </c>
      <c r="E24" s="258">
        <v>101438</v>
      </c>
      <c r="F24" s="258">
        <v>6286</v>
      </c>
      <c r="G24" s="258">
        <v>135664</v>
      </c>
      <c r="H24" s="258">
        <v>101013</v>
      </c>
      <c r="I24" s="258">
        <f t="shared" si="2"/>
        <v>344401</v>
      </c>
      <c r="J24" s="442">
        <f t="shared" si="0"/>
        <v>658277</v>
      </c>
    </row>
    <row r="25" spans="1:12" s="4" customFormat="1" ht="16.5" customHeight="1" x14ac:dyDescent="0.2">
      <c r="A25" s="1583" t="s">
        <v>534</v>
      </c>
      <c r="B25" s="896" t="s">
        <v>1444</v>
      </c>
      <c r="C25" s="1585">
        <v>21</v>
      </c>
      <c r="D25" s="258"/>
      <c r="E25" s="258"/>
      <c r="F25" s="258"/>
      <c r="G25" s="258">
        <v>5450</v>
      </c>
      <c r="H25" s="258"/>
      <c r="I25" s="258">
        <f t="shared" si="2"/>
        <v>5450</v>
      </c>
      <c r="J25" s="442">
        <f t="shared" si="0"/>
        <v>5471</v>
      </c>
    </row>
    <row r="26" spans="1:12" s="4" customFormat="1" ht="16.5" customHeight="1" x14ac:dyDescent="0.2">
      <c r="A26" s="1583" t="s">
        <v>535</v>
      </c>
      <c r="B26" s="896" t="s">
        <v>1445</v>
      </c>
      <c r="C26" s="1585">
        <v>5738</v>
      </c>
      <c r="D26" s="258">
        <v>145</v>
      </c>
      <c r="E26" s="258">
        <v>184</v>
      </c>
      <c r="F26" s="258"/>
      <c r="G26" s="258"/>
      <c r="H26" s="258">
        <v>28</v>
      </c>
      <c r="I26" s="258">
        <f t="shared" si="2"/>
        <v>212</v>
      </c>
      <c r="J26" s="442">
        <f t="shared" si="0"/>
        <v>6095</v>
      </c>
    </row>
    <row r="27" spans="1:12" s="140" customFormat="1" ht="16.5" customHeight="1" x14ac:dyDescent="0.2">
      <c r="A27" s="1583" t="s">
        <v>536</v>
      </c>
      <c r="B27" s="1586" t="s">
        <v>1446</v>
      </c>
      <c r="C27" s="1587">
        <f>SUM(C23:C26)</f>
        <v>309092</v>
      </c>
      <c r="D27" s="1588">
        <f t="shared" ref="D27:H27" si="6">SUM(D23:D26)</f>
        <v>42568</v>
      </c>
      <c r="E27" s="1588">
        <f t="shared" si="6"/>
        <v>197599</v>
      </c>
      <c r="F27" s="1588">
        <f t="shared" si="6"/>
        <v>11116</v>
      </c>
      <c r="G27" s="1588">
        <f t="shared" si="6"/>
        <v>150664</v>
      </c>
      <c r="H27" s="1588">
        <f t="shared" si="6"/>
        <v>120212</v>
      </c>
      <c r="I27" s="1588">
        <f t="shared" si="2"/>
        <v>479591</v>
      </c>
      <c r="J27" s="1589">
        <f t="shared" si="0"/>
        <v>831251</v>
      </c>
    </row>
    <row r="28" spans="1:12" s="4" customFormat="1" ht="16.5" customHeight="1" x14ac:dyDescent="0.2">
      <c r="A28" s="1583" t="s">
        <v>538</v>
      </c>
      <c r="B28" s="896" t="s">
        <v>1447</v>
      </c>
      <c r="C28" s="1585">
        <v>12236</v>
      </c>
      <c r="D28" s="258">
        <v>164372</v>
      </c>
      <c r="E28" s="258">
        <v>232789</v>
      </c>
      <c r="F28" s="258">
        <v>84396</v>
      </c>
      <c r="G28" s="258">
        <v>66553</v>
      </c>
      <c r="H28" s="258">
        <v>211749</v>
      </c>
      <c r="I28" s="258">
        <f t="shared" si="2"/>
        <v>595487</v>
      </c>
      <c r="J28" s="442">
        <f t="shared" si="0"/>
        <v>772095</v>
      </c>
    </row>
    <row r="29" spans="1:12" s="4" customFormat="1" ht="16.5" customHeight="1" x14ac:dyDescent="0.2">
      <c r="A29" s="1583" t="s">
        <v>539</v>
      </c>
      <c r="B29" s="896" t="s">
        <v>1448</v>
      </c>
      <c r="C29" s="1591">
        <v>71558</v>
      </c>
      <c r="D29" s="1592">
        <v>26829</v>
      </c>
      <c r="E29" s="1592">
        <v>38662</v>
      </c>
      <c r="F29" s="1592">
        <v>12805</v>
      </c>
      <c r="G29" s="1592">
        <v>24151</v>
      </c>
      <c r="H29" s="1592">
        <v>42011</v>
      </c>
      <c r="I29" s="258">
        <f t="shared" si="2"/>
        <v>117629</v>
      </c>
      <c r="J29" s="442">
        <f t="shared" si="0"/>
        <v>216016</v>
      </c>
    </row>
    <row r="30" spans="1:12" s="4" customFormat="1" ht="16.5" customHeight="1" x14ac:dyDescent="0.2">
      <c r="A30" s="1583" t="s">
        <v>540</v>
      </c>
      <c r="B30" s="896" t="s">
        <v>1449</v>
      </c>
      <c r="C30" s="1591">
        <v>19357</v>
      </c>
      <c r="D30" s="1592">
        <v>38583</v>
      </c>
      <c r="E30" s="1592">
        <v>54595</v>
      </c>
      <c r="F30" s="1592">
        <v>18272</v>
      </c>
      <c r="G30" s="1592">
        <v>18320</v>
      </c>
      <c r="H30" s="257">
        <v>51499</v>
      </c>
      <c r="I30" s="258">
        <f t="shared" si="2"/>
        <v>142686</v>
      </c>
      <c r="J30" s="442">
        <f t="shared" si="0"/>
        <v>200626</v>
      </c>
    </row>
    <row r="31" spans="1:12" ht="16.5" customHeight="1" x14ac:dyDescent="0.2">
      <c r="A31" s="1583" t="s">
        <v>541</v>
      </c>
      <c r="B31" s="1586" t="s">
        <v>1450</v>
      </c>
      <c r="C31" s="1593">
        <f>SUM(C28:C30)</f>
        <v>103151</v>
      </c>
      <c r="D31" s="1588">
        <f t="shared" ref="D31:H31" si="7">SUM(D28:D30)</f>
        <v>229784</v>
      </c>
      <c r="E31" s="1588">
        <f t="shared" si="7"/>
        <v>326046</v>
      </c>
      <c r="F31" s="1588">
        <f t="shared" si="7"/>
        <v>115473</v>
      </c>
      <c r="G31" s="1588">
        <f t="shared" si="7"/>
        <v>109024</v>
      </c>
      <c r="H31" s="1588">
        <f t="shared" si="7"/>
        <v>305259</v>
      </c>
      <c r="I31" s="1588">
        <f t="shared" si="2"/>
        <v>855802</v>
      </c>
      <c r="J31" s="1589">
        <f t="shared" si="0"/>
        <v>1188737</v>
      </c>
    </row>
    <row r="32" spans="1:12" ht="16.5" customHeight="1" x14ac:dyDescent="0.2">
      <c r="A32" s="1583" t="s">
        <v>542</v>
      </c>
      <c r="B32" s="1586" t="s">
        <v>1451</v>
      </c>
      <c r="C32" s="1593">
        <v>239286</v>
      </c>
      <c r="D32" s="1594">
        <v>3043</v>
      </c>
      <c r="E32" s="1594">
        <v>15562</v>
      </c>
      <c r="F32" s="1594">
        <v>1015</v>
      </c>
      <c r="G32" s="1594">
        <v>5590</v>
      </c>
      <c r="H32" s="1594">
        <v>4825</v>
      </c>
      <c r="I32" s="1588">
        <f t="shared" si="2"/>
        <v>26992</v>
      </c>
      <c r="J32" s="1589">
        <f t="shared" si="0"/>
        <v>269321</v>
      </c>
    </row>
    <row r="33" spans="1:10" ht="16.5" customHeight="1" x14ac:dyDescent="0.2">
      <c r="A33" s="1583" t="s">
        <v>543</v>
      </c>
      <c r="B33" s="1586" t="s">
        <v>1452</v>
      </c>
      <c r="C33" s="1593">
        <v>2441365</v>
      </c>
      <c r="D33" s="1594">
        <v>14404</v>
      </c>
      <c r="E33" s="1594">
        <v>37140</v>
      </c>
      <c r="F33" s="1594">
        <v>3151</v>
      </c>
      <c r="G33" s="1594">
        <v>5595</v>
      </c>
      <c r="H33" s="1594">
        <v>16131</v>
      </c>
      <c r="I33" s="1588">
        <f t="shared" si="2"/>
        <v>62017</v>
      </c>
      <c r="J33" s="1589">
        <f t="shared" si="0"/>
        <v>2517786</v>
      </c>
    </row>
    <row r="34" spans="1:10" ht="16.5" customHeight="1" x14ac:dyDescent="0.2">
      <c r="A34" s="1583" t="s">
        <v>544</v>
      </c>
      <c r="B34" s="1595" t="s">
        <v>1453</v>
      </c>
      <c r="C34" s="1596">
        <f>C14+C17+C22-C27-C31-C32-C33</f>
        <v>-308529</v>
      </c>
      <c r="D34" s="260">
        <f t="shared" ref="D34:H34" si="8">D14+D17+D22-D27-D31-D32-D33</f>
        <v>-546</v>
      </c>
      <c r="E34" s="260">
        <f>E14+E17+E22-E27-E31-E32-E33</f>
        <v>12426</v>
      </c>
      <c r="F34" s="260">
        <f t="shared" si="8"/>
        <v>1026</v>
      </c>
      <c r="G34" s="260">
        <f t="shared" si="8"/>
        <v>1037</v>
      </c>
      <c r="H34" s="260">
        <f t="shared" si="8"/>
        <v>-18773</v>
      </c>
      <c r="I34" s="260">
        <f t="shared" si="2"/>
        <v>-4284</v>
      </c>
      <c r="J34" s="1597">
        <f t="shared" si="0"/>
        <v>-313359</v>
      </c>
    </row>
    <row r="35" spans="1:10" ht="16.5" customHeight="1" x14ac:dyDescent="0.2">
      <c r="A35" s="1583" t="s">
        <v>545</v>
      </c>
      <c r="B35" s="1584" t="s">
        <v>1454</v>
      </c>
      <c r="C35" s="1598"/>
      <c r="D35" s="1599"/>
      <c r="E35" s="258"/>
      <c r="F35" s="1599"/>
      <c r="G35" s="1599"/>
      <c r="H35" s="1599"/>
      <c r="I35" s="258">
        <f t="shared" si="2"/>
        <v>0</v>
      </c>
      <c r="J35" s="442">
        <f t="shared" si="0"/>
        <v>0</v>
      </c>
    </row>
    <row r="36" spans="1:10" ht="16.5" customHeight="1" x14ac:dyDescent="0.2">
      <c r="A36" s="1583" t="s">
        <v>563</v>
      </c>
      <c r="B36" s="1584" t="s">
        <v>1455</v>
      </c>
      <c r="C36" s="1598"/>
      <c r="D36" s="1599"/>
      <c r="E36" s="1599"/>
      <c r="F36" s="1599"/>
      <c r="G36" s="1599"/>
      <c r="H36" s="1599"/>
      <c r="I36" s="258">
        <f t="shared" si="2"/>
        <v>0</v>
      </c>
      <c r="J36" s="442">
        <f t="shared" si="0"/>
        <v>0</v>
      </c>
    </row>
    <row r="37" spans="1:10" ht="25.5" x14ac:dyDescent="0.2">
      <c r="A37" s="1583" t="s">
        <v>564</v>
      </c>
      <c r="B37" s="1600" t="s">
        <v>1456</v>
      </c>
      <c r="C37" s="1598"/>
      <c r="D37" s="1599"/>
      <c r="E37" s="1599"/>
      <c r="F37" s="1599"/>
      <c r="G37" s="1599"/>
      <c r="H37" s="1599"/>
      <c r="I37" s="258">
        <f t="shared" si="2"/>
        <v>0</v>
      </c>
      <c r="J37" s="442">
        <f t="shared" si="0"/>
        <v>0</v>
      </c>
    </row>
    <row r="38" spans="1:10" ht="16.5" customHeight="1" x14ac:dyDescent="0.2">
      <c r="A38" s="1583" t="s">
        <v>565</v>
      </c>
      <c r="B38" s="1584" t="s">
        <v>1457</v>
      </c>
      <c r="C38" s="1598">
        <v>1</v>
      </c>
      <c r="D38" s="1599"/>
      <c r="E38" s="1599">
        <v>1</v>
      </c>
      <c r="F38" s="1599"/>
      <c r="G38" s="1599"/>
      <c r="H38" s="1599"/>
      <c r="I38" s="258">
        <f t="shared" si="2"/>
        <v>1</v>
      </c>
      <c r="J38" s="442">
        <f t="shared" si="0"/>
        <v>2</v>
      </c>
    </row>
    <row r="39" spans="1:10" ht="16.5" customHeight="1" x14ac:dyDescent="0.2">
      <c r="A39" s="1583" t="s">
        <v>566</v>
      </c>
      <c r="B39" s="1584" t="s">
        <v>1458</v>
      </c>
      <c r="C39" s="1598">
        <v>3533</v>
      </c>
      <c r="D39" s="1599">
        <f t="shared" ref="D39:H39" si="9">SUM(D40:D41)</f>
        <v>0</v>
      </c>
      <c r="E39" s="1599">
        <f t="shared" si="9"/>
        <v>0</v>
      </c>
      <c r="F39" s="1599">
        <f t="shared" si="9"/>
        <v>0</v>
      </c>
      <c r="G39" s="1599">
        <f t="shared" si="9"/>
        <v>0</v>
      </c>
      <c r="H39" s="1599">
        <f t="shared" si="9"/>
        <v>0</v>
      </c>
      <c r="I39" s="258">
        <f t="shared" si="2"/>
        <v>0</v>
      </c>
      <c r="J39" s="442">
        <f t="shared" si="0"/>
        <v>3533</v>
      </c>
    </row>
    <row r="40" spans="1:10" ht="25.5" x14ac:dyDescent="0.2">
      <c r="A40" s="1583" t="s">
        <v>567</v>
      </c>
      <c r="B40" s="1600" t="s">
        <v>1459</v>
      </c>
      <c r="C40" s="1598"/>
      <c r="D40" s="1599"/>
      <c r="E40" s="1599"/>
      <c r="F40" s="1599"/>
      <c r="G40" s="1599"/>
      <c r="H40" s="1599"/>
      <c r="I40" s="258">
        <f t="shared" si="2"/>
        <v>0</v>
      </c>
      <c r="J40" s="442">
        <f t="shared" si="0"/>
        <v>0</v>
      </c>
    </row>
    <row r="41" spans="1:10" ht="25.5" x14ac:dyDescent="0.2">
      <c r="A41" s="1583" t="s">
        <v>568</v>
      </c>
      <c r="B41" s="1600" t="s">
        <v>1460</v>
      </c>
      <c r="C41" s="1598">
        <v>72</v>
      </c>
      <c r="D41" s="1599"/>
      <c r="E41" s="1599"/>
      <c r="F41" s="1599"/>
      <c r="G41" s="1599"/>
      <c r="H41" s="1599"/>
      <c r="I41" s="258">
        <f t="shared" si="2"/>
        <v>0</v>
      </c>
      <c r="J41" s="442">
        <f t="shared" si="0"/>
        <v>72</v>
      </c>
    </row>
    <row r="42" spans="1:10" ht="16.5" customHeight="1" x14ac:dyDescent="0.2">
      <c r="A42" s="1583" t="s">
        <v>569</v>
      </c>
      <c r="B42" s="1586" t="s">
        <v>1461</v>
      </c>
      <c r="C42" s="1593">
        <f>SUM(B35:C39)</f>
        <v>3534</v>
      </c>
      <c r="D42" s="1594">
        <f>SUM(D35:D39)</f>
        <v>0</v>
      </c>
      <c r="E42" s="1594">
        <f t="shared" ref="E42:H42" si="10">SUM(D35:E39)</f>
        <v>1</v>
      </c>
      <c r="F42" s="1594">
        <f>SUM(F35:F39)</f>
        <v>0</v>
      </c>
      <c r="G42" s="1594">
        <f t="shared" si="10"/>
        <v>0</v>
      </c>
      <c r="H42" s="1594">
        <f t="shared" si="10"/>
        <v>0</v>
      </c>
      <c r="I42" s="1588">
        <f t="shared" si="2"/>
        <v>1</v>
      </c>
      <c r="J42" s="1589">
        <f t="shared" si="0"/>
        <v>3535</v>
      </c>
    </row>
    <row r="43" spans="1:10" ht="16.5" customHeight="1" x14ac:dyDescent="0.2">
      <c r="A43" s="1583" t="s">
        <v>570</v>
      </c>
      <c r="B43" s="1584" t="s">
        <v>1462</v>
      </c>
      <c r="C43" s="1598"/>
      <c r="D43" s="1599"/>
      <c r="E43" s="1599"/>
      <c r="F43" s="1599"/>
      <c r="G43" s="1599"/>
      <c r="H43" s="1599"/>
      <c r="I43" s="258">
        <f t="shared" si="2"/>
        <v>0</v>
      </c>
      <c r="J43" s="442">
        <f t="shared" si="0"/>
        <v>0</v>
      </c>
    </row>
    <row r="44" spans="1:10" ht="25.5" x14ac:dyDescent="0.2">
      <c r="A44" s="1583" t="s">
        <v>571</v>
      </c>
      <c r="B44" s="1600" t="s">
        <v>1463</v>
      </c>
      <c r="C44" s="1598"/>
      <c r="D44" s="1599"/>
      <c r="E44" s="1599"/>
      <c r="F44" s="1599"/>
      <c r="G44" s="1599"/>
      <c r="H44" s="1599"/>
      <c r="I44" s="258">
        <f t="shared" si="2"/>
        <v>0</v>
      </c>
      <c r="J44" s="442">
        <f t="shared" si="0"/>
        <v>0</v>
      </c>
    </row>
    <row r="45" spans="1:10" ht="16.5" customHeight="1" x14ac:dyDescent="0.2">
      <c r="A45" s="1583" t="s">
        <v>622</v>
      </c>
      <c r="B45" s="1584" t="s">
        <v>1464</v>
      </c>
      <c r="C45" s="1598">
        <v>9845</v>
      </c>
      <c r="D45" s="1599"/>
      <c r="E45" s="1599"/>
      <c r="F45" s="1599"/>
      <c r="G45" s="1599"/>
      <c r="H45" s="1599"/>
      <c r="I45" s="258">
        <f t="shared" si="2"/>
        <v>0</v>
      </c>
      <c r="J45" s="442">
        <f t="shared" si="0"/>
        <v>9845</v>
      </c>
    </row>
    <row r="46" spans="1:10" ht="16.5" customHeight="1" x14ac:dyDescent="0.2">
      <c r="A46" s="1583" t="s">
        <v>623</v>
      </c>
      <c r="B46" s="1584" t="s">
        <v>1465</v>
      </c>
      <c r="C46" s="1598">
        <f>SUM(C47:C48)</f>
        <v>0</v>
      </c>
      <c r="D46" s="1599">
        <f t="shared" ref="D46:H46" si="11">SUM(D47:D48)</f>
        <v>0</v>
      </c>
      <c r="E46" s="1599">
        <f t="shared" si="11"/>
        <v>0</v>
      </c>
      <c r="F46" s="1599">
        <f t="shared" si="11"/>
        <v>0</v>
      </c>
      <c r="G46" s="1599">
        <f t="shared" si="11"/>
        <v>0</v>
      </c>
      <c r="H46" s="1599">
        <f t="shared" si="11"/>
        <v>0</v>
      </c>
      <c r="I46" s="258">
        <f t="shared" si="2"/>
        <v>0</v>
      </c>
      <c r="J46" s="442">
        <f t="shared" si="0"/>
        <v>0</v>
      </c>
    </row>
    <row r="47" spans="1:10" ht="16.5" customHeight="1" x14ac:dyDescent="0.2">
      <c r="A47" s="1583" t="s">
        <v>624</v>
      </c>
      <c r="B47" s="1584" t="s">
        <v>1466</v>
      </c>
      <c r="C47" s="1598"/>
      <c r="D47" s="1599"/>
      <c r="E47" s="1599"/>
      <c r="F47" s="1599"/>
      <c r="G47" s="1599"/>
      <c r="H47" s="1599"/>
      <c r="I47" s="258">
        <f t="shared" si="2"/>
        <v>0</v>
      </c>
      <c r="J47" s="442">
        <f t="shared" si="0"/>
        <v>0</v>
      </c>
    </row>
    <row r="48" spans="1:10" ht="16.5" customHeight="1" x14ac:dyDescent="0.2">
      <c r="A48" s="1583" t="s">
        <v>625</v>
      </c>
      <c r="B48" s="1584" t="s">
        <v>1467</v>
      </c>
      <c r="C48" s="1598"/>
      <c r="D48" s="1599"/>
      <c r="E48" s="1599"/>
      <c r="F48" s="1599"/>
      <c r="G48" s="1599"/>
      <c r="H48" s="1599"/>
      <c r="I48" s="258">
        <f t="shared" si="2"/>
        <v>0</v>
      </c>
      <c r="J48" s="442">
        <f t="shared" si="0"/>
        <v>0</v>
      </c>
    </row>
    <row r="49" spans="1:10" ht="16.5" customHeight="1" x14ac:dyDescent="0.2">
      <c r="A49" s="1583" t="s">
        <v>115</v>
      </c>
      <c r="B49" s="1584" t="s">
        <v>1468</v>
      </c>
      <c r="C49" s="1598">
        <v>77</v>
      </c>
      <c r="D49" s="1599">
        <f t="shared" ref="D49:H49" si="12">SUM(D50:D51)</f>
        <v>0</v>
      </c>
      <c r="E49" s="1599">
        <f t="shared" si="12"/>
        <v>0</v>
      </c>
      <c r="F49" s="1599">
        <f t="shared" si="12"/>
        <v>0</v>
      </c>
      <c r="G49" s="1599">
        <f t="shared" si="12"/>
        <v>0</v>
      </c>
      <c r="H49" s="1599">
        <f t="shared" si="12"/>
        <v>0</v>
      </c>
      <c r="I49" s="258">
        <f t="shared" si="2"/>
        <v>0</v>
      </c>
      <c r="J49" s="442">
        <f t="shared" si="0"/>
        <v>77</v>
      </c>
    </row>
    <row r="50" spans="1:10" ht="25.5" x14ac:dyDescent="0.2">
      <c r="A50" s="1583" t="s">
        <v>650</v>
      </c>
      <c r="B50" s="1600" t="s">
        <v>1469</v>
      </c>
      <c r="C50" s="1598"/>
      <c r="D50" s="1599"/>
      <c r="E50" s="1599"/>
      <c r="F50" s="1599"/>
      <c r="G50" s="1599"/>
      <c r="H50" s="1599"/>
      <c r="I50" s="258">
        <f t="shared" si="2"/>
        <v>0</v>
      </c>
      <c r="J50" s="442">
        <f t="shared" si="0"/>
        <v>0</v>
      </c>
    </row>
    <row r="51" spans="1:10" ht="25.5" x14ac:dyDescent="0.2">
      <c r="A51" s="1583" t="s">
        <v>651</v>
      </c>
      <c r="B51" s="1600" t="s">
        <v>1470</v>
      </c>
      <c r="C51" s="1598"/>
      <c r="D51" s="1599"/>
      <c r="E51" s="1599"/>
      <c r="F51" s="1599"/>
      <c r="G51" s="1599"/>
      <c r="H51" s="1599"/>
      <c r="I51" s="258">
        <f t="shared" si="2"/>
        <v>0</v>
      </c>
      <c r="J51" s="442">
        <f t="shared" si="0"/>
        <v>0</v>
      </c>
    </row>
    <row r="52" spans="1:10" ht="16.5" customHeight="1" x14ac:dyDescent="0.2">
      <c r="A52" s="1583" t="s">
        <v>118</v>
      </c>
      <c r="B52" s="1586" t="s">
        <v>1471</v>
      </c>
      <c r="C52" s="1593">
        <f>C43+C44+C45+C46+C49</f>
        <v>9922</v>
      </c>
      <c r="D52" s="1594">
        <f t="shared" ref="D52:H52" si="13">D43+D44+D45+D46+D49</f>
        <v>0</v>
      </c>
      <c r="E52" s="1594">
        <f t="shared" si="13"/>
        <v>0</v>
      </c>
      <c r="F52" s="1594">
        <f t="shared" si="13"/>
        <v>0</v>
      </c>
      <c r="G52" s="1594">
        <f t="shared" si="13"/>
        <v>0</v>
      </c>
      <c r="H52" s="1594">
        <f t="shared" si="13"/>
        <v>0</v>
      </c>
      <c r="I52" s="1588">
        <f t="shared" si="2"/>
        <v>0</v>
      </c>
      <c r="J52" s="1589">
        <f t="shared" si="0"/>
        <v>9922</v>
      </c>
    </row>
    <row r="53" spans="1:10" ht="16.5" customHeight="1" x14ac:dyDescent="0.2">
      <c r="A53" s="1583" t="s">
        <v>119</v>
      </c>
      <c r="B53" s="1595" t="s">
        <v>1472</v>
      </c>
      <c r="C53" s="1596">
        <f t="shared" ref="C53:H53" si="14">C42-C52</f>
        <v>-6388</v>
      </c>
      <c r="D53" s="1601">
        <f t="shared" si="14"/>
        <v>0</v>
      </c>
      <c r="E53" s="1601">
        <f t="shared" si="14"/>
        <v>1</v>
      </c>
      <c r="F53" s="1601">
        <f t="shared" si="14"/>
        <v>0</v>
      </c>
      <c r="G53" s="1601">
        <f t="shared" si="14"/>
        <v>0</v>
      </c>
      <c r="H53" s="1601">
        <f t="shared" si="14"/>
        <v>0</v>
      </c>
      <c r="I53" s="260">
        <f t="shared" si="2"/>
        <v>1</v>
      </c>
      <c r="J53" s="1597">
        <f t="shared" si="0"/>
        <v>-6387</v>
      </c>
    </row>
    <row r="54" spans="1:10" ht="16.5" customHeight="1" x14ac:dyDescent="0.2">
      <c r="A54" s="1602" t="s">
        <v>120</v>
      </c>
      <c r="B54" s="1603" t="s">
        <v>1473</v>
      </c>
      <c r="C54" s="1604">
        <f>C34+C53</f>
        <v>-314917</v>
      </c>
      <c r="D54" s="1605">
        <f t="shared" ref="D54:H54" si="15">D34+D53</f>
        <v>-546</v>
      </c>
      <c r="E54" s="1605">
        <f t="shared" si="15"/>
        <v>12427</v>
      </c>
      <c r="F54" s="1605">
        <f t="shared" si="15"/>
        <v>1026</v>
      </c>
      <c r="G54" s="1605">
        <f t="shared" si="15"/>
        <v>1037</v>
      </c>
      <c r="H54" s="1605">
        <f t="shared" si="15"/>
        <v>-18773</v>
      </c>
      <c r="I54" s="1606">
        <f t="shared" si="2"/>
        <v>-4283</v>
      </c>
      <c r="J54" s="1607">
        <f t="shared" si="0"/>
        <v>-319746</v>
      </c>
    </row>
  </sheetData>
  <mergeCells count="16">
    <mergeCell ref="B6:J6"/>
    <mergeCell ref="C1:J1"/>
    <mergeCell ref="B2:J2"/>
    <mergeCell ref="B3:J3"/>
    <mergeCell ref="B4:J4"/>
    <mergeCell ref="B5:J5"/>
    <mergeCell ref="G8:G10"/>
    <mergeCell ref="H8:H10"/>
    <mergeCell ref="I8:I10"/>
    <mergeCell ref="J8:J10"/>
    <mergeCell ref="A7:A10"/>
    <mergeCell ref="B8:B10"/>
    <mergeCell ref="C8:C10"/>
    <mergeCell ref="D8:D10"/>
    <mergeCell ref="E8:E10"/>
    <mergeCell ref="F8:F10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62" customWidth="1"/>
    <col min="5" max="5" width="10.42578125" style="362" bestFit="1" customWidth="1"/>
    <col min="6" max="9" width="9.7109375" style="362" customWidth="1"/>
    <col min="10" max="10" width="10.140625" style="362" customWidth="1"/>
    <col min="11" max="14" width="9.7109375" style="362" customWidth="1"/>
    <col min="15" max="15" width="11.5703125" style="362" customWidth="1"/>
    <col min="16" max="16" width="10.140625" style="16" customWidth="1"/>
    <col min="17" max="16384" width="9.140625" style="16"/>
  </cols>
  <sheetData>
    <row r="1" spans="1:33" ht="12.75" customHeight="1" x14ac:dyDescent="0.25">
      <c r="B1" s="2093" t="s">
        <v>1215</v>
      </c>
      <c r="C1" s="2093"/>
      <c r="D1" s="2093"/>
      <c r="E1" s="2093"/>
      <c r="F1" s="2093"/>
      <c r="G1" s="2093"/>
      <c r="H1" s="2093"/>
      <c r="I1" s="2093"/>
      <c r="J1" s="2093"/>
      <c r="K1" s="2093"/>
      <c r="L1" s="2093"/>
      <c r="M1" s="2093"/>
      <c r="N1" s="2093"/>
      <c r="O1" s="2093"/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889"/>
      <c r="AA1" s="889"/>
      <c r="AB1" s="889"/>
      <c r="AC1" s="889"/>
      <c r="AD1" s="889"/>
      <c r="AE1" s="889"/>
      <c r="AF1" s="889"/>
      <c r="AG1" s="889"/>
    </row>
    <row r="2" spans="1:33" ht="14.1" customHeight="1" x14ac:dyDescent="0.25">
      <c r="A2" s="32"/>
      <c r="B2" s="2091" t="s">
        <v>86</v>
      </c>
      <c r="C2" s="2091"/>
      <c r="D2" s="2091"/>
      <c r="E2" s="2091"/>
      <c r="F2" s="2091"/>
      <c r="G2" s="2091"/>
      <c r="H2" s="2091"/>
      <c r="I2" s="2091"/>
      <c r="J2" s="2091"/>
      <c r="K2" s="2091"/>
      <c r="L2" s="2091"/>
      <c r="M2" s="2091"/>
      <c r="N2" s="2091"/>
      <c r="O2" s="2091"/>
    </row>
    <row r="3" spans="1:33" ht="14.1" customHeight="1" x14ac:dyDescent="0.25">
      <c r="A3" s="32"/>
      <c r="B3" s="2091" t="s">
        <v>1210</v>
      </c>
      <c r="C3" s="2091"/>
      <c r="D3" s="2091"/>
      <c r="E3" s="2091"/>
      <c r="F3" s="2091"/>
      <c r="G3" s="2091"/>
      <c r="H3" s="2091"/>
      <c r="I3" s="2091"/>
      <c r="J3" s="2091"/>
      <c r="K3" s="2091"/>
      <c r="L3" s="2091"/>
      <c r="M3" s="2091"/>
      <c r="N3" s="2091"/>
      <c r="O3" s="2091"/>
    </row>
    <row r="4" spans="1:33" ht="14.1" customHeight="1" x14ac:dyDescent="0.25">
      <c r="A4" s="32"/>
      <c r="B4" s="724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</row>
    <row r="5" spans="1:33" ht="15" customHeight="1" x14ac:dyDescent="0.25">
      <c r="A5" s="2092"/>
      <c r="B5" s="726" t="s">
        <v>57</v>
      </c>
      <c r="C5" s="727" t="s">
        <v>58</v>
      </c>
      <c r="D5" s="727" t="s">
        <v>59</v>
      </c>
      <c r="E5" s="727" t="s">
        <v>60</v>
      </c>
      <c r="F5" s="727" t="s">
        <v>469</v>
      </c>
      <c r="G5" s="727" t="s">
        <v>470</v>
      </c>
      <c r="H5" s="727" t="s">
        <v>471</v>
      </c>
      <c r="I5" s="727" t="s">
        <v>590</v>
      </c>
      <c r="J5" s="727" t="s">
        <v>598</v>
      </c>
      <c r="K5" s="727" t="s">
        <v>599</v>
      </c>
      <c r="L5" s="727" t="s">
        <v>600</v>
      </c>
      <c r="M5" s="727" t="s">
        <v>601</v>
      </c>
      <c r="N5" s="727" t="s">
        <v>602</v>
      </c>
      <c r="O5" s="727" t="s">
        <v>603</v>
      </c>
    </row>
    <row r="6" spans="1:33" ht="12.75" customHeight="1" x14ac:dyDescent="0.25">
      <c r="A6" s="2092"/>
      <c r="B6" s="722" t="s">
        <v>85</v>
      </c>
      <c r="C6" s="728" t="s">
        <v>604</v>
      </c>
      <c r="D6" s="728" t="s">
        <v>605</v>
      </c>
      <c r="E6" s="728" t="s">
        <v>606</v>
      </c>
      <c r="F6" s="728" t="s">
        <v>607</v>
      </c>
      <c r="G6" s="728" t="s">
        <v>608</v>
      </c>
      <c r="H6" s="728" t="s">
        <v>609</v>
      </c>
      <c r="I6" s="728" t="s">
        <v>610</v>
      </c>
      <c r="J6" s="728" t="s">
        <v>611</v>
      </c>
      <c r="K6" s="728" t="s">
        <v>612</v>
      </c>
      <c r="L6" s="728" t="s">
        <v>613</v>
      </c>
      <c r="M6" s="728" t="s">
        <v>614</v>
      </c>
      <c r="N6" s="728" t="s">
        <v>615</v>
      </c>
      <c r="O6" s="728" t="s">
        <v>528</v>
      </c>
    </row>
    <row r="7" spans="1:33" s="32" customFormat="1" ht="12.75" customHeight="1" x14ac:dyDescent="0.25">
      <c r="A7" s="21" t="s">
        <v>478</v>
      </c>
      <c r="B7" s="34" t="s">
        <v>644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</row>
    <row r="8" spans="1:33" s="32" customFormat="1" ht="15.75" customHeight="1" x14ac:dyDescent="0.25">
      <c r="A8" s="21" t="s">
        <v>486</v>
      </c>
      <c r="B8" s="32" t="s">
        <v>638</v>
      </c>
      <c r="C8" s="257">
        <f>O8/12</f>
        <v>78472.416666666672</v>
      </c>
      <c r="D8" s="257">
        <f>C8</f>
        <v>78472.416666666672</v>
      </c>
      <c r="E8" s="257">
        <f t="shared" ref="E8:N8" si="0">D8</f>
        <v>78472.416666666672</v>
      </c>
      <c r="F8" s="257">
        <f t="shared" si="0"/>
        <v>78472.416666666672</v>
      </c>
      <c r="G8" s="257">
        <f t="shared" si="0"/>
        <v>78472.416666666672</v>
      </c>
      <c r="H8" s="257">
        <f t="shared" si="0"/>
        <v>78472.416666666672</v>
      </c>
      <c r="I8" s="257">
        <f t="shared" si="0"/>
        <v>78472.416666666672</v>
      </c>
      <c r="J8" s="257">
        <f t="shared" si="0"/>
        <v>78472.416666666672</v>
      </c>
      <c r="K8" s="257">
        <f t="shared" si="0"/>
        <v>78472.416666666672</v>
      </c>
      <c r="L8" s="257">
        <f t="shared" si="0"/>
        <v>78472.416666666672</v>
      </c>
      <c r="M8" s="257">
        <f t="shared" si="0"/>
        <v>78472.416666666672</v>
      </c>
      <c r="N8" s="257">
        <f t="shared" si="0"/>
        <v>78472.416666666672</v>
      </c>
      <c r="O8" s="257">
        <f>Össz.önkor.mérleg.!E13</f>
        <v>941669</v>
      </c>
      <c r="P8" s="35"/>
    </row>
    <row r="9" spans="1:33" s="32" customFormat="1" ht="16.5" customHeight="1" x14ac:dyDescent="0.25">
      <c r="A9" s="21" t="s">
        <v>487</v>
      </c>
      <c r="B9" s="32" t="s">
        <v>639</v>
      </c>
      <c r="C9" s="257">
        <f>O9/12</f>
        <v>7223.583333333333</v>
      </c>
      <c r="D9" s="257">
        <f>C9</f>
        <v>7223.583333333333</v>
      </c>
      <c r="E9" s="257">
        <f t="shared" ref="E9:N9" si="1">D9</f>
        <v>7223.583333333333</v>
      </c>
      <c r="F9" s="257">
        <f t="shared" si="1"/>
        <v>7223.583333333333</v>
      </c>
      <c r="G9" s="257">
        <f t="shared" si="1"/>
        <v>7223.583333333333</v>
      </c>
      <c r="H9" s="257">
        <f t="shared" si="1"/>
        <v>7223.583333333333</v>
      </c>
      <c r="I9" s="257">
        <f t="shared" si="1"/>
        <v>7223.583333333333</v>
      </c>
      <c r="J9" s="257">
        <f t="shared" si="1"/>
        <v>7223.583333333333</v>
      </c>
      <c r="K9" s="257">
        <f t="shared" si="1"/>
        <v>7223.583333333333</v>
      </c>
      <c r="L9" s="257">
        <f t="shared" si="1"/>
        <v>7223.583333333333</v>
      </c>
      <c r="M9" s="257">
        <f t="shared" si="1"/>
        <v>7223.583333333333</v>
      </c>
      <c r="N9" s="257">
        <f t="shared" si="1"/>
        <v>7223.583333333333</v>
      </c>
      <c r="O9" s="257">
        <f>Össz.önkor.mérleg.!E15</f>
        <v>86683</v>
      </c>
      <c r="P9" s="35"/>
    </row>
    <row r="10" spans="1:33" s="32" customFormat="1" ht="15.75" customHeight="1" x14ac:dyDescent="0.25">
      <c r="A10" s="21" t="s">
        <v>488</v>
      </c>
      <c r="B10" s="32" t="s">
        <v>452</v>
      </c>
      <c r="C10" s="257">
        <f>O10/12</f>
        <v>116957</v>
      </c>
      <c r="D10" s="257">
        <f>C10</f>
        <v>116957</v>
      </c>
      <c r="E10" s="257">
        <f t="shared" ref="E10:N10" si="2">D10</f>
        <v>116957</v>
      </c>
      <c r="F10" s="257">
        <f t="shared" si="2"/>
        <v>116957</v>
      </c>
      <c r="G10" s="257">
        <f t="shared" si="2"/>
        <v>116957</v>
      </c>
      <c r="H10" s="257">
        <f t="shared" si="2"/>
        <v>116957</v>
      </c>
      <c r="I10" s="257">
        <f t="shared" si="2"/>
        <v>116957</v>
      </c>
      <c r="J10" s="257">
        <f t="shared" si="2"/>
        <v>116957</v>
      </c>
      <c r="K10" s="257">
        <f t="shared" si="2"/>
        <v>116957</v>
      </c>
      <c r="L10" s="257">
        <f t="shared" si="2"/>
        <v>116957</v>
      </c>
      <c r="M10" s="257">
        <f t="shared" si="2"/>
        <v>116957</v>
      </c>
      <c r="N10" s="257">
        <f t="shared" si="2"/>
        <v>116957</v>
      </c>
      <c r="O10" s="257">
        <f>Össz.önkor.mérleg.!E19</f>
        <v>1403484</v>
      </c>
      <c r="P10" s="35"/>
    </row>
    <row r="11" spans="1:33" s="33" customFormat="1" ht="18" customHeight="1" x14ac:dyDescent="0.25">
      <c r="A11" s="21" t="s">
        <v>489</v>
      </c>
      <c r="B11" s="33" t="s">
        <v>640</v>
      </c>
      <c r="C11" s="257">
        <f>O11/12</f>
        <v>46229.25</v>
      </c>
      <c r="D11" s="257">
        <f>C11</f>
        <v>46229.25</v>
      </c>
      <c r="E11" s="257">
        <f t="shared" ref="E11:N11" si="3">D11</f>
        <v>46229.25</v>
      </c>
      <c r="F11" s="257">
        <f t="shared" si="3"/>
        <v>46229.25</v>
      </c>
      <c r="G11" s="257">
        <f t="shared" si="3"/>
        <v>46229.25</v>
      </c>
      <c r="H11" s="257">
        <f t="shared" si="3"/>
        <v>46229.25</v>
      </c>
      <c r="I11" s="257">
        <f t="shared" si="3"/>
        <v>46229.25</v>
      </c>
      <c r="J11" s="257">
        <f t="shared" si="3"/>
        <v>46229.25</v>
      </c>
      <c r="K11" s="257">
        <f t="shared" si="3"/>
        <v>46229.25</v>
      </c>
      <c r="L11" s="257">
        <f t="shared" si="3"/>
        <v>46229.25</v>
      </c>
      <c r="M11" s="257">
        <f t="shared" si="3"/>
        <v>46229.25</v>
      </c>
      <c r="N11" s="257">
        <f t="shared" si="3"/>
        <v>46229.25</v>
      </c>
      <c r="O11" s="257">
        <f>Össz.önkor.mérleg.!E22</f>
        <v>554751</v>
      </c>
      <c r="P11" s="35"/>
    </row>
    <row r="12" spans="1:33" s="32" customFormat="1" ht="13.5" customHeight="1" x14ac:dyDescent="0.25">
      <c r="A12" s="21" t="s">
        <v>490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>
        <f t="shared" ref="O12:O18" si="4">SUM(C12:N12)</f>
        <v>0</v>
      </c>
      <c r="P12" s="35"/>
    </row>
    <row r="13" spans="1:33" s="32" customFormat="1" ht="15" customHeight="1" x14ac:dyDescent="0.25">
      <c r="A13" s="21" t="s">
        <v>491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>
        <f t="shared" si="4"/>
        <v>0</v>
      </c>
      <c r="P13" s="35"/>
    </row>
    <row r="14" spans="1:33" s="34" customFormat="1" ht="15.75" customHeight="1" x14ac:dyDescent="0.25">
      <c r="A14" s="21" t="s">
        <v>492</v>
      </c>
      <c r="B14" s="729" t="s">
        <v>616</v>
      </c>
      <c r="C14" s="730">
        <f>SUM(C8:C13)</f>
        <v>248882.25</v>
      </c>
      <c r="D14" s="730">
        <f>SUM(D8:D12)</f>
        <v>248882.25</v>
      </c>
      <c r="E14" s="730">
        <f>SUM(E8:E12)</f>
        <v>248882.25</v>
      </c>
      <c r="F14" s="730">
        <f>SUM(F8:F13)</f>
        <v>248882.25</v>
      </c>
      <c r="G14" s="730">
        <f>SUM(G8:G13)</f>
        <v>248882.25</v>
      </c>
      <c r="H14" s="730">
        <f t="shared" ref="H14:N14" si="5">SUM(H8:H12)</f>
        <v>248882.25</v>
      </c>
      <c r="I14" s="730">
        <f t="shared" si="5"/>
        <v>248882.25</v>
      </c>
      <c r="J14" s="730">
        <f t="shared" si="5"/>
        <v>248882.25</v>
      </c>
      <c r="K14" s="730">
        <f t="shared" si="5"/>
        <v>248882.25</v>
      </c>
      <c r="L14" s="730">
        <f t="shared" si="5"/>
        <v>248882.25</v>
      </c>
      <c r="M14" s="730">
        <f t="shared" si="5"/>
        <v>248882.25</v>
      </c>
      <c r="N14" s="730">
        <f t="shared" si="5"/>
        <v>248882.25</v>
      </c>
      <c r="O14" s="731">
        <f>SUM(O8:O13)</f>
        <v>2986587</v>
      </c>
      <c r="P14" s="36"/>
    </row>
    <row r="15" spans="1:33" s="32" customFormat="1" ht="15.75" customHeight="1" x14ac:dyDescent="0.25">
      <c r="A15" s="21" t="s">
        <v>493</v>
      </c>
      <c r="B15" s="32" t="s">
        <v>641</v>
      </c>
      <c r="C15" s="257"/>
      <c r="D15" s="257"/>
      <c r="E15" s="257"/>
      <c r="F15" s="257"/>
      <c r="G15" s="732"/>
      <c r="H15" s="732"/>
      <c r="I15" s="732"/>
      <c r="J15" s="732"/>
      <c r="K15" s="732"/>
      <c r="L15" s="732"/>
      <c r="M15" s="732"/>
      <c r="N15" s="732"/>
      <c r="O15" s="259">
        <f>Össz.önkor.mérleg.!E26</f>
        <v>60247</v>
      </c>
      <c r="P15" s="35"/>
    </row>
    <row r="16" spans="1:33" s="32" customFormat="1" ht="15" customHeight="1" x14ac:dyDescent="0.25">
      <c r="A16" s="21" t="s">
        <v>529</v>
      </c>
      <c r="B16" s="32" t="s">
        <v>642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9">
        <v>0</v>
      </c>
      <c r="P16" s="35"/>
    </row>
    <row r="17" spans="1:256" s="32" customFormat="1" ht="16.5" customHeight="1" x14ac:dyDescent="0.25">
      <c r="A17" s="21" t="s">
        <v>530</v>
      </c>
      <c r="B17" s="32" t="s">
        <v>562</v>
      </c>
      <c r="C17" s="257">
        <f>O17/12</f>
        <v>1177.6666666666667</v>
      </c>
      <c r="D17" s="257">
        <f>C17</f>
        <v>1177.6666666666667</v>
      </c>
      <c r="E17" s="257">
        <f t="shared" ref="E17:N17" si="6">D17</f>
        <v>1177.6666666666667</v>
      </c>
      <c r="F17" s="257">
        <f t="shared" si="6"/>
        <v>1177.6666666666667</v>
      </c>
      <c r="G17" s="257">
        <f t="shared" si="6"/>
        <v>1177.6666666666667</v>
      </c>
      <c r="H17" s="257">
        <f t="shared" si="6"/>
        <v>1177.6666666666667</v>
      </c>
      <c r="I17" s="257">
        <f t="shared" si="6"/>
        <v>1177.6666666666667</v>
      </c>
      <c r="J17" s="257">
        <f t="shared" si="6"/>
        <v>1177.6666666666667</v>
      </c>
      <c r="K17" s="257">
        <f t="shared" si="6"/>
        <v>1177.6666666666667</v>
      </c>
      <c r="L17" s="257">
        <f t="shared" si="6"/>
        <v>1177.6666666666667</v>
      </c>
      <c r="M17" s="257">
        <f t="shared" si="6"/>
        <v>1177.6666666666667</v>
      </c>
      <c r="N17" s="257">
        <f t="shared" si="6"/>
        <v>1177.6666666666667</v>
      </c>
      <c r="O17" s="259">
        <f>Össz.önkor.mérleg.!E32</f>
        <v>14132</v>
      </c>
      <c r="P17" s="35"/>
    </row>
    <row r="18" spans="1:256" s="33" customFormat="1" ht="15" customHeight="1" x14ac:dyDescent="0.25">
      <c r="A18" s="21" t="s">
        <v>531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9">
        <f t="shared" si="4"/>
        <v>0</v>
      </c>
      <c r="P18" s="35"/>
    </row>
    <row r="19" spans="1:256" s="38" customFormat="1" ht="16.5" customHeight="1" x14ac:dyDescent="0.25">
      <c r="A19" s="21" t="s">
        <v>532</v>
      </c>
      <c r="B19" s="885" t="s">
        <v>617</v>
      </c>
      <c r="C19" s="886">
        <f>SUM(C15:C18)</f>
        <v>1177.6666666666667</v>
      </c>
      <c r="D19" s="886">
        <f>SUM(D15:D18)</f>
        <v>1177.6666666666667</v>
      </c>
      <c r="E19" s="886">
        <f>SUM(E15:E18)</f>
        <v>1177.6666666666667</v>
      </c>
      <c r="F19" s="886">
        <f t="shared" ref="F19:M19" si="7">SUM(F15:F18)</f>
        <v>1177.6666666666667</v>
      </c>
      <c r="G19" s="886">
        <f t="shared" si="7"/>
        <v>1177.6666666666667</v>
      </c>
      <c r="H19" s="886">
        <f t="shared" si="7"/>
        <v>1177.6666666666667</v>
      </c>
      <c r="I19" s="886">
        <f t="shared" si="7"/>
        <v>1177.6666666666667</v>
      </c>
      <c r="J19" s="886">
        <f t="shared" si="7"/>
        <v>1177.6666666666667</v>
      </c>
      <c r="K19" s="886">
        <f t="shared" si="7"/>
        <v>1177.6666666666667</v>
      </c>
      <c r="L19" s="886">
        <f t="shared" si="7"/>
        <v>1177.6666666666667</v>
      </c>
      <c r="M19" s="886">
        <f t="shared" si="7"/>
        <v>1177.6666666666667</v>
      </c>
      <c r="N19" s="886">
        <f>SUM(N15:N18)</f>
        <v>1177.6666666666667</v>
      </c>
      <c r="O19" s="887">
        <f>SUM(O15:O18)</f>
        <v>74379</v>
      </c>
      <c r="P19" s="37"/>
    </row>
    <row r="20" spans="1:256" s="34" customFormat="1" ht="16.5" customHeight="1" x14ac:dyDescent="0.25">
      <c r="A20" s="21" t="s">
        <v>533</v>
      </c>
      <c r="B20" s="38" t="s">
        <v>643</v>
      </c>
      <c r="C20" s="260"/>
      <c r="D20" s="260"/>
      <c r="E20" s="260"/>
      <c r="F20" s="260"/>
      <c r="G20" s="260"/>
      <c r="H20" s="258"/>
      <c r="I20" s="258"/>
      <c r="J20" s="258"/>
      <c r="K20" s="258"/>
      <c r="L20" s="258"/>
      <c r="M20" s="258"/>
      <c r="N20" s="258"/>
      <c r="O20" s="259">
        <f>SUM(C20:N20)</f>
        <v>0</v>
      </c>
      <c r="P20" s="36"/>
    </row>
    <row r="21" spans="1:256" s="32" customFormat="1" ht="15.75" customHeight="1" x14ac:dyDescent="0.25">
      <c r="A21" s="21" t="s">
        <v>534</v>
      </c>
      <c r="B21" s="33" t="s">
        <v>459</v>
      </c>
      <c r="C21" s="258">
        <f>O21/12</f>
        <v>126655.91666666667</v>
      </c>
      <c r="D21" s="258">
        <f>C21</f>
        <v>126655.91666666667</v>
      </c>
      <c r="E21" s="258">
        <f t="shared" ref="E21:N21" si="8">D21</f>
        <v>126655.91666666667</v>
      </c>
      <c r="F21" s="258">
        <f t="shared" si="8"/>
        <v>126655.91666666667</v>
      </c>
      <c r="G21" s="258">
        <f t="shared" si="8"/>
        <v>126655.91666666667</v>
      </c>
      <c r="H21" s="258">
        <f t="shared" si="8"/>
        <v>126655.91666666667</v>
      </c>
      <c r="I21" s="258">
        <f t="shared" si="8"/>
        <v>126655.91666666667</v>
      </c>
      <c r="J21" s="258">
        <f t="shared" si="8"/>
        <v>126655.91666666667</v>
      </c>
      <c r="K21" s="258">
        <f t="shared" si="8"/>
        <v>126655.91666666667</v>
      </c>
      <c r="L21" s="258">
        <f t="shared" si="8"/>
        <v>126655.91666666667</v>
      </c>
      <c r="M21" s="258">
        <f t="shared" si="8"/>
        <v>126655.91666666667</v>
      </c>
      <c r="N21" s="258">
        <f t="shared" si="8"/>
        <v>126655.91666666667</v>
      </c>
      <c r="O21" s="259">
        <f>Össz.önkor.mérleg.!E56</f>
        <v>1519871</v>
      </c>
      <c r="P21" s="35"/>
    </row>
    <row r="22" spans="1:256" s="34" customFormat="1" ht="16.5" customHeight="1" x14ac:dyDescent="0.25">
      <c r="A22" s="21" t="s">
        <v>535</v>
      </c>
      <c r="B22" s="733" t="s">
        <v>618</v>
      </c>
      <c r="C22" s="734">
        <f t="shared" ref="C22:N22" si="9">C19+C14+C20+C21</f>
        <v>376715.83333333331</v>
      </c>
      <c r="D22" s="734">
        <f t="shared" si="9"/>
        <v>376715.83333333331</v>
      </c>
      <c r="E22" s="734">
        <f t="shared" si="9"/>
        <v>376715.83333333331</v>
      </c>
      <c r="F22" s="734">
        <f t="shared" si="9"/>
        <v>376715.83333333331</v>
      </c>
      <c r="G22" s="734">
        <f t="shared" si="9"/>
        <v>376715.83333333331</v>
      </c>
      <c r="H22" s="734">
        <f t="shared" si="9"/>
        <v>376715.83333333331</v>
      </c>
      <c r="I22" s="734">
        <f t="shared" si="9"/>
        <v>376715.83333333331</v>
      </c>
      <c r="J22" s="734">
        <f t="shared" si="9"/>
        <v>376715.83333333331</v>
      </c>
      <c r="K22" s="734">
        <f t="shared" si="9"/>
        <v>376715.83333333331</v>
      </c>
      <c r="L22" s="734">
        <f t="shared" si="9"/>
        <v>376715.83333333331</v>
      </c>
      <c r="M22" s="734">
        <f t="shared" si="9"/>
        <v>376715.83333333331</v>
      </c>
      <c r="N22" s="734">
        <f t="shared" si="9"/>
        <v>376715.83333333331</v>
      </c>
      <c r="O22" s="735">
        <f>O14+O21+O19</f>
        <v>4580837</v>
      </c>
      <c r="P22" s="36"/>
    </row>
    <row r="23" spans="1:256" s="15" customFormat="1" ht="15" customHeight="1" x14ac:dyDescent="0.25">
      <c r="A23" s="21" t="s">
        <v>536</v>
      </c>
      <c r="B23" s="34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</row>
    <row r="24" spans="1:256" s="34" customFormat="1" ht="12.75" customHeight="1" x14ac:dyDescent="0.25">
      <c r="A24" s="21" t="s">
        <v>538</v>
      </c>
      <c r="B24" s="34" t="s">
        <v>65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</row>
    <row r="25" spans="1:256" s="32" customFormat="1" ht="15.75" customHeight="1" x14ac:dyDescent="0.25">
      <c r="A25" s="21" t="s">
        <v>539</v>
      </c>
      <c r="B25" s="32" t="s">
        <v>460</v>
      </c>
      <c r="C25" s="257">
        <f t="shared" ref="C25:C32" si="10">O25/12</f>
        <v>83997</v>
      </c>
      <c r="D25" s="257">
        <f>C25</f>
        <v>83997</v>
      </c>
      <c r="E25" s="257">
        <f t="shared" ref="E25:N25" si="11">D25</f>
        <v>83997</v>
      </c>
      <c r="F25" s="257">
        <f t="shared" si="11"/>
        <v>83997</v>
      </c>
      <c r="G25" s="257">
        <f t="shared" si="11"/>
        <v>83997</v>
      </c>
      <c r="H25" s="257">
        <f t="shared" si="11"/>
        <v>83997</v>
      </c>
      <c r="I25" s="257">
        <f t="shared" si="11"/>
        <v>83997</v>
      </c>
      <c r="J25" s="257">
        <f t="shared" si="11"/>
        <v>83997</v>
      </c>
      <c r="K25" s="257">
        <f t="shared" si="11"/>
        <v>83997</v>
      </c>
      <c r="L25" s="257">
        <f t="shared" si="11"/>
        <v>83997</v>
      </c>
      <c r="M25" s="257">
        <f t="shared" si="11"/>
        <v>83997</v>
      </c>
      <c r="N25" s="257">
        <f t="shared" si="11"/>
        <v>83997</v>
      </c>
      <c r="O25" s="259">
        <f>Össz.önkor.mérleg.!M12</f>
        <v>1007964</v>
      </c>
      <c r="P25" s="35"/>
    </row>
    <row r="26" spans="1:256" s="32" customFormat="1" ht="17.25" customHeight="1" x14ac:dyDescent="0.25">
      <c r="A26" s="21" t="s">
        <v>540</v>
      </c>
      <c r="B26" s="32" t="s">
        <v>461</v>
      </c>
      <c r="C26" s="257">
        <f t="shared" si="10"/>
        <v>17313.416666666668</v>
      </c>
      <c r="D26" s="257">
        <f t="shared" ref="D26:N32" si="12">C26</f>
        <v>17313.416666666668</v>
      </c>
      <c r="E26" s="257">
        <f t="shared" si="12"/>
        <v>17313.416666666668</v>
      </c>
      <c r="F26" s="257">
        <f t="shared" si="12"/>
        <v>17313.416666666668</v>
      </c>
      <c r="G26" s="257">
        <f t="shared" si="12"/>
        <v>17313.416666666668</v>
      </c>
      <c r="H26" s="257">
        <f t="shared" si="12"/>
        <v>17313.416666666668</v>
      </c>
      <c r="I26" s="257">
        <f t="shared" si="12"/>
        <v>17313.416666666668</v>
      </c>
      <c r="J26" s="257">
        <f t="shared" si="12"/>
        <v>17313.416666666668</v>
      </c>
      <c r="K26" s="257">
        <f t="shared" si="12"/>
        <v>17313.416666666668</v>
      </c>
      <c r="L26" s="257">
        <f t="shared" si="12"/>
        <v>17313.416666666668</v>
      </c>
      <c r="M26" s="257">
        <f t="shared" si="12"/>
        <v>17313.416666666668</v>
      </c>
      <c r="N26" s="257">
        <f t="shared" si="12"/>
        <v>17313.416666666668</v>
      </c>
      <c r="O26" s="259">
        <f>Össz.önkor.mérleg.!M13</f>
        <v>207761</v>
      </c>
      <c r="P26" s="35"/>
    </row>
    <row r="27" spans="1:256" s="32" customFormat="1" ht="13.5" customHeight="1" x14ac:dyDescent="0.25">
      <c r="A27" s="21" t="s">
        <v>541</v>
      </c>
      <c r="B27" s="32" t="s">
        <v>462</v>
      </c>
      <c r="C27" s="257">
        <f t="shared" si="10"/>
        <v>108157.83333333333</v>
      </c>
      <c r="D27" s="257">
        <f t="shared" si="12"/>
        <v>108157.83333333333</v>
      </c>
      <c r="E27" s="257">
        <f t="shared" si="12"/>
        <v>108157.83333333333</v>
      </c>
      <c r="F27" s="257">
        <f t="shared" si="12"/>
        <v>108157.83333333333</v>
      </c>
      <c r="G27" s="257">
        <f t="shared" si="12"/>
        <v>108157.83333333333</v>
      </c>
      <c r="H27" s="257">
        <f t="shared" si="12"/>
        <v>108157.83333333333</v>
      </c>
      <c r="I27" s="257">
        <f t="shared" si="12"/>
        <v>108157.83333333333</v>
      </c>
      <c r="J27" s="257">
        <f t="shared" si="12"/>
        <v>108157.83333333333</v>
      </c>
      <c r="K27" s="257">
        <f t="shared" si="12"/>
        <v>108157.83333333333</v>
      </c>
      <c r="L27" s="257">
        <f t="shared" si="12"/>
        <v>108157.83333333333</v>
      </c>
      <c r="M27" s="257">
        <f t="shared" si="12"/>
        <v>108157.83333333333</v>
      </c>
      <c r="N27" s="257">
        <f t="shared" si="12"/>
        <v>108157.83333333333</v>
      </c>
      <c r="O27" s="259">
        <f>Össz.önkor.mérleg.!M14</f>
        <v>1297894</v>
      </c>
      <c r="P27" s="35"/>
    </row>
    <row r="28" spans="1:256" s="32" customFormat="1" ht="15" customHeight="1" x14ac:dyDescent="0.25">
      <c r="A28" s="21" t="s">
        <v>542</v>
      </c>
      <c r="B28" s="32" t="s">
        <v>619</v>
      </c>
      <c r="C28" s="257">
        <f t="shared" si="10"/>
        <v>1136.5833333333333</v>
      </c>
      <c r="D28" s="257">
        <f t="shared" si="12"/>
        <v>1136.5833333333333</v>
      </c>
      <c r="E28" s="257">
        <f t="shared" si="12"/>
        <v>1136.5833333333333</v>
      </c>
      <c r="F28" s="257">
        <f t="shared" si="12"/>
        <v>1136.5833333333333</v>
      </c>
      <c r="G28" s="257">
        <f t="shared" si="12"/>
        <v>1136.5833333333333</v>
      </c>
      <c r="H28" s="257">
        <f t="shared" si="12"/>
        <v>1136.5833333333333</v>
      </c>
      <c r="I28" s="257">
        <f t="shared" si="12"/>
        <v>1136.5833333333333</v>
      </c>
      <c r="J28" s="257">
        <f t="shared" si="12"/>
        <v>1136.5833333333333</v>
      </c>
      <c r="K28" s="257">
        <f t="shared" si="12"/>
        <v>1136.5833333333333</v>
      </c>
      <c r="L28" s="257">
        <f t="shared" si="12"/>
        <v>1136.5833333333333</v>
      </c>
      <c r="M28" s="257">
        <f t="shared" si="12"/>
        <v>1136.5833333333333</v>
      </c>
      <c r="N28" s="257">
        <f t="shared" si="12"/>
        <v>1136.5833333333333</v>
      </c>
      <c r="O28" s="259">
        <f>Össz.önkor.mérleg.!M16</f>
        <v>13639</v>
      </c>
      <c r="P28" s="35"/>
      <c r="IV28" s="35"/>
    </row>
    <row r="29" spans="1:256" s="32" customFormat="1" ht="15" customHeight="1" x14ac:dyDescent="0.25">
      <c r="A29" s="21" t="s">
        <v>543</v>
      </c>
      <c r="B29" s="32" t="s">
        <v>266</v>
      </c>
      <c r="C29" s="257">
        <v>38</v>
      </c>
      <c r="D29" s="257">
        <f t="shared" si="12"/>
        <v>38</v>
      </c>
      <c r="E29" s="257">
        <f t="shared" si="12"/>
        <v>38</v>
      </c>
      <c r="F29" s="257">
        <f t="shared" si="12"/>
        <v>38</v>
      </c>
      <c r="G29" s="257">
        <f t="shared" si="12"/>
        <v>38</v>
      </c>
      <c r="H29" s="257">
        <f t="shared" si="12"/>
        <v>38</v>
      </c>
      <c r="I29" s="257">
        <f t="shared" si="12"/>
        <v>38</v>
      </c>
      <c r="J29" s="257">
        <f t="shared" si="12"/>
        <v>38</v>
      </c>
      <c r="K29" s="257">
        <f t="shared" si="12"/>
        <v>38</v>
      </c>
      <c r="L29" s="257">
        <f t="shared" si="12"/>
        <v>38</v>
      </c>
      <c r="M29" s="257">
        <f t="shared" si="12"/>
        <v>38</v>
      </c>
      <c r="N29" s="257">
        <f t="shared" si="12"/>
        <v>38</v>
      </c>
      <c r="O29" s="259">
        <f>Össz.önkor.mérleg.!M21</f>
        <v>0</v>
      </c>
      <c r="P29" s="35"/>
    </row>
    <row r="30" spans="1:256" s="32" customFormat="1" ht="12.75" customHeight="1" x14ac:dyDescent="0.25">
      <c r="A30" s="21" t="s">
        <v>544</v>
      </c>
      <c r="B30" s="32" t="s">
        <v>463</v>
      </c>
      <c r="C30" s="257">
        <v>3993</v>
      </c>
      <c r="D30" s="257">
        <f t="shared" si="12"/>
        <v>3993</v>
      </c>
      <c r="E30" s="257">
        <f t="shared" si="12"/>
        <v>3993</v>
      </c>
      <c r="F30" s="257">
        <f t="shared" si="12"/>
        <v>3993</v>
      </c>
      <c r="G30" s="257">
        <f t="shared" si="12"/>
        <v>3993</v>
      </c>
      <c r="H30" s="257">
        <f t="shared" si="12"/>
        <v>3993</v>
      </c>
      <c r="I30" s="257">
        <f t="shared" si="12"/>
        <v>3993</v>
      </c>
      <c r="J30" s="257">
        <f t="shared" si="12"/>
        <v>3993</v>
      </c>
      <c r="K30" s="257">
        <f t="shared" si="12"/>
        <v>3993</v>
      </c>
      <c r="L30" s="257">
        <f t="shared" si="12"/>
        <v>3993</v>
      </c>
      <c r="M30" s="257">
        <f t="shared" si="12"/>
        <v>3993</v>
      </c>
      <c r="N30" s="257">
        <f t="shared" si="12"/>
        <v>3993</v>
      </c>
      <c r="O30" s="259">
        <f>Össz.önkor.mérleg.!M19</f>
        <v>67938</v>
      </c>
      <c r="P30" s="35"/>
    </row>
    <row r="31" spans="1:256" s="32" customFormat="1" ht="15.75" customHeight="1" x14ac:dyDescent="0.25">
      <c r="A31" s="21" t="s">
        <v>545</v>
      </c>
      <c r="B31" s="32" t="s">
        <v>464</v>
      </c>
      <c r="C31" s="257">
        <f t="shared" si="10"/>
        <v>27844.416666666668</v>
      </c>
      <c r="D31" s="257">
        <f t="shared" si="12"/>
        <v>27844.416666666668</v>
      </c>
      <c r="E31" s="257">
        <f t="shared" si="12"/>
        <v>27844.416666666668</v>
      </c>
      <c r="F31" s="257">
        <f t="shared" si="12"/>
        <v>27844.416666666668</v>
      </c>
      <c r="G31" s="257">
        <f t="shared" si="12"/>
        <v>27844.416666666668</v>
      </c>
      <c r="H31" s="257">
        <f t="shared" si="12"/>
        <v>27844.416666666668</v>
      </c>
      <c r="I31" s="257">
        <f t="shared" si="12"/>
        <v>27844.416666666668</v>
      </c>
      <c r="J31" s="257">
        <f t="shared" si="12"/>
        <v>27844.416666666668</v>
      </c>
      <c r="K31" s="257">
        <f t="shared" si="12"/>
        <v>27844.416666666668</v>
      </c>
      <c r="L31" s="257">
        <f t="shared" si="12"/>
        <v>27844.416666666668</v>
      </c>
      <c r="M31" s="257">
        <f t="shared" si="12"/>
        <v>27844.416666666668</v>
      </c>
      <c r="N31" s="257">
        <f t="shared" si="12"/>
        <v>27844.416666666668</v>
      </c>
      <c r="O31" s="259">
        <f>Össz.önkor.mérleg.!M20</f>
        <v>334133</v>
      </c>
      <c r="P31" s="35"/>
    </row>
    <row r="32" spans="1:256" s="32" customFormat="1" ht="15" customHeight="1" x14ac:dyDescent="0.25">
      <c r="A32" s="21" t="s">
        <v>563</v>
      </c>
      <c r="B32" s="32" t="s">
        <v>647</v>
      </c>
      <c r="C32" s="257">
        <f t="shared" si="10"/>
        <v>11193.833333333334</v>
      </c>
      <c r="D32" s="257">
        <f t="shared" si="12"/>
        <v>11193.833333333334</v>
      </c>
      <c r="E32" s="257">
        <f t="shared" si="12"/>
        <v>11193.833333333334</v>
      </c>
      <c r="F32" s="257">
        <f t="shared" si="12"/>
        <v>11193.833333333334</v>
      </c>
      <c r="G32" s="257">
        <f t="shared" si="12"/>
        <v>11193.833333333334</v>
      </c>
      <c r="H32" s="257">
        <f t="shared" si="12"/>
        <v>11193.833333333334</v>
      </c>
      <c r="I32" s="257">
        <f t="shared" si="12"/>
        <v>11193.833333333334</v>
      </c>
      <c r="J32" s="257">
        <f t="shared" si="12"/>
        <v>11193.833333333334</v>
      </c>
      <c r="K32" s="257">
        <f t="shared" si="12"/>
        <v>11193.833333333334</v>
      </c>
      <c r="L32" s="257">
        <f t="shared" si="12"/>
        <v>11193.833333333334</v>
      </c>
      <c r="M32" s="257">
        <f t="shared" si="12"/>
        <v>11193.833333333334</v>
      </c>
      <c r="N32" s="257">
        <f t="shared" si="12"/>
        <v>11193.833333333334</v>
      </c>
      <c r="O32" s="259">
        <f>Össz.önkor.mérleg.!M22+Össz.önkor.mérleg.!M23</f>
        <v>134326</v>
      </c>
      <c r="P32" s="35"/>
    </row>
    <row r="33" spans="1:16" s="33" customFormat="1" ht="15.75" customHeight="1" x14ac:dyDescent="0.25">
      <c r="A33" s="21" t="s">
        <v>564</v>
      </c>
      <c r="B33" s="888" t="s">
        <v>620</v>
      </c>
      <c r="C33" s="886">
        <f>SUM(C25:C32)</f>
        <v>253674.08333333334</v>
      </c>
      <c r="D33" s="886">
        <f>SUM(D25:D32)</f>
        <v>253674.08333333334</v>
      </c>
      <c r="E33" s="886">
        <f t="shared" ref="E33:N33" si="13">SUM(E25:E32)</f>
        <v>253674.08333333334</v>
      </c>
      <c r="F33" s="886">
        <f t="shared" si="13"/>
        <v>253674.08333333334</v>
      </c>
      <c r="G33" s="886">
        <f t="shared" si="13"/>
        <v>253674.08333333334</v>
      </c>
      <c r="H33" s="886">
        <f t="shared" si="13"/>
        <v>253674.08333333334</v>
      </c>
      <c r="I33" s="886">
        <f t="shared" si="13"/>
        <v>253674.08333333334</v>
      </c>
      <c r="J33" s="886">
        <f t="shared" si="13"/>
        <v>253674.08333333334</v>
      </c>
      <c r="K33" s="886">
        <f t="shared" si="13"/>
        <v>253674.08333333334</v>
      </c>
      <c r="L33" s="886">
        <f t="shared" si="13"/>
        <v>253674.08333333334</v>
      </c>
      <c r="M33" s="886">
        <f t="shared" si="13"/>
        <v>253674.08333333334</v>
      </c>
      <c r="N33" s="886">
        <f t="shared" si="13"/>
        <v>253674.08333333334</v>
      </c>
      <c r="O33" s="887">
        <f>SUM(O25:O32)</f>
        <v>3063655</v>
      </c>
      <c r="P33" s="571"/>
    </row>
    <row r="34" spans="1:16" s="33" customFormat="1" ht="15" customHeight="1" x14ac:dyDescent="0.25">
      <c r="A34" s="21" t="s">
        <v>565</v>
      </c>
      <c r="B34" s="33" t="s">
        <v>621</v>
      </c>
      <c r="C34" s="258">
        <f t="shared" ref="C34:C39" si="14">O34/12</f>
        <v>158520.16666666666</v>
      </c>
      <c r="D34" s="258">
        <f>C34</f>
        <v>158520.16666666666</v>
      </c>
      <c r="E34" s="258">
        <f t="shared" ref="E34:N34" si="15">D34</f>
        <v>158520.16666666666</v>
      </c>
      <c r="F34" s="258">
        <f t="shared" si="15"/>
        <v>158520.16666666666</v>
      </c>
      <c r="G34" s="258">
        <f t="shared" si="15"/>
        <v>158520.16666666666</v>
      </c>
      <c r="H34" s="258">
        <f t="shared" si="15"/>
        <v>158520.16666666666</v>
      </c>
      <c r="I34" s="258">
        <f t="shared" si="15"/>
        <v>158520.16666666666</v>
      </c>
      <c r="J34" s="258">
        <f t="shared" si="15"/>
        <v>158520.16666666666</v>
      </c>
      <c r="K34" s="258">
        <f t="shared" si="15"/>
        <v>158520.16666666666</v>
      </c>
      <c r="L34" s="258">
        <f t="shared" si="15"/>
        <v>158520.16666666666</v>
      </c>
      <c r="M34" s="258">
        <f t="shared" si="15"/>
        <v>158520.16666666666</v>
      </c>
      <c r="N34" s="258">
        <f t="shared" si="15"/>
        <v>158520.16666666666</v>
      </c>
      <c r="O34" s="260">
        <f>Össz.önkor.mérleg.!M29</f>
        <v>1902242</v>
      </c>
      <c r="P34" s="571"/>
    </row>
    <row r="35" spans="1:16" s="33" customFormat="1" ht="15" customHeight="1" x14ac:dyDescent="0.25">
      <c r="A35" s="21" t="s">
        <v>566</v>
      </c>
      <c r="B35" s="33" t="s">
        <v>482</v>
      </c>
      <c r="C35" s="258">
        <f t="shared" si="14"/>
        <v>4142.916666666667</v>
      </c>
      <c r="D35" s="258">
        <f t="shared" ref="D35:N39" si="16">C35</f>
        <v>4142.916666666667</v>
      </c>
      <c r="E35" s="258">
        <f t="shared" si="16"/>
        <v>4142.916666666667</v>
      </c>
      <c r="F35" s="258">
        <f t="shared" si="16"/>
        <v>4142.916666666667</v>
      </c>
      <c r="G35" s="258">
        <f t="shared" si="16"/>
        <v>4142.916666666667</v>
      </c>
      <c r="H35" s="258">
        <f t="shared" si="16"/>
        <v>4142.916666666667</v>
      </c>
      <c r="I35" s="258">
        <f t="shared" si="16"/>
        <v>4142.916666666667</v>
      </c>
      <c r="J35" s="258">
        <f t="shared" si="16"/>
        <v>4142.916666666667</v>
      </c>
      <c r="K35" s="258">
        <f t="shared" si="16"/>
        <v>4142.916666666667</v>
      </c>
      <c r="L35" s="258">
        <f t="shared" si="16"/>
        <v>4142.916666666667</v>
      </c>
      <c r="M35" s="258">
        <f t="shared" si="16"/>
        <v>4142.916666666667</v>
      </c>
      <c r="N35" s="258">
        <f t="shared" si="16"/>
        <v>4142.916666666667</v>
      </c>
      <c r="O35" s="260">
        <f>Össz.önkor.mérleg.!M30</f>
        <v>49715</v>
      </c>
      <c r="P35" s="571"/>
    </row>
    <row r="36" spans="1:16" s="33" customFormat="1" ht="15.75" customHeight="1" x14ac:dyDescent="0.25">
      <c r="A36" s="21" t="s">
        <v>567</v>
      </c>
      <c r="B36" s="33" t="s">
        <v>465</v>
      </c>
      <c r="C36" s="258">
        <f t="shared" si="14"/>
        <v>416.66666666666669</v>
      </c>
      <c r="D36" s="258">
        <f t="shared" si="16"/>
        <v>416.66666666666669</v>
      </c>
      <c r="E36" s="258">
        <f t="shared" si="16"/>
        <v>416.66666666666669</v>
      </c>
      <c r="F36" s="258">
        <f t="shared" si="16"/>
        <v>416.66666666666669</v>
      </c>
      <c r="G36" s="258">
        <f t="shared" si="16"/>
        <v>416.66666666666669</v>
      </c>
      <c r="H36" s="258">
        <f t="shared" si="16"/>
        <v>416.66666666666669</v>
      </c>
      <c r="I36" s="258">
        <f t="shared" si="16"/>
        <v>416.66666666666669</v>
      </c>
      <c r="J36" s="258">
        <f t="shared" si="16"/>
        <v>416.66666666666669</v>
      </c>
      <c r="K36" s="258">
        <f t="shared" si="16"/>
        <v>416.66666666666669</v>
      </c>
      <c r="L36" s="258">
        <f t="shared" si="16"/>
        <v>416.66666666666669</v>
      </c>
      <c r="M36" s="258">
        <f t="shared" si="16"/>
        <v>416.66666666666669</v>
      </c>
      <c r="N36" s="258">
        <f t="shared" si="16"/>
        <v>416.66666666666669</v>
      </c>
      <c r="O36" s="260">
        <v>5000</v>
      </c>
    </row>
    <row r="37" spans="1:16" s="33" customFormat="1" ht="15.75" customHeight="1" x14ac:dyDescent="0.25">
      <c r="A37" s="21" t="s">
        <v>568</v>
      </c>
      <c r="B37" s="32" t="s">
        <v>645</v>
      </c>
      <c r="C37" s="258">
        <f t="shared" si="14"/>
        <v>7519.666666666667</v>
      </c>
      <c r="D37" s="258">
        <f t="shared" si="16"/>
        <v>7519.666666666667</v>
      </c>
      <c r="E37" s="258">
        <f t="shared" si="16"/>
        <v>7519.666666666667</v>
      </c>
      <c r="F37" s="258">
        <f t="shared" si="16"/>
        <v>7519.666666666667</v>
      </c>
      <c r="G37" s="258">
        <f t="shared" si="16"/>
        <v>7519.666666666667</v>
      </c>
      <c r="H37" s="258">
        <f t="shared" si="16"/>
        <v>7519.666666666667</v>
      </c>
      <c r="I37" s="258">
        <f t="shared" si="16"/>
        <v>7519.666666666667</v>
      </c>
      <c r="J37" s="258">
        <f t="shared" si="16"/>
        <v>7519.666666666667</v>
      </c>
      <c r="K37" s="258">
        <f t="shared" si="16"/>
        <v>7519.666666666667</v>
      </c>
      <c r="L37" s="258">
        <f t="shared" si="16"/>
        <v>7519.666666666667</v>
      </c>
      <c r="M37" s="258">
        <f t="shared" si="16"/>
        <v>7519.666666666667</v>
      </c>
      <c r="N37" s="258">
        <f t="shared" si="16"/>
        <v>7519.666666666667</v>
      </c>
      <c r="O37" s="260">
        <f>Össz.önkor.mérleg.!M32</f>
        <v>90236</v>
      </c>
    </row>
    <row r="38" spans="1:16" s="33" customFormat="1" ht="16.5" customHeight="1" x14ac:dyDescent="0.25">
      <c r="A38" s="21" t="s">
        <v>569</v>
      </c>
      <c r="B38" s="32" t="s">
        <v>646</v>
      </c>
      <c r="C38" s="258">
        <f t="shared" si="14"/>
        <v>5643.666666666667</v>
      </c>
      <c r="D38" s="258">
        <f t="shared" si="16"/>
        <v>5643.666666666667</v>
      </c>
      <c r="E38" s="258">
        <f t="shared" si="16"/>
        <v>5643.666666666667</v>
      </c>
      <c r="F38" s="258">
        <f t="shared" si="16"/>
        <v>5643.666666666667</v>
      </c>
      <c r="G38" s="258">
        <f t="shared" si="16"/>
        <v>5643.666666666667</v>
      </c>
      <c r="H38" s="258">
        <f t="shared" si="16"/>
        <v>5643.666666666667</v>
      </c>
      <c r="I38" s="258">
        <f t="shared" si="16"/>
        <v>5643.666666666667</v>
      </c>
      <c r="J38" s="258">
        <f t="shared" si="16"/>
        <v>5643.666666666667</v>
      </c>
      <c r="K38" s="258">
        <f t="shared" si="16"/>
        <v>5643.666666666667</v>
      </c>
      <c r="L38" s="258">
        <f t="shared" si="16"/>
        <v>5643.666666666667</v>
      </c>
      <c r="M38" s="258">
        <f t="shared" si="16"/>
        <v>5643.666666666667</v>
      </c>
      <c r="N38" s="258">
        <f t="shared" si="16"/>
        <v>5643.666666666667</v>
      </c>
      <c r="O38" s="260">
        <f>Össz.önkor.mérleg.!M34</f>
        <v>67724</v>
      </c>
      <c r="P38" s="571"/>
    </row>
    <row r="39" spans="1:16" s="33" customFormat="1" ht="15" customHeight="1" x14ac:dyDescent="0.25">
      <c r="A39" s="21" t="s">
        <v>570</v>
      </c>
      <c r="B39" s="32" t="s">
        <v>648</v>
      </c>
      <c r="C39" s="258">
        <f t="shared" si="14"/>
        <v>1927</v>
      </c>
      <c r="D39" s="258">
        <f t="shared" si="16"/>
        <v>1927</v>
      </c>
      <c r="E39" s="258">
        <f t="shared" si="16"/>
        <v>1927</v>
      </c>
      <c r="F39" s="258">
        <f t="shared" si="16"/>
        <v>1927</v>
      </c>
      <c r="G39" s="258">
        <f t="shared" si="16"/>
        <v>1927</v>
      </c>
      <c r="H39" s="258">
        <f t="shared" si="16"/>
        <v>1927</v>
      </c>
      <c r="I39" s="258">
        <f t="shared" si="16"/>
        <v>1927</v>
      </c>
      <c r="J39" s="258">
        <f t="shared" si="16"/>
        <v>1927</v>
      </c>
      <c r="K39" s="258">
        <f t="shared" si="16"/>
        <v>1927</v>
      </c>
      <c r="L39" s="258">
        <f t="shared" si="16"/>
        <v>1927</v>
      </c>
      <c r="M39" s="258">
        <f t="shared" si="16"/>
        <v>1927</v>
      </c>
      <c r="N39" s="258">
        <f t="shared" si="16"/>
        <v>1927</v>
      </c>
      <c r="O39" s="260">
        <f>Össz.önkor.mérleg.!M35</f>
        <v>23124</v>
      </c>
      <c r="P39" s="571"/>
    </row>
    <row r="40" spans="1:16" s="38" customFormat="1" ht="15" customHeight="1" x14ac:dyDescent="0.25">
      <c r="A40" s="21" t="s">
        <v>571</v>
      </c>
      <c r="B40" s="729" t="s">
        <v>649</v>
      </c>
      <c r="C40" s="730">
        <f t="shared" ref="C40:O40" si="17">SUM(C34:C39)</f>
        <v>178170.08333333328</v>
      </c>
      <c r="D40" s="730">
        <f t="shared" si="17"/>
        <v>178170.08333333328</v>
      </c>
      <c r="E40" s="730">
        <f t="shared" si="17"/>
        <v>178170.08333333328</v>
      </c>
      <c r="F40" s="730">
        <f t="shared" si="17"/>
        <v>178170.08333333328</v>
      </c>
      <c r="G40" s="730">
        <f t="shared" si="17"/>
        <v>178170.08333333328</v>
      </c>
      <c r="H40" s="730">
        <f t="shared" si="17"/>
        <v>178170.08333333328</v>
      </c>
      <c r="I40" s="730">
        <f t="shared" si="17"/>
        <v>178170.08333333328</v>
      </c>
      <c r="J40" s="730">
        <f t="shared" si="17"/>
        <v>178170.08333333328</v>
      </c>
      <c r="K40" s="730">
        <f t="shared" si="17"/>
        <v>178170.08333333328</v>
      </c>
      <c r="L40" s="730">
        <f t="shared" si="17"/>
        <v>178170.08333333328</v>
      </c>
      <c r="M40" s="730">
        <f t="shared" si="17"/>
        <v>178170.08333333328</v>
      </c>
      <c r="N40" s="730">
        <f t="shared" si="17"/>
        <v>178170.08333333328</v>
      </c>
      <c r="O40" s="730">
        <f t="shared" si="17"/>
        <v>2138041</v>
      </c>
      <c r="P40" s="37"/>
    </row>
    <row r="41" spans="1:16" s="38" customFormat="1" ht="15" customHeight="1" x14ac:dyDescent="0.25">
      <c r="A41" s="21" t="s">
        <v>622</v>
      </c>
      <c r="B41" s="882" t="s">
        <v>1021</v>
      </c>
      <c r="C41" s="883">
        <f>O41/12</f>
        <v>3058.25</v>
      </c>
      <c r="D41" s="883">
        <f>C41</f>
        <v>3058.25</v>
      </c>
      <c r="E41" s="883">
        <f t="shared" ref="E41:N41" si="18">D41</f>
        <v>3058.25</v>
      </c>
      <c r="F41" s="883">
        <f t="shared" si="18"/>
        <v>3058.25</v>
      </c>
      <c r="G41" s="883">
        <f t="shared" si="18"/>
        <v>3058.25</v>
      </c>
      <c r="H41" s="883">
        <f t="shared" si="18"/>
        <v>3058.25</v>
      </c>
      <c r="I41" s="883">
        <f t="shared" si="18"/>
        <v>3058.25</v>
      </c>
      <c r="J41" s="883">
        <f t="shared" si="18"/>
        <v>3058.25</v>
      </c>
      <c r="K41" s="883">
        <f t="shared" si="18"/>
        <v>3058.25</v>
      </c>
      <c r="L41" s="883">
        <f t="shared" si="18"/>
        <v>3058.25</v>
      </c>
      <c r="M41" s="883">
        <f t="shared" si="18"/>
        <v>3058.25</v>
      </c>
      <c r="N41" s="883">
        <f t="shared" si="18"/>
        <v>3058.25</v>
      </c>
      <c r="O41" s="881">
        <f>Össz.önkor.mérleg.!M49</f>
        <v>36699</v>
      </c>
      <c r="P41" s="37"/>
    </row>
    <row r="42" spans="1:16" s="32" customFormat="1" ht="15.75" customHeight="1" x14ac:dyDescent="0.25">
      <c r="A42" s="21" t="s">
        <v>623</v>
      </c>
      <c r="B42" s="880" t="s">
        <v>1020</v>
      </c>
      <c r="C42" s="257">
        <f>SUM(C41)</f>
        <v>3058.25</v>
      </c>
      <c r="D42" s="257">
        <f>SUM(D41)</f>
        <v>3058.25</v>
      </c>
      <c r="E42" s="257">
        <f t="shared" ref="E42:N42" si="19">SUM(E41)</f>
        <v>3058.25</v>
      </c>
      <c r="F42" s="257">
        <f t="shared" si="19"/>
        <v>3058.25</v>
      </c>
      <c r="G42" s="257">
        <f t="shared" si="19"/>
        <v>3058.25</v>
      </c>
      <c r="H42" s="257">
        <f t="shared" si="19"/>
        <v>3058.25</v>
      </c>
      <c r="I42" s="257">
        <f t="shared" si="19"/>
        <v>3058.25</v>
      </c>
      <c r="J42" s="257">
        <f t="shared" si="19"/>
        <v>3058.25</v>
      </c>
      <c r="K42" s="257">
        <f t="shared" si="19"/>
        <v>3058.25</v>
      </c>
      <c r="L42" s="257">
        <f t="shared" si="19"/>
        <v>3058.25</v>
      </c>
      <c r="M42" s="257">
        <f t="shared" si="19"/>
        <v>3058.25</v>
      </c>
      <c r="N42" s="257">
        <f t="shared" si="19"/>
        <v>3058.25</v>
      </c>
      <c r="O42" s="259">
        <f>SUM(C42:N42)</f>
        <v>36699</v>
      </c>
    </row>
    <row r="43" spans="1:16" s="34" customFormat="1" ht="16.5" customHeight="1" x14ac:dyDescent="0.25">
      <c r="A43" s="21" t="s">
        <v>624</v>
      </c>
      <c r="B43" s="733" t="s">
        <v>652</v>
      </c>
      <c r="C43" s="734">
        <f t="shared" ref="C43:N43" si="20">C40+C33+C42</f>
        <v>434902.41666666663</v>
      </c>
      <c r="D43" s="734">
        <f t="shared" si="20"/>
        <v>434902.41666666663</v>
      </c>
      <c r="E43" s="734">
        <f t="shared" si="20"/>
        <v>434902.41666666663</v>
      </c>
      <c r="F43" s="734">
        <f t="shared" si="20"/>
        <v>434902.41666666663</v>
      </c>
      <c r="G43" s="734">
        <f t="shared" si="20"/>
        <v>434902.41666666663</v>
      </c>
      <c r="H43" s="734">
        <f t="shared" si="20"/>
        <v>434902.41666666663</v>
      </c>
      <c r="I43" s="734">
        <f t="shared" si="20"/>
        <v>434902.41666666663</v>
      </c>
      <c r="J43" s="734">
        <f t="shared" si="20"/>
        <v>434902.41666666663</v>
      </c>
      <c r="K43" s="734">
        <f t="shared" si="20"/>
        <v>434902.41666666663</v>
      </c>
      <c r="L43" s="734">
        <f t="shared" si="20"/>
        <v>434902.41666666663</v>
      </c>
      <c r="M43" s="734">
        <f t="shared" si="20"/>
        <v>434902.41666666663</v>
      </c>
      <c r="N43" s="734">
        <f t="shared" si="20"/>
        <v>434902.41666666663</v>
      </c>
      <c r="O43" s="735">
        <f>O33+O40+O41</f>
        <v>5238395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Z52"/>
  <sheetViews>
    <sheetView zoomScale="120" workbookViewId="0">
      <selection sqref="A1:Q1"/>
    </sheetView>
  </sheetViews>
  <sheetFormatPr defaultColWidth="9.140625" defaultRowHeight="11.25" x14ac:dyDescent="0.2"/>
  <cols>
    <col min="1" max="1" width="4.85546875" style="152" customWidth="1"/>
    <col min="2" max="2" width="42.85546875" style="152" customWidth="1"/>
    <col min="3" max="3" width="11.140625" style="153" customWidth="1"/>
    <col min="4" max="4" width="11" style="153" customWidth="1"/>
    <col min="5" max="5" width="13.42578125" style="153" customWidth="1"/>
    <col min="6" max="7" width="11" style="153" customWidth="1"/>
    <col min="8" max="8" width="13.42578125" style="153" customWidth="1"/>
    <col min="9" max="9" width="7.28515625" style="153" customWidth="1"/>
    <col min="10" max="10" width="41.7109375" style="153" customWidth="1"/>
    <col min="11" max="12" width="11.140625" style="153" customWidth="1"/>
    <col min="13" max="13" width="13.42578125" style="153" customWidth="1"/>
    <col min="14" max="14" width="11" style="152" customWidth="1"/>
    <col min="15" max="15" width="11.140625" style="152" customWidth="1"/>
    <col min="16" max="16" width="13.42578125" style="152" customWidth="1"/>
    <col min="17" max="17" width="7.28515625" style="152" customWidth="1"/>
    <col min="18" max="26" width="9.140625" style="152"/>
    <col min="27" max="16384" width="9.140625" style="10"/>
  </cols>
  <sheetData>
    <row r="1" spans="1:26" ht="12.75" customHeight="1" x14ac:dyDescent="0.2">
      <c r="A1" s="1816" t="s">
        <v>2063</v>
      </c>
      <c r="B1" s="1816"/>
      <c r="C1" s="1816"/>
      <c r="D1" s="1816"/>
      <c r="E1" s="1816"/>
      <c r="F1" s="1816"/>
      <c r="G1" s="1816"/>
      <c r="H1" s="1816"/>
      <c r="I1" s="1816"/>
      <c r="J1" s="1816"/>
      <c r="K1" s="1816"/>
      <c r="L1" s="1816"/>
      <c r="M1" s="1816"/>
      <c r="N1" s="1816"/>
      <c r="O1" s="1816"/>
      <c r="P1" s="1816"/>
      <c r="Q1" s="1816"/>
    </row>
    <row r="2" spans="1:26" ht="12.75" customHeight="1" x14ac:dyDescent="0.2">
      <c r="A2" s="1182"/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</row>
    <row r="3" spans="1:26" ht="12.75" customHeight="1" x14ac:dyDescent="0.2">
      <c r="A3" s="1182"/>
      <c r="B3" s="1848" t="s">
        <v>86</v>
      </c>
      <c r="C3" s="1848"/>
      <c r="D3" s="1848"/>
      <c r="E3" s="1848"/>
      <c r="F3" s="1848"/>
      <c r="G3" s="1848"/>
      <c r="H3" s="1848"/>
      <c r="I3" s="1848"/>
      <c r="J3" s="1848"/>
      <c r="K3" s="1848"/>
      <c r="L3" s="1848"/>
      <c r="M3" s="1848"/>
      <c r="N3" s="1848"/>
      <c r="O3" s="1848"/>
      <c r="P3" s="1848"/>
      <c r="Q3" s="1848"/>
    </row>
    <row r="4" spans="1:26" x14ac:dyDescent="0.2">
      <c r="B4" s="1836" t="s">
        <v>1359</v>
      </c>
      <c r="C4" s="1836"/>
      <c r="D4" s="1836"/>
      <c r="E4" s="1836"/>
      <c r="F4" s="1836"/>
      <c r="G4" s="1836"/>
      <c r="H4" s="1836"/>
      <c r="I4" s="1836"/>
      <c r="J4" s="1836"/>
      <c r="K4" s="1836"/>
      <c r="L4" s="1836"/>
      <c r="M4" s="1836"/>
      <c r="N4" s="1836"/>
      <c r="O4" s="1836"/>
      <c r="P4" s="1836"/>
      <c r="Q4" s="1836"/>
    </row>
    <row r="5" spans="1:26" s="120" customFormat="1" x14ac:dyDescent="0.2">
      <c r="A5" s="155"/>
      <c r="B5" s="1823" t="s">
        <v>54</v>
      </c>
      <c r="C5" s="1823"/>
      <c r="D5" s="1823"/>
      <c r="E5" s="1823"/>
      <c r="F5" s="1823"/>
      <c r="G5" s="1823"/>
      <c r="H5" s="1823"/>
      <c r="I5" s="1823"/>
      <c r="J5" s="1823"/>
      <c r="K5" s="1823"/>
      <c r="L5" s="1823"/>
      <c r="M5" s="1823"/>
      <c r="N5" s="1823"/>
      <c r="O5" s="1823"/>
      <c r="P5" s="1823"/>
      <c r="Q5" s="1823"/>
      <c r="R5" s="155"/>
      <c r="S5" s="155"/>
      <c r="T5" s="155"/>
      <c r="U5" s="155"/>
      <c r="V5" s="155"/>
      <c r="W5" s="155"/>
      <c r="X5" s="155"/>
      <c r="Y5" s="155"/>
      <c r="Z5" s="155"/>
    </row>
    <row r="6" spans="1:26" s="120" customFormat="1" x14ac:dyDescent="0.2">
      <c r="A6" s="155"/>
      <c r="B6" s="1823" t="s">
        <v>1114</v>
      </c>
      <c r="C6" s="1823"/>
      <c r="D6" s="1823"/>
      <c r="E6" s="1823"/>
      <c r="F6" s="1823"/>
      <c r="G6" s="1823"/>
      <c r="H6" s="1823"/>
      <c r="I6" s="1823"/>
      <c r="J6" s="1823"/>
      <c r="K6" s="1823"/>
      <c r="L6" s="1823"/>
      <c r="M6" s="1823"/>
      <c r="N6" s="1823"/>
      <c r="O6" s="1823"/>
      <c r="P6" s="1823"/>
      <c r="Q6" s="1823"/>
      <c r="R6" s="155"/>
      <c r="S6" s="155"/>
      <c r="T6" s="155"/>
      <c r="U6" s="155"/>
      <c r="V6" s="155"/>
      <c r="W6" s="155"/>
      <c r="X6" s="155"/>
      <c r="Y6" s="155"/>
      <c r="Z6" s="155"/>
    </row>
    <row r="7" spans="1:26" s="120" customFormat="1" ht="12.75" customHeight="1" x14ac:dyDescent="0.2">
      <c r="A7" s="1849" t="s">
        <v>304</v>
      </c>
      <c r="B7" s="1849"/>
      <c r="C7" s="1849"/>
      <c r="D7" s="1849"/>
      <c r="E7" s="1849"/>
      <c r="F7" s="1849"/>
      <c r="G7" s="1849"/>
      <c r="H7" s="1849"/>
      <c r="I7" s="1849"/>
      <c r="J7" s="1849"/>
      <c r="K7" s="1849"/>
      <c r="L7" s="1849"/>
      <c r="M7" s="1849"/>
      <c r="N7" s="1849"/>
      <c r="O7" s="1849"/>
      <c r="P7" s="1849"/>
      <c r="Q7" s="1849"/>
      <c r="R7" s="155"/>
      <c r="S7" s="155"/>
      <c r="T7" s="155"/>
      <c r="U7" s="155"/>
      <c r="V7" s="155"/>
      <c r="W7" s="155"/>
      <c r="X7" s="155"/>
      <c r="Y7" s="155"/>
      <c r="Z7" s="155"/>
    </row>
    <row r="8" spans="1:26" s="120" customFormat="1" ht="12.75" customHeight="1" x14ac:dyDescent="0.2">
      <c r="A8" s="1852" t="s">
        <v>56</v>
      </c>
      <c r="B8" s="1828" t="s">
        <v>57</v>
      </c>
      <c r="C8" s="1850" t="s">
        <v>58</v>
      </c>
      <c r="D8" s="1850"/>
      <c r="E8" s="1827"/>
      <c r="F8" s="1834" t="s">
        <v>59</v>
      </c>
      <c r="G8" s="1834"/>
      <c r="H8" s="1834"/>
      <c r="I8" s="1835"/>
      <c r="J8" s="1" t="s">
        <v>60</v>
      </c>
      <c r="K8" s="1851" t="s">
        <v>469</v>
      </c>
      <c r="L8" s="1851"/>
      <c r="M8" s="1851"/>
      <c r="N8" s="1834" t="s">
        <v>470</v>
      </c>
      <c r="O8" s="1834"/>
      <c r="P8" s="1834"/>
      <c r="Q8" s="1835"/>
      <c r="R8" s="155"/>
      <c r="S8" s="155"/>
      <c r="T8" s="155"/>
    </row>
    <row r="9" spans="1:26" s="120" customFormat="1" ht="12.75" customHeight="1" x14ac:dyDescent="0.2">
      <c r="A9" s="1853"/>
      <c r="B9" s="1828"/>
      <c r="C9" s="1825" t="s">
        <v>1103</v>
      </c>
      <c r="D9" s="1825"/>
      <c r="E9" s="1826"/>
      <c r="F9" s="1817" t="s">
        <v>1355</v>
      </c>
      <c r="G9" s="1818"/>
      <c r="H9" s="1819"/>
      <c r="I9" s="1820" t="s">
        <v>1357</v>
      </c>
      <c r="J9" s="2"/>
      <c r="K9" s="1825" t="s">
        <v>1103</v>
      </c>
      <c r="L9" s="1825"/>
      <c r="M9" s="1825"/>
      <c r="N9" s="1817" t="s">
        <v>1355</v>
      </c>
      <c r="O9" s="1818"/>
      <c r="P9" s="1819"/>
      <c r="Q9" s="1820" t="s">
        <v>1357</v>
      </c>
    </row>
    <row r="10" spans="1:26" s="121" customFormat="1" ht="36.6" customHeight="1" x14ac:dyDescent="0.2">
      <c r="A10" s="1854"/>
      <c r="B10" s="156" t="s">
        <v>61</v>
      </c>
      <c r="C10" s="132" t="s">
        <v>62</v>
      </c>
      <c r="D10" s="132" t="s">
        <v>63</v>
      </c>
      <c r="E10" s="157" t="s">
        <v>64</v>
      </c>
      <c r="F10" s="132" t="s">
        <v>62</v>
      </c>
      <c r="G10" s="132" t="s">
        <v>63</v>
      </c>
      <c r="H10" s="157" t="s">
        <v>1356</v>
      </c>
      <c r="I10" s="1821"/>
      <c r="J10" s="158" t="s">
        <v>65</v>
      </c>
      <c r="K10" s="132" t="s">
        <v>62</v>
      </c>
      <c r="L10" s="132" t="s">
        <v>63</v>
      </c>
      <c r="M10" s="132" t="s">
        <v>64</v>
      </c>
      <c r="N10" s="132" t="s">
        <v>62</v>
      </c>
      <c r="O10" s="132" t="s">
        <v>63</v>
      </c>
      <c r="P10" s="157" t="s">
        <v>1356</v>
      </c>
      <c r="Q10" s="1821"/>
    </row>
    <row r="11" spans="1:26" ht="11.45" customHeight="1" x14ac:dyDescent="0.2">
      <c r="A11" s="159">
        <v>1</v>
      </c>
      <c r="B11" s="160" t="s">
        <v>24</v>
      </c>
      <c r="C11" s="161"/>
      <c r="D11" s="161"/>
      <c r="E11" s="1190"/>
      <c r="F11" s="161"/>
      <c r="G11" s="161"/>
      <c r="H11" s="1190"/>
      <c r="I11" s="161"/>
      <c r="J11" s="135" t="s">
        <v>25</v>
      </c>
      <c r="K11" s="161"/>
      <c r="L11" s="161"/>
      <c r="M11" s="424"/>
      <c r="N11" s="179"/>
      <c r="P11" s="1186"/>
      <c r="Q11" s="1227"/>
      <c r="R11" s="10"/>
      <c r="S11" s="10"/>
      <c r="T11" s="10"/>
      <c r="U11" s="10"/>
      <c r="V11" s="10"/>
      <c r="W11" s="10"/>
      <c r="X11" s="10"/>
      <c r="Y11" s="10"/>
      <c r="Z11" s="10"/>
    </row>
    <row r="12" spans="1:26" x14ac:dyDescent="0.2">
      <c r="A12" s="159">
        <f t="shared" ref="A12:A47" si="0">A11+1</f>
        <v>2</v>
      </c>
      <c r="B12" s="162"/>
      <c r="C12" s="116"/>
      <c r="D12" s="116"/>
      <c r="E12" s="425"/>
      <c r="F12" s="117"/>
      <c r="G12" s="117"/>
      <c r="H12" s="425"/>
      <c r="I12" s="117"/>
      <c r="J12" s="136"/>
      <c r="K12" s="117"/>
      <c r="L12" s="117"/>
      <c r="M12" s="417"/>
      <c r="N12" s="179"/>
      <c r="P12" s="1217"/>
      <c r="Q12" s="1228"/>
      <c r="R12" s="10"/>
      <c r="S12" s="10"/>
      <c r="T12" s="10"/>
      <c r="U12" s="10"/>
      <c r="V12" s="10"/>
      <c r="W12" s="10"/>
      <c r="X12" s="10"/>
      <c r="Y12" s="10"/>
      <c r="Z12" s="10"/>
    </row>
    <row r="13" spans="1:26" x14ac:dyDescent="0.2">
      <c r="A13" s="159">
        <f t="shared" si="0"/>
        <v>3</v>
      </c>
      <c r="B13" s="162" t="s">
        <v>38</v>
      </c>
      <c r="C13" s="116">
        <f>Össz.önkor.mérleg.!C16</f>
        <v>0</v>
      </c>
      <c r="D13" s="116">
        <f>Össz.önkor.mérleg.!D16</f>
        <v>0</v>
      </c>
      <c r="E13" s="425">
        <f>Össz.önkor.mérleg.!E16</f>
        <v>0</v>
      </c>
      <c r="F13" s="116"/>
      <c r="G13" s="116"/>
      <c r="H13" s="425"/>
      <c r="I13" s="116"/>
      <c r="J13" s="137" t="s">
        <v>34</v>
      </c>
      <c r="K13" s="168"/>
      <c r="L13" s="168"/>
      <c r="M13" s="419"/>
      <c r="N13" s="179"/>
      <c r="P13" s="1217"/>
      <c r="Q13" s="1228"/>
      <c r="R13" s="10"/>
      <c r="S13" s="10"/>
      <c r="T13" s="10"/>
      <c r="U13" s="10"/>
      <c r="V13" s="10"/>
      <c r="W13" s="10"/>
      <c r="X13" s="10"/>
      <c r="Y13" s="10"/>
      <c r="Z13" s="10"/>
    </row>
    <row r="14" spans="1:26" x14ac:dyDescent="0.2">
      <c r="A14" s="159">
        <f t="shared" si="0"/>
        <v>4</v>
      </c>
      <c r="B14" s="162" t="s">
        <v>1081</v>
      </c>
      <c r="C14" s="116">
        <f>Össz.önkor.mérleg.!C17</f>
        <v>0</v>
      </c>
      <c r="D14" s="116">
        <f>Össz.önkor.mérleg.!D17</f>
        <v>0</v>
      </c>
      <c r="E14" s="425">
        <f>Össz.önkor.mérleg.!E17</f>
        <v>0</v>
      </c>
      <c r="F14" s="116"/>
      <c r="G14" s="116"/>
      <c r="H14" s="425">
        <f>F14+G14</f>
        <v>0</v>
      </c>
      <c r="I14" s="116"/>
      <c r="J14" s="137"/>
      <c r="K14" s="168"/>
      <c r="L14" s="168"/>
      <c r="M14" s="419"/>
      <c r="N14" s="179"/>
      <c r="P14" s="1217"/>
      <c r="Q14" s="1228"/>
      <c r="R14" s="10"/>
      <c r="S14" s="10"/>
      <c r="T14" s="10"/>
      <c r="U14" s="10"/>
      <c r="V14" s="10"/>
      <c r="W14" s="10"/>
      <c r="X14" s="10"/>
      <c r="Y14" s="10"/>
      <c r="Z14" s="10"/>
    </row>
    <row r="15" spans="1:26" x14ac:dyDescent="0.2">
      <c r="A15" s="159">
        <f t="shared" si="0"/>
        <v>5</v>
      </c>
      <c r="B15" s="1005" t="s">
        <v>1082</v>
      </c>
      <c r="C15" s="116">
        <f>Össz.önkor.mérleg.!C18</f>
        <v>621278</v>
      </c>
      <c r="D15" s="116">
        <f>Össz.önkor.mérleg.!D18</f>
        <v>14540</v>
      </c>
      <c r="E15" s="425">
        <f>Össz.önkor.mérleg.!E18</f>
        <v>635818</v>
      </c>
      <c r="F15" s="116">
        <f>Össz.önkor.mérleg.!F18</f>
        <v>621277</v>
      </c>
      <c r="G15" s="116">
        <f>Össz.önkor.mérleg.!G18</f>
        <v>14540</v>
      </c>
      <c r="H15" s="425">
        <f t="shared" ref="H15:H24" si="1">F15+G15</f>
        <v>635817</v>
      </c>
      <c r="I15" s="116">
        <f t="shared" ref="I15:I47" si="2">H15/E15*100</f>
        <v>99.999842722288463</v>
      </c>
      <c r="J15" s="137"/>
      <c r="K15" s="168"/>
      <c r="L15" s="168"/>
      <c r="M15" s="419"/>
      <c r="N15" s="179"/>
      <c r="P15" s="1217"/>
      <c r="Q15" s="1228"/>
      <c r="R15" s="10"/>
      <c r="S15" s="10"/>
      <c r="T15" s="10"/>
      <c r="U15" s="10"/>
      <c r="V15" s="10"/>
      <c r="W15" s="10"/>
      <c r="X15" s="10"/>
      <c r="Y15" s="10"/>
      <c r="Z15" s="10"/>
    </row>
    <row r="16" spans="1:26" x14ac:dyDescent="0.2">
      <c r="A16" s="159">
        <f t="shared" si="0"/>
        <v>6</v>
      </c>
      <c r="B16" s="152" t="s">
        <v>631</v>
      </c>
      <c r="C16" s="116"/>
      <c r="D16" s="163"/>
      <c r="E16" s="417"/>
      <c r="F16" s="163"/>
      <c r="G16" s="163"/>
      <c r="H16" s="425">
        <f t="shared" si="1"/>
        <v>0</v>
      </c>
      <c r="I16" s="116"/>
      <c r="J16" s="136" t="s">
        <v>626</v>
      </c>
      <c r="K16" s="164">
        <f>Össz.önkor.mérleg.!K29</f>
        <v>1732254</v>
      </c>
      <c r="L16" s="164">
        <f>Össz.önkor.mérleg.!L29</f>
        <v>169988</v>
      </c>
      <c r="M16" s="419">
        <f>Össz.önkor.mérleg.!M29</f>
        <v>1902242</v>
      </c>
      <c r="N16" s="166">
        <f>Össz.önkor.mérleg.!Q29</f>
        <v>837391</v>
      </c>
      <c r="O16" s="164">
        <f>Össz.önkor.mérleg.!R29</f>
        <v>91565</v>
      </c>
      <c r="P16" s="419">
        <f>N16+O16</f>
        <v>928956</v>
      </c>
      <c r="Q16" s="1188">
        <f>P16/M16*100</f>
        <v>48.834795993359414</v>
      </c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" customHeight="1" x14ac:dyDescent="0.2">
      <c r="A17" s="159">
        <f t="shared" si="0"/>
        <v>7</v>
      </c>
      <c r="B17" s="152" t="s">
        <v>43</v>
      </c>
      <c r="C17" s="116"/>
      <c r="D17" s="163"/>
      <c r="E17" s="417"/>
      <c r="F17" s="163"/>
      <c r="G17" s="163"/>
      <c r="H17" s="425">
        <f t="shared" si="1"/>
        <v>0</v>
      </c>
      <c r="I17" s="116"/>
      <c r="J17" s="136" t="s">
        <v>31</v>
      </c>
      <c r="K17" s="164">
        <f>Össz.önkor.mérleg.!K30</f>
        <v>49715</v>
      </c>
      <c r="L17" s="164">
        <f>Össz.önkor.mérleg.!L30</f>
        <v>0</v>
      </c>
      <c r="M17" s="419">
        <f>SUM(K17:L17)</f>
        <v>49715</v>
      </c>
      <c r="N17" s="166">
        <f>Össz.önkor.mérleg.!Q30</f>
        <v>36705</v>
      </c>
      <c r="O17" s="164">
        <f>Össz.önkor.mérleg.!R30</f>
        <v>0</v>
      </c>
      <c r="P17" s="164">
        <f>Össz.önkor.mérleg.!S30</f>
        <v>36705</v>
      </c>
      <c r="Q17" s="1188">
        <f t="shared" ref="Q17:Q47" si="3">P17/M17*100</f>
        <v>73.830835763853969</v>
      </c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">
      <c r="A18" s="159">
        <f t="shared" si="0"/>
        <v>8</v>
      </c>
      <c r="B18" s="162" t="s">
        <v>44</v>
      </c>
      <c r="C18" s="127">
        <f>Össz.önkor.mérleg.!C26</f>
        <v>19447</v>
      </c>
      <c r="D18" s="127">
        <f>Össz.önkor.mérleg.!D26</f>
        <v>40800</v>
      </c>
      <c r="E18" s="425">
        <f>Össz.önkor.mérleg.!E26</f>
        <v>60247</v>
      </c>
      <c r="F18" s="116">
        <f>Össz.önkor.mérleg.!F26</f>
        <v>19447</v>
      </c>
      <c r="G18" s="116">
        <f>Össz.önkor.mérleg.!G26</f>
        <v>40800</v>
      </c>
      <c r="H18" s="425">
        <f>Össz.önkor.mérleg.!H26</f>
        <v>60247</v>
      </c>
      <c r="I18" s="116">
        <f t="shared" si="2"/>
        <v>100</v>
      </c>
      <c r="J18" s="136" t="s">
        <v>32</v>
      </c>
      <c r="K18" s="164"/>
      <c r="L18" s="164"/>
      <c r="M18" s="419"/>
      <c r="N18" s="166">
        <f>Össz.önkor.mérleg.!Q31</f>
        <v>0</v>
      </c>
      <c r="O18" s="164"/>
      <c r="P18" s="419">
        <f t="shared" ref="P18:P45" si="4">N18+O18</f>
        <v>0</v>
      </c>
      <c r="Q18" s="1188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">
      <c r="A19" s="159">
        <f t="shared" si="0"/>
        <v>9</v>
      </c>
      <c r="B19" s="162" t="s">
        <v>45</v>
      </c>
      <c r="C19" s="116">
        <f>Össz.önkor.mérleg.!C27</f>
        <v>1285</v>
      </c>
      <c r="D19" s="116">
        <f>Össz.önkor.mérleg.!D27</f>
        <v>77</v>
      </c>
      <c r="E19" s="425">
        <f>Össz.önkor.mérleg.!E27</f>
        <v>1362</v>
      </c>
      <c r="F19" s="116">
        <f>Össz.önkor.mérleg.!F27</f>
        <v>1285</v>
      </c>
      <c r="G19" s="116">
        <f>Össz.önkor.mérleg.!G27</f>
        <v>76</v>
      </c>
      <c r="H19" s="425">
        <f>Össz.önkor.mérleg.!H27</f>
        <v>1361</v>
      </c>
      <c r="I19" s="116">
        <f t="shared" si="2"/>
        <v>99.926578560939788</v>
      </c>
      <c r="J19" s="136" t="s">
        <v>446</v>
      </c>
      <c r="K19" s="164">
        <f>Össz.önkor.mérleg.!K32</f>
        <v>12004</v>
      </c>
      <c r="L19" s="164">
        <f>Össz.önkor.mérleg.!L32</f>
        <v>78232</v>
      </c>
      <c r="M19" s="419">
        <f>SUM(K19:L19)</f>
        <v>90236</v>
      </c>
      <c r="N19" s="166">
        <f>Össz.önkor.mérleg.!Q32</f>
        <v>0</v>
      </c>
      <c r="O19" s="164">
        <f>Össz.önkor.mérleg.!R32</f>
        <v>78232</v>
      </c>
      <c r="P19" s="164">
        <f>Össz.önkor.mérleg.!S32</f>
        <v>78232</v>
      </c>
      <c r="Q19" s="1188">
        <f t="shared" si="3"/>
        <v>86.697105368145756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">
      <c r="A20" s="159">
        <f t="shared" si="0"/>
        <v>10</v>
      </c>
      <c r="B20" s="162"/>
      <c r="C20" s="116"/>
      <c r="D20" s="116"/>
      <c r="E20" s="425"/>
      <c r="F20" s="116"/>
      <c r="G20" s="116"/>
      <c r="H20" s="425">
        <f t="shared" si="1"/>
        <v>0</v>
      </c>
      <c r="I20" s="116"/>
      <c r="J20" s="136" t="s">
        <v>1097</v>
      </c>
      <c r="K20" s="164">
        <f>Össz.önkor.mérleg.!K33</f>
        <v>0</v>
      </c>
      <c r="L20" s="164">
        <f>Össz.önkor.mérleg.!L33</f>
        <v>5000</v>
      </c>
      <c r="M20" s="164">
        <f>Össz.önkor.mérleg.!M33</f>
        <v>5000</v>
      </c>
      <c r="N20" s="166">
        <f>Össz.önkor.mérleg.!Q33</f>
        <v>0</v>
      </c>
      <c r="O20" s="164">
        <f>Össz.önkor.mérleg.!R33</f>
        <v>4600</v>
      </c>
      <c r="P20" s="164">
        <f>Össz.önkor.mérleg.!S33</f>
        <v>4600</v>
      </c>
      <c r="Q20" s="1188">
        <f t="shared" si="3"/>
        <v>92</v>
      </c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">
      <c r="A21" s="159">
        <f t="shared" si="0"/>
        <v>11</v>
      </c>
      <c r="B21" s="114" t="s">
        <v>46</v>
      </c>
      <c r="C21" s="116">
        <f>Össz.önkor.mérleg.!C23</f>
        <v>0</v>
      </c>
      <c r="D21" s="117">
        <f>Össz.önkor.mérleg.!D28</f>
        <v>180</v>
      </c>
      <c r="E21" s="425">
        <f>Össz.önkor.mérleg.!E28</f>
        <v>180</v>
      </c>
      <c r="F21" s="116">
        <f>Össz.önkor.mérleg.!F28</f>
        <v>0</v>
      </c>
      <c r="G21" s="116">
        <f>Össz.önkor.mérleg.!G28</f>
        <v>180</v>
      </c>
      <c r="H21" s="425">
        <f t="shared" si="1"/>
        <v>180</v>
      </c>
      <c r="I21" s="116">
        <f t="shared" si="2"/>
        <v>100</v>
      </c>
      <c r="J21" s="136" t="s">
        <v>1098</v>
      </c>
      <c r="K21" s="164">
        <f>Össz.önkor.mérleg.!K34</f>
        <v>53844</v>
      </c>
      <c r="L21" s="164">
        <f>Össz.önkor.mérleg.!L34</f>
        <v>13880</v>
      </c>
      <c r="M21" s="419">
        <f>Össz.önkor.mérleg.!M34</f>
        <v>67724</v>
      </c>
      <c r="N21" s="166">
        <f>Össz.önkor.mérleg.!Q34</f>
        <v>53843</v>
      </c>
      <c r="O21" s="164">
        <f>Össz.önkor.mérleg.!R34</f>
        <v>13880</v>
      </c>
      <c r="P21" s="164">
        <f>Össz.önkor.mérleg.!S34</f>
        <v>67723</v>
      </c>
      <c r="Q21" s="1188">
        <f t="shared" si="3"/>
        <v>99.9985234185813</v>
      </c>
      <c r="R21" s="10"/>
      <c r="S21" s="10"/>
      <c r="T21" s="281"/>
      <c r="U21" s="10"/>
      <c r="V21" s="10"/>
      <c r="W21" s="10"/>
      <c r="X21" s="10"/>
      <c r="Y21" s="10"/>
      <c r="Z21" s="10"/>
    </row>
    <row r="22" spans="1:26" x14ac:dyDescent="0.2">
      <c r="A22" s="159">
        <f t="shared" si="0"/>
        <v>12</v>
      </c>
      <c r="B22" s="162" t="s">
        <v>47</v>
      </c>
      <c r="C22" s="116">
        <f>Össz.önkor.mérleg.!C24</f>
        <v>0</v>
      </c>
      <c r="D22" s="116">
        <f>Össz.önkor.mérleg.!D24</f>
        <v>0</v>
      </c>
      <c r="E22" s="425">
        <f>Össz.önkor.mérleg.!E24</f>
        <v>0</v>
      </c>
      <c r="F22" s="116">
        <f>Össz.önkor.mérleg.!F29</f>
        <v>0</v>
      </c>
      <c r="G22" s="116">
        <f>Össz.önkor.mérleg.!G29</f>
        <v>0</v>
      </c>
      <c r="H22" s="425">
        <f t="shared" si="1"/>
        <v>0</v>
      </c>
      <c r="I22" s="116"/>
      <c r="J22" s="136" t="s">
        <v>1099</v>
      </c>
      <c r="K22" s="164">
        <f>Össz.önkor.mérleg.!K35</f>
        <v>22391</v>
      </c>
      <c r="L22" s="164">
        <f>Össz.önkor.mérleg.!L35</f>
        <v>733</v>
      </c>
      <c r="M22" s="419">
        <f>Össz.önkor.mérleg.!M35</f>
        <v>23124</v>
      </c>
      <c r="N22" s="166">
        <f>Össz.önkor.mérleg.!Q35</f>
        <v>0</v>
      </c>
      <c r="O22" s="153"/>
      <c r="P22" s="419">
        <f t="shared" si="4"/>
        <v>0</v>
      </c>
      <c r="Q22" s="419">
        <f t="shared" si="3"/>
        <v>0</v>
      </c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">
      <c r="A23" s="159">
        <f t="shared" si="0"/>
        <v>13</v>
      </c>
      <c r="B23" s="162"/>
      <c r="C23" s="116"/>
      <c r="D23" s="117"/>
      <c r="E23" s="425"/>
      <c r="F23" s="117"/>
      <c r="G23" s="117"/>
      <c r="H23" s="425">
        <f t="shared" si="1"/>
        <v>0</v>
      </c>
      <c r="I23" s="116"/>
      <c r="J23" s="171" t="s">
        <v>68</v>
      </c>
      <c r="K23" s="172">
        <f>SUM(K16:K22)</f>
        <v>1870208</v>
      </c>
      <c r="L23" s="172">
        <f>SUM(L16:L22)</f>
        <v>267833</v>
      </c>
      <c r="M23" s="421">
        <f>SUM(M16:M22)</f>
        <v>2138041</v>
      </c>
      <c r="N23" s="166">
        <f>Össz.önkor.mérleg.!Q36</f>
        <v>927939</v>
      </c>
      <c r="O23" s="153">
        <f>SUM(O16:O22)</f>
        <v>188277</v>
      </c>
      <c r="P23" s="419">
        <f t="shared" si="4"/>
        <v>1116216</v>
      </c>
      <c r="Q23" s="419">
        <f t="shared" si="3"/>
        <v>52.207417912004495</v>
      </c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">
      <c r="A24" s="159">
        <f t="shared" si="0"/>
        <v>14</v>
      </c>
      <c r="B24" s="152" t="s">
        <v>632</v>
      </c>
      <c r="C24" s="117">
        <f>Össz.önkor.mérleg.!C32</f>
        <v>9900</v>
      </c>
      <c r="D24" s="117">
        <f>Össz.önkor.mérleg.!D32</f>
        <v>4232</v>
      </c>
      <c r="E24" s="425">
        <f>Össz.önkor.mérleg.!E32</f>
        <v>14132</v>
      </c>
      <c r="F24" s="117">
        <f>Össz.önkor.mérleg.!F32</f>
        <v>9900</v>
      </c>
      <c r="G24" s="117">
        <f>Össz.önkor.mérleg.!G32</f>
        <v>4232</v>
      </c>
      <c r="H24" s="425">
        <f t="shared" si="1"/>
        <v>14132</v>
      </c>
      <c r="I24" s="116">
        <f t="shared" si="2"/>
        <v>100</v>
      </c>
      <c r="J24" s="136"/>
      <c r="K24" s="164"/>
      <c r="L24" s="164"/>
      <c r="M24" s="417"/>
      <c r="N24" s="166"/>
      <c r="O24" s="153"/>
      <c r="P24" s="419"/>
      <c r="Q24" s="419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122" customFormat="1" x14ac:dyDescent="0.2">
      <c r="A25" s="159">
        <f t="shared" si="0"/>
        <v>15</v>
      </c>
      <c r="B25" s="152"/>
      <c r="C25" s="117"/>
      <c r="D25" s="117"/>
      <c r="E25" s="425"/>
      <c r="F25" s="117"/>
      <c r="G25" s="117"/>
      <c r="H25" s="425"/>
      <c r="I25" s="116"/>
      <c r="J25" s="166"/>
      <c r="K25" s="164"/>
      <c r="L25" s="164"/>
      <c r="M25" s="419"/>
      <c r="N25" s="1185"/>
      <c r="O25" s="1184"/>
      <c r="P25" s="419"/>
      <c r="Q25" s="419"/>
    </row>
    <row r="26" spans="1:26" s="122" customFormat="1" x14ac:dyDescent="0.2">
      <c r="A26" s="159">
        <f t="shared" si="0"/>
        <v>16</v>
      </c>
      <c r="B26" s="169"/>
      <c r="C26" s="163"/>
      <c r="D26" s="163"/>
      <c r="E26" s="417"/>
      <c r="F26" s="163"/>
      <c r="G26" s="163"/>
      <c r="H26" s="417"/>
      <c r="I26" s="116"/>
      <c r="J26" s="166"/>
      <c r="K26" s="164"/>
      <c r="L26" s="164"/>
      <c r="M26" s="419"/>
      <c r="N26" s="1185"/>
      <c r="O26" s="1184"/>
      <c r="P26" s="419"/>
      <c r="Q26" s="419"/>
      <c r="U26" s="742"/>
    </row>
    <row r="27" spans="1:26" x14ac:dyDescent="0.2">
      <c r="A27" s="159">
        <f t="shared" si="0"/>
        <v>17</v>
      </c>
      <c r="B27" s="170" t="s">
        <v>67</v>
      </c>
      <c r="C27" s="123">
        <f>C14+C15+C18+C19+C21+C22+C24</f>
        <v>651910</v>
      </c>
      <c r="D27" s="123">
        <f t="shared" ref="D27:H27" si="5">D14+D15+D18+D19+D21+D22+D24</f>
        <v>59829</v>
      </c>
      <c r="E27" s="418">
        <f t="shared" si="5"/>
        <v>711739</v>
      </c>
      <c r="F27" s="123">
        <f t="shared" si="5"/>
        <v>651909</v>
      </c>
      <c r="G27" s="123">
        <f t="shared" si="5"/>
        <v>59828</v>
      </c>
      <c r="H27" s="418">
        <f t="shared" si="5"/>
        <v>711737</v>
      </c>
      <c r="I27" s="1222">
        <f t="shared" si="2"/>
        <v>99.999718998115881</v>
      </c>
      <c r="J27" s="167"/>
      <c r="K27" s="123"/>
      <c r="L27" s="123"/>
      <c r="M27" s="418"/>
      <c r="N27" s="166"/>
      <c r="O27" s="153"/>
      <c r="P27" s="419"/>
      <c r="Q27" s="419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">
      <c r="A28" s="159">
        <f t="shared" si="0"/>
        <v>18</v>
      </c>
      <c r="B28" s="173" t="s">
        <v>51</v>
      </c>
      <c r="C28" s="168">
        <f>SUM(C26:C27)</f>
        <v>651910</v>
      </c>
      <c r="D28" s="168">
        <f>SUM(D26:D27)</f>
        <v>59829</v>
      </c>
      <c r="E28" s="422">
        <f>SUM(E26:E27)</f>
        <v>711739</v>
      </c>
      <c r="F28" s="168">
        <f t="shared" ref="F28:H28" si="6">SUM(F26:F27)</f>
        <v>651909</v>
      </c>
      <c r="G28" s="168">
        <f t="shared" si="6"/>
        <v>59828</v>
      </c>
      <c r="H28" s="422">
        <f t="shared" si="6"/>
        <v>711737</v>
      </c>
      <c r="I28" s="177">
        <f t="shared" si="2"/>
        <v>99.999718998115881</v>
      </c>
      <c r="J28" s="174" t="s">
        <v>69</v>
      </c>
      <c r="K28" s="168">
        <f>K27+K23</f>
        <v>1870208</v>
      </c>
      <c r="L28" s="168">
        <f>L27+L23</f>
        <v>267833</v>
      </c>
      <c r="M28" s="422">
        <f>M27+M23</f>
        <v>2138041</v>
      </c>
      <c r="N28" s="168">
        <f t="shared" ref="N28:P28" si="7">N27+N23</f>
        <v>927939</v>
      </c>
      <c r="O28" s="168">
        <f t="shared" si="7"/>
        <v>188277</v>
      </c>
      <c r="P28" s="422">
        <f t="shared" si="7"/>
        <v>1116216</v>
      </c>
      <c r="Q28" s="419">
        <f t="shared" si="3"/>
        <v>52.207417912004495</v>
      </c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">
      <c r="A29" s="159">
        <f t="shared" si="0"/>
        <v>19</v>
      </c>
      <c r="B29" s="175"/>
      <c r="C29" s="164"/>
      <c r="D29" s="164"/>
      <c r="E29" s="419"/>
      <c r="F29" s="164"/>
      <c r="G29" s="164"/>
      <c r="H29" s="419"/>
      <c r="I29" s="116"/>
      <c r="J29" s="166"/>
      <c r="M29" s="419"/>
      <c r="N29" s="166"/>
      <c r="O29" s="153"/>
      <c r="P29" s="419">
        <f t="shared" si="4"/>
        <v>0</v>
      </c>
      <c r="Q29" s="419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">
      <c r="A30" s="159">
        <f t="shared" si="0"/>
        <v>20</v>
      </c>
      <c r="B30" s="173" t="s">
        <v>633</v>
      </c>
      <c r="C30" s="168">
        <f>C28-K28</f>
        <v>-1218298</v>
      </c>
      <c r="D30" s="168">
        <f>D28-L28</f>
        <v>-208004</v>
      </c>
      <c r="E30" s="1229">
        <f>E28-M28</f>
        <v>-1426302</v>
      </c>
      <c r="F30" s="541">
        <f t="shared" ref="F30:H30" si="8">F28-N28</f>
        <v>-276030</v>
      </c>
      <c r="G30" s="541">
        <f t="shared" si="8"/>
        <v>-128449</v>
      </c>
      <c r="H30" s="1229">
        <f t="shared" si="8"/>
        <v>-404479</v>
      </c>
      <c r="I30" s="153">
        <f t="shared" si="2"/>
        <v>28.358580440888399</v>
      </c>
      <c r="J30" s="166"/>
      <c r="M30" s="419"/>
      <c r="N30" s="166"/>
      <c r="O30" s="153"/>
      <c r="P30" s="419">
        <f t="shared" si="4"/>
        <v>0</v>
      </c>
      <c r="Q30" s="419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6.5" customHeight="1" x14ac:dyDescent="0.2">
      <c r="A31" s="159">
        <f t="shared" si="0"/>
        <v>21</v>
      </c>
      <c r="B31" s="766" t="s">
        <v>1253</v>
      </c>
      <c r="C31" s="280">
        <f>-'működ. mérleg '!C29</f>
        <v>0</v>
      </c>
      <c r="D31" s="280">
        <f>-'működ. mérleg '!D29</f>
        <v>0</v>
      </c>
      <c r="E31" s="437">
        <f>-'működ. mérleg '!E29</f>
        <v>0</v>
      </c>
      <c r="F31" s="280"/>
      <c r="G31" s="280"/>
      <c r="H31" s="437"/>
      <c r="I31" s="116"/>
      <c r="J31" s="166"/>
      <c r="M31" s="419"/>
      <c r="N31" s="166"/>
      <c r="O31" s="153"/>
      <c r="P31" s="419">
        <f t="shared" si="4"/>
        <v>0</v>
      </c>
      <c r="Q31" s="419"/>
      <c r="R31" s="10"/>
      <c r="S31" s="10"/>
      <c r="T31" s="10"/>
      <c r="U31" s="10"/>
      <c r="V31" s="10"/>
      <c r="W31" s="10"/>
      <c r="X31" s="10"/>
      <c r="Y31" s="10"/>
      <c r="Z31" s="10"/>
    </row>
    <row r="32" spans="1:26" s="11" customFormat="1" x14ac:dyDescent="0.2">
      <c r="A32" s="159">
        <f t="shared" si="0"/>
        <v>22</v>
      </c>
      <c r="B32" s="125"/>
      <c r="C32" s="164"/>
      <c r="D32" s="164"/>
      <c r="E32" s="419">
        <f>C32+D32</f>
        <v>0</v>
      </c>
      <c r="F32" s="164"/>
      <c r="G32" s="164"/>
      <c r="H32" s="419"/>
      <c r="I32" s="116"/>
      <c r="J32" s="166"/>
      <c r="K32" s="164"/>
      <c r="L32" s="164"/>
      <c r="M32" s="419"/>
      <c r="N32" s="174"/>
      <c r="O32" s="177"/>
      <c r="P32" s="419">
        <f t="shared" si="4"/>
        <v>0</v>
      </c>
      <c r="Q32" s="419"/>
    </row>
    <row r="33" spans="1:26" s="11" customFormat="1" x14ac:dyDescent="0.2">
      <c r="A33" s="159">
        <f t="shared" si="0"/>
        <v>23</v>
      </c>
      <c r="B33" s="124" t="s">
        <v>53</v>
      </c>
      <c r="C33" s="124"/>
      <c r="D33" s="124"/>
      <c r="E33" s="482"/>
      <c r="F33" s="124"/>
      <c r="G33" s="124"/>
      <c r="H33" s="482"/>
      <c r="I33" s="116"/>
      <c r="J33" s="137" t="s">
        <v>33</v>
      </c>
      <c r="K33" s="168"/>
      <c r="L33" s="168"/>
      <c r="M33" s="422"/>
      <c r="N33" s="174"/>
      <c r="O33" s="177"/>
      <c r="P33" s="419">
        <f t="shared" si="4"/>
        <v>0</v>
      </c>
      <c r="Q33" s="419"/>
    </row>
    <row r="34" spans="1:26" s="11" customFormat="1" x14ac:dyDescent="0.2">
      <c r="A34" s="159">
        <f t="shared" si="0"/>
        <v>24</v>
      </c>
      <c r="B34" s="133" t="s">
        <v>680</v>
      </c>
      <c r="C34" s="124"/>
      <c r="D34" s="124"/>
      <c r="E34" s="482"/>
      <c r="F34" s="124"/>
      <c r="G34" s="124"/>
      <c r="H34" s="482"/>
      <c r="I34" s="116"/>
      <c r="J34" s="176" t="s">
        <v>4</v>
      </c>
      <c r="K34" s="177"/>
      <c r="L34" s="178"/>
      <c r="M34" s="423"/>
      <c r="N34" s="174"/>
      <c r="O34" s="177"/>
      <c r="P34" s="419">
        <f t="shared" si="4"/>
        <v>0</v>
      </c>
      <c r="Q34" s="419"/>
    </row>
    <row r="35" spans="1:26" s="11" customFormat="1" x14ac:dyDescent="0.2">
      <c r="A35" s="159">
        <f t="shared" si="0"/>
        <v>25</v>
      </c>
      <c r="B35" s="152" t="s">
        <v>975</v>
      </c>
      <c r="C35" s="117">
        <f>Össz.önkor.mérleg.!C43</f>
        <v>588859</v>
      </c>
      <c r="D35" s="117">
        <f>Össz.önkor.mérleg.!D43</f>
        <v>0</v>
      </c>
      <c r="E35" s="425">
        <f>Össz.önkor.mérleg.!E43</f>
        <v>588859</v>
      </c>
      <c r="F35" s="117">
        <f>Össz.önkor.mérleg.!F43</f>
        <v>588859</v>
      </c>
      <c r="G35" s="117"/>
      <c r="H35" s="425">
        <f>F35+G35</f>
        <v>588859</v>
      </c>
      <c r="I35" s="116">
        <f t="shared" si="2"/>
        <v>100</v>
      </c>
      <c r="J35" s="179" t="s">
        <v>3</v>
      </c>
      <c r="K35" s="168"/>
      <c r="L35" s="168"/>
      <c r="M35" s="422"/>
      <c r="N35" s="174"/>
      <c r="O35" s="177"/>
      <c r="P35" s="419">
        <f t="shared" si="4"/>
        <v>0</v>
      </c>
      <c r="Q35" s="419"/>
    </row>
    <row r="36" spans="1:26" x14ac:dyDescent="0.2">
      <c r="A36" s="159">
        <f t="shared" si="0"/>
        <v>26</v>
      </c>
      <c r="B36" s="116" t="s">
        <v>682</v>
      </c>
      <c r="C36" s="180"/>
      <c r="D36" s="134"/>
      <c r="E36" s="1230">
        <f>SUM(C36:D36)</f>
        <v>0</v>
      </c>
      <c r="F36" s="134"/>
      <c r="G36" s="134"/>
      <c r="H36" s="425">
        <f t="shared" ref="H36:H45" si="9">F36+G36</f>
        <v>0</v>
      </c>
      <c r="I36" s="116"/>
      <c r="J36" s="136" t="s">
        <v>5</v>
      </c>
      <c r="K36" s="168"/>
      <c r="L36" s="168"/>
      <c r="M36" s="422"/>
      <c r="N36" s="166"/>
      <c r="O36" s="153"/>
      <c r="P36" s="419">
        <f t="shared" si="4"/>
        <v>0</v>
      </c>
      <c r="Q36" s="419"/>
      <c r="R36" s="10"/>
      <c r="S36" s="10"/>
      <c r="T36" s="10"/>
      <c r="U36" s="281"/>
      <c r="V36" s="10"/>
      <c r="W36" s="10"/>
      <c r="X36" s="10"/>
      <c r="Y36" s="10"/>
      <c r="Z36" s="10"/>
    </row>
    <row r="37" spans="1:26" x14ac:dyDescent="0.2">
      <c r="A37" s="159">
        <f t="shared" si="0"/>
        <v>27</v>
      </c>
      <c r="B37" s="116" t="s">
        <v>681</v>
      </c>
      <c r="C37" s="117"/>
      <c r="D37" s="117"/>
      <c r="E37" s="425"/>
      <c r="F37" s="117"/>
      <c r="G37" s="117"/>
      <c r="H37" s="425">
        <f t="shared" si="9"/>
        <v>0</v>
      </c>
      <c r="I37" s="116"/>
      <c r="J37" s="136" t="s">
        <v>6</v>
      </c>
      <c r="K37" s="177"/>
      <c r="L37" s="177"/>
      <c r="M37" s="422"/>
      <c r="N37" s="166"/>
      <c r="O37" s="153"/>
      <c r="P37" s="419">
        <f t="shared" si="4"/>
        <v>0</v>
      </c>
      <c r="Q37" s="419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">
      <c r="A38" s="159">
        <f t="shared" si="0"/>
        <v>28</v>
      </c>
      <c r="B38" s="116" t="s">
        <v>1017</v>
      </c>
      <c r="C38" s="275">
        <f>-(C30+C35)-C32-C31</f>
        <v>629439</v>
      </c>
      <c r="D38" s="275">
        <f t="shared" ref="D38:E38" si="10">-(D30+D35)-D32-D31</f>
        <v>208004</v>
      </c>
      <c r="E38" s="436">
        <f t="shared" si="10"/>
        <v>837443</v>
      </c>
      <c r="F38" s="275"/>
      <c r="G38" s="275"/>
      <c r="H38" s="425">
        <f t="shared" si="9"/>
        <v>0</v>
      </c>
      <c r="I38" s="116">
        <f t="shared" si="2"/>
        <v>0</v>
      </c>
      <c r="J38" s="136" t="s">
        <v>7</v>
      </c>
      <c r="K38" s="177"/>
      <c r="L38" s="177"/>
      <c r="M38" s="422"/>
      <c r="N38" s="166"/>
      <c r="O38" s="153"/>
      <c r="P38" s="419">
        <f t="shared" si="4"/>
        <v>0</v>
      </c>
      <c r="Q38" s="419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">
      <c r="A39" s="159">
        <f t="shared" si="0"/>
        <v>29</v>
      </c>
      <c r="B39" s="117" t="s">
        <v>683</v>
      </c>
      <c r="C39" s="124"/>
      <c r="D39" s="124"/>
      <c r="E39" s="482"/>
      <c r="F39" s="124"/>
      <c r="G39" s="124"/>
      <c r="H39" s="425">
        <f t="shared" si="9"/>
        <v>0</v>
      </c>
      <c r="I39" s="116"/>
      <c r="J39" s="136" t="s">
        <v>9</v>
      </c>
      <c r="K39" s="168"/>
      <c r="L39" s="168"/>
      <c r="M39" s="419"/>
      <c r="N39" s="166"/>
      <c r="O39" s="153"/>
      <c r="P39" s="419">
        <f t="shared" si="4"/>
        <v>0</v>
      </c>
      <c r="Q39" s="419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">
      <c r="A40" s="159">
        <f t="shared" si="0"/>
        <v>30</v>
      </c>
      <c r="B40" s="117" t="s">
        <v>684</v>
      </c>
      <c r="C40" s="117"/>
      <c r="D40" s="117"/>
      <c r="E40" s="425"/>
      <c r="F40" s="117"/>
      <c r="G40" s="117"/>
      <c r="H40" s="425">
        <f t="shared" si="9"/>
        <v>0</v>
      </c>
      <c r="I40" s="116"/>
      <c r="J40" s="136" t="s">
        <v>10</v>
      </c>
      <c r="K40" s="164"/>
      <c r="L40" s="164"/>
      <c r="M40" s="419"/>
      <c r="N40" s="166"/>
      <c r="O40" s="153"/>
      <c r="P40" s="419">
        <f t="shared" si="4"/>
        <v>0</v>
      </c>
      <c r="Q40" s="419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">
      <c r="A41" s="159">
        <f t="shared" si="0"/>
        <v>31</v>
      </c>
      <c r="B41" s="116" t="s">
        <v>685</v>
      </c>
      <c r="C41" s="117"/>
      <c r="D41" s="117"/>
      <c r="E41" s="425"/>
      <c r="F41" s="117"/>
      <c r="G41" s="117"/>
      <c r="H41" s="425">
        <f t="shared" si="9"/>
        <v>0</v>
      </c>
      <c r="I41" s="116"/>
      <c r="J41" s="136" t="s">
        <v>11</v>
      </c>
      <c r="K41" s="164"/>
      <c r="L41" s="164"/>
      <c r="M41" s="419"/>
      <c r="N41" s="166"/>
      <c r="O41" s="153"/>
      <c r="P41" s="419">
        <f t="shared" si="4"/>
        <v>0</v>
      </c>
      <c r="Q41" s="419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">
      <c r="A42" s="159">
        <f t="shared" si="0"/>
        <v>32</v>
      </c>
      <c r="B42" s="116" t="s">
        <v>686</v>
      </c>
      <c r="C42" s="117"/>
      <c r="D42" s="117"/>
      <c r="E42" s="425"/>
      <c r="F42" s="117"/>
      <c r="G42" s="117"/>
      <c r="H42" s="425">
        <f t="shared" si="9"/>
        <v>0</v>
      </c>
      <c r="I42" s="116"/>
      <c r="J42" s="136" t="s">
        <v>12</v>
      </c>
      <c r="K42" s="164"/>
      <c r="L42" s="164"/>
      <c r="M42" s="419"/>
      <c r="N42" s="166"/>
      <c r="O42" s="153"/>
      <c r="P42" s="419">
        <f t="shared" si="4"/>
        <v>0</v>
      </c>
      <c r="Q42" s="419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">
      <c r="A43" s="159">
        <f t="shared" si="0"/>
        <v>33</v>
      </c>
      <c r="B43" s="116" t="s">
        <v>0</v>
      </c>
      <c r="C43" s="117"/>
      <c r="D43" s="117"/>
      <c r="E43" s="425"/>
      <c r="F43" s="117"/>
      <c r="G43" s="117"/>
      <c r="H43" s="425">
        <f t="shared" si="9"/>
        <v>0</v>
      </c>
      <c r="I43" s="116"/>
      <c r="J43" s="136" t="s">
        <v>13</v>
      </c>
      <c r="K43" s="164"/>
      <c r="L43" s="164"/>
      <c r="M43" s="419"/>
      <c r="N43" s="166"/>
      <c r="O43" s="153"/>
      <c r="P43" s="419">
        <f t="shared" si="4"/>
        <v>0</v>
      </c>
      <c r="Q43" s="419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">
      <c r="A44" s="159">
        <f t="shared" si="0"/>
        <v>34</v>
      </c>
      <c r="B44" s="116" t="s">
        <v>1</v>
      </c>
      <c r="C44" s="117"/>
      <c r="D44" s="117"/>
      <c r="E44" s="425"/>
      <c r="F44" s="117"/>
      <c r="G44" s="117"/>
      <c r="H44" s="425">
        <f t="shared" si="9"/>
        <v>0</v>
      </c>
      <c r="I44" s="116"/>
      <c r="J44" s="136" t="s">
        <v>14</v>
      </c>
      <c r="K44" s="164"/>
      <c r="L44" s="164"/>
      <c r="M44" s="419"/>
      <c r="N44" s="166"/>
      <c r="O44" s="153"/>
      <c r="P44" s="419">
        <f t="shared" si="4"/>
        <v>0</v>
      </c>
      <c r="Q44" s="419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">
      <c r="A45" s="159">
        <f t="shared" si="0"/>
        <v>35</v>
      </c>
      <c r="B45" s="116" t="s">
        <v>2</v>
      </c>
      <c r="C45" s="117"/>
      <c r="D45" s="117"/>
      <c r="E45" s="425"/>
      <c r="F45" s="117"/>
      <c r="G45" s="117"/>
      <c r="H45" s="425">
        <f t="shared" si="9"/>
        <v>0</v>
      </c>
      <c r="I45" s="116"/>
      <c r="J45" s="136" t="s">
        <v>15</v>
      </c>
      <c r="K45" s="164"/>
      <c r="L45" s="164"/>
      <c r="M45" s="419"/>
      <c r="N45" s="166"/>
      <c r="O45" s="153"/>
      <c r="P45" s="419">
        <f t="shared" si="4"/>
        <v>0</v>
      </c>
      <c r="Q45" s="419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" thickBot="1" x14ac:dyDescent="0.25">
      <c r="A46" s="159">
        <f t="shared" si="0"/>
        <v>36</v>
      </c>
      <c r="B46" s="173" t="s">
        <v>447</v>
      </c>
      <c r="C46" s="467">
        <f t="shared" ref="C46:D46" si="11">SUM(C33:C44)</f>
        <v>1218298</v>
      </c>
      <c r="D46" s="467">
        <f t="shared" si="11"/>
        <v>208004</v>
      </c>
      <c r="E46" s="1231">
        <f>SUM(E33:E44)</f>
        <v>1426302</v>
      </c>
      <c r="F46" s="467">
        <f t="shared" ref="F46:H46" si="12">SUM(F33:F44)</f>
        <v>588859</v>
      </c>
      <c r="G46" s="467">
        <f t="shared" si="12"/>
        <v>0</v>
      </c>
      <c r="H46" s="1231">
        <f t="shared" si="12"/>
        <v>588859</v>
      </c>
      <c r="I46" s="1225">
        <f t="shared" si="2"/>
        <v>41.285716489214771</v>
      </c>
      <c r="J46" s="137" t="s">
        <v>440</v>
      </c>
      <c r="K46" s="168">
        <f>SUM(K34:K45)</f>
        <v>0</v>
      </c>
      <c r="L46" s="168">
        <f>SUM(L34:L45)</f>
        <v>0</v>
      </c>
      <c r="M46" s="426">
        <f>SUM(M34:M45)</f>
        <v>0</v>
      </c>
      <c r="N46" s="1224">
        <f t="shared" ref="N46:P46" si="13">SUM(N34:N45)</f>
        <v>0</v>
      </c>
      <c r="O46" s="1224">
        <f t="shared" si="13"/>
        <v>0</v>
      </c>
      <c r="P46" s="426">
        <f t="shared" si="13"/>
        <v>0</v>
      </c>
      <c r="Q46" s="419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" thickBot="1" x14ac:dyDescent="0.25">
      <c r="A47" s="1010">
        <f t="shared" si="0"/>
        <v>37</v>
      </c>
      <c r="B47" s="1011" t="s">
        <v>442</v>
      </c>
      <c r="C47" s="181">
        <f t="shared" ref="C47:D47" si="14">C28+C31+C46</f>
        <v>1870208</v>
      </c>
      <c r="D47" s="181">
        <f t="shared" si="14"/>
        <v>267833</v>
      </c>
      <c r="E47" s="181">
        <f>E28+E31+E46</f>
        <v>2138041</v>
      </c>
      <c r="F47" s="181">
        <f t="shared" ref="F47:H47" si="15">F28+F31+F46</f>
        <v>1240768</v>
      </c>
      <c r="G47" s="181">
        <f t="shared" si="15"/>
        <v>59828</v>
      </c>
      <c r="H47" s="181">
        <f t="shared" si="15"/>
        <v>1300596</v>
      </c>
      <c r="I47" s="177">
        <f t="shared" si="2"/>
        <v>60.831200150043898</v>
      </c>
      <c r="J47" s="466" t="s">
        <v>441</v>
      </c>
      <c r="K47" s="970">
        <f>K28+K46</f>
        <v>1870208</v>
      </c>
      <c r="L47" s="970">
        <f>L28+L46</f>
        <v>267833</v>
      </c>
      <c r="M47" s="971">
        <f>M28+M46</f>
        <v>2138041</v>
      </c>
      <c r="N47" s="971">
        <f t="shared" ref="N47:P47" si="16">N28+N46</f>
        <v>927939</v>
      </c>
      <c r="O47" s="971">
        <f t="shared" si="16"/>
        <v>188277</v>
      </c>
      <c r="P47" s="971">
        <f t="shared" si="16"/>
        <v>1116216</v>
      </c>
      <c r="Q47" s="974">
        <f t="shared" si="3"/>
        <v>52.207417912004495</v>
      </c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">
      <c r="B48" s="178"/>
      <c r="C48" s="177"/>
      <c r="D48" s="177"/>
      <c r="E48" s="177"/>
      <c r="F48" s="177"/>
      <c r="G48" s="177"/>
      <c r="H48" s="177"/>
      <c r="I48" s="1226"/>
      <c r="J48" s="177"/>
      <c r="K48" s="177"/>
      <c r="L48" s="177"/>
      <c r="M48" s="177"/>
      <c r="Q48" s="1218"/>
      <c r="R48" s="10"/>
      <c r="S48" s="281"/>
      <c r="T48" s="10"/>
      <c r="U48" s="10"/>
      <c r="V48" s="10"/>
      <c r="W48" s="10"/>
      <c r="X48" s="10"/>
      <c r="Y48" s="10"/>
      <c r="Z48" s="10"/>
    </row>
    <row r="49" spans="4:26" x14ac:dyDescent="0.2">
      <c r="T49" s="175"/>
      <c r="X49" s="10"/>
      <c r="Y49" s="10"/>
      <c r="Z49" s="10"/>
    </row>
    <row r="52" spans="4:26" x14ac:dyDescent="0.2">
      <c r="D52" s="164"/>
    </row>
  </sheetData>
  <sheetProtection selectLockedCells="1" selectUnlockedCells="1"/>
  <mergeCells count="18">
    <mergeCell ref="A7:Q7"/>
    <mergeCell ref="N8:Q8"/>
    <mergeCell ref="N9:P9"/>
    <mergeCell ref="Q9:Q10"/>
    <mergeCell ref="C8:E8"/>
    <mergeCell ref="K8:M8"/>
    <mergeCell ref="C9:E9"/>
    <mergeCell ref="K9:M9"/>
    <mergeCell ref="A8:A10"/>
    <mergeCell ref="B8:B9"/>
    <mergeCell ref="F8:I8"/>
    <mergeCell ref="F9:H9"/>
    <mergeCell ref="I9:I10"/>
    <mergeCell ref="A1:Q1"/>
    <mergeCell ref="B3:Q3"/>
    <mergeCell ref="B4:Q4"/>
    <mergeCell ref="B5:Q5"/>
    <mergeCell ref="B6:Q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59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R113"/>
  <sheetViews>
    <sheetView zoomScale="90" zoomScaleNormal="90" workbookViewId="0">
      <pane xSplit="2" ySplit="11" topLeftCell="C12" activePane="bottomRight" state="frozen"/>
      <selection activeCell="B65" sqref="B65"/>
      <selection pane="topRight" activeCell="B65" sqref="B65"/>
      <selection pane="bottomLeft" activeCell="B65" sqref="B65"/>
      <selection pane="bottomRight" sqref="A1:AH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10" width="5.85546875" style="17" customWidth="1"/>
    <col min="11" max="11" width="5.7109375" style="17" customWidth="1"/>
    <col min="12" max="12" width="4" style="17" customWidth="1"/>
    <col min="13" max="13" width="5.7109375" style="17" customWidth="1"/>
    <col min="14" max="15" width="7.28515625" style="17" customWidth="1"/>
    <col min="16" max="16" width="6.7109375" style="17" customWidth="1"/>
    <col min="17" max="18" width="5.140625" style="17" customWidth="1"/>
    <col min="19" max="19" width="5.7109375" style="17" customWidth="1"/>
    <col min="20" max="22" width="6.7109375" style="17" customWidth="1"/>
    <col min="23" max="24" width="6.42578125" style="17" customWidth="1"/>
    <col min="25" max="25" width="6.7109375" style="17" customWidth="1"/>
    <col min="26" max="27" width="6.85546875" style="17" customWidth="1"/>
    <col min="28" max="28" width="6.5703125" style="17" customWidth="1"/>
    <col min="29" max="31" width="7.140625" style="17" customWidth="1"/>
    <col min="32" max="33" width="6" style="17" customWidth="1"/>
    <col min="34" max="34" width="7.5703125" style="17" customWidth="1"/>
    <col min="35" max="16384" width="9.140625" style="16"/>
  </cols>
  <sheetData>
    <row r="1" spans="1:34" ht="15.75" customHeight="1" x14ac:dyDescent="0.25">
      <c r="A1" s="2093" t="s">
        <v>2081</v>
      </c>
      <c r="B1" s="2093"/>
      <c r="C1" s="2093"/>
      <c r="D1" s="2093"/>
      <c r="E1" s="2093"/>
      <c r="F1" s="2093"/>
      <c r="G1" s="2093"/>
      <c r="H1" s="2093"/>
      <c r="I1" s="2093"/>
      <c r="J1" s="2093"/>
      <c r="K1" s="2093"/>
      <c r="L1" s="2093"/>
      <c r="M1" s="2093"/>
      <c r="N1" s="2093"/>
      <c r="O1" s="2093"/>
      <c r="P1" s="2093"/>
      <c r="Q1" s="2093"/>
      <c r="R1" s="2093"/>
      <c r="S1" s="2093"/>
      <c r="T1" s="2093"/>
      <c r="U1" s="2093"/>
      <c r="V1" s="2093"/>
      <c r="W1" s="2093"/>
      <c r="X1" s="2093"/>
      <c r="Y1" s="2093"/>
      <c r="Z1" s="2093"/>
      <c r="AA1" s="2093"/>
      <c r="AB1" s="2093"/>
      <c r="AC1" s="2093"/>
      <c r="AD1" s="2093"/>
      <c r="AE1" s="2093"/>
      <c r="AF1" s="2093"/>
      <c r="AG1" s="2093"/>
      <c r="AH1" s="2093"/>
    </row>
    <row r="2" spans="1:34" ht="15.75" customHeight="1" x14ac:dyDescent="0.25">
      <c r="A2" s="2099" t="s">
        <v>86</v>
      </c>
      <c r="B2" s="2099"/>
      <c r="C2" s="2099"/>
      <c r="D2" s="2099"/>
      <c r="E2" s="2099"/>
      <c r="F2" s="2099"/>
      <c r="G2" s="2099"/>
      <c r="H2" s="2099"/>
      <c r="I2" s="2099"/>
      <c r="J2" s="2099"/>
      <c r="K2" s="2099"/>
      <c r="L2" s="2099"/>
      <c r="M2" s="2099"/>
      <c r="N2" s="2099"/>
      <c r="O2" s="2099"/>
      <c r="P2" s="2099"/>
      <c r="Q2" s="2099"/>
      <c r="R2" s="2099"/>
      <c r="S2" s="2099"/>
      <c r="T2" s="2099"/>
      <c r="U2" s="2099"/>
      <c r="V2" s="2099"/>
      <c r="W2" s="2099"/>
      <c r="X2" s="2099"/>
      <c r="Y2" s="2099"/>
      <c r="Z2" s="2099"/>
      <c r="AA2" s="2099"/>
      <c r="AB2" s="2099"/>
      <c r="AC2" s="2099"/>
      <c r="AD2" s="2099"/>
      <c r="AE2" s="2099"/>
      <c r="AF2" s="2099"/>
      <c r="AG2" s="2099"/>
      <c r="AH2" s="2099"/>
    </row>
    <row r="3" spans="1:34" ht="15.75" customHeight="1" x14ac:dyDescent="0.25">
      <c r="A3" s="2099" t="s">
        <v>1359</v>
      </c>
      <c r="B3" s="2099"/>
      <c r="C3" s="2099"/>
      <c r="D3" s="2099"/>
      <c r="E3" s="2099"/>
      <c r="F3" s="2099"/>
      <c r="G3" s="2099"/>
      <c r="H3" s="2099"/>
      <c r="I3" s="2099"/>
      <c r="J3" s="2099"/>
      <c r="K3" s="2099"/>
      <c r="L3" s="2099"/>
      <c r="M3" s="2099"/>
      <c r="N3" s="2099"/>
      <c r="O3" s="2099"/>
      <c r="P3" s="2099"/>
      <c r="Q3" s="2099"/>
      <c r="R3" s="2099"/>
      <c r="S3" s="2099"/>
      <c r="T3" s="2099"/>
      <c r="U3" s="2099"/>
      <c r="V3" s="2099"/>
      <c r="W3" s="2099"/>
      <c r="X3" s="2099"/>
      <c r="Y3" s="2099"/>
      <c r="Z3" s="2099"/>
      <c r="AA3" s="2099"/>
      <c r="AB3" s="2099"/>
      <c r="AC3" s="2099"/>
      <c r="AD3" s="2099"/>
      <c r="AE3" s="2099"/>
      <c r="AF3" s="2099"/>
      <c r="AG3" s="2099"/>
      <c r="AH3" s="2099"/>
    </row>
    <row r="4" spans="1:34" ht="15.75" customHeight="1" x14ac:dyDescent="0.25">
      <c r="A4" s="2099" t="s">
        <v>54</v>
      </c>
      <c r="B4" s="2099"/>
      <c r="C4" s="2099"/>
      <c r="D4" s="2099"/>
      <c r="E4" s="2099"/>
      <c r="F4" s="2099"/>
      <c r="G4" s="2099"/>
      <c r="H4" s="2099"/>
      <c r="I4" s="2099"/>
      <c r="J4" s="2099"/>
      <c r="K4" s="2099"/>
      <c r="L4" s="2099"/>
      <c r="M4" s="2099"/>
      <c r="N4" s="2099"/>
      <c r="O4" s="2099"/>
      <c r="P4" s="2099"/>
      <c r="Q4" s="2099"/>
      <c r="R4" s="2099"/>
      <c r="S4" s="2099"/>
      <c r="T4" s="2099"/>
      <c r="U4" s="2099"/>
      <c r="V4" s="2099"/>
      <c r="W4" s="2099"/>
      <c r="X4" s="2099"/>
      <c r="Y4" s="2099"/>
      <c r="Z4" s="2099"/>
      <c r="AA4" s="2099"/>
      <c r="AB4" s="2099"/>
      <c r="AC4" s="2099"/>
      <c r="AD4" s="2099"/>
      <c r="AE4" s="2099"/>
      <c r="AF4" s="2099"/>
      <c r="AG4" s="2099"/>
      <c r="AH4" s="2099"/>
    </row>
    <row r="5" spans="1:34" ht="15.75" customHeight="1" x14ac:dyDescent="0.25">
      <c r="A5" s="2099" t="s">
        <v>1104</v>
      </c>
      <c r="B5" s="2099"/>
      <c r="C5" s="2099"/>
      <c r="D5" s="2099"/>
      <c r="E5" s="2099"/>
      <c r="F5" s="2099"/>
      <c r="G5" s="2099"/>
      <c r="H5" s="2099"/>
      <c r="I5" s="2099"/>
      <c r="J5" s="2099"/>
      <c r="K5" s="2099"/>
      <c r="L5" s="2099"/>
      <c r="M5" s="2099"/>
      <c r="N5" s="2099"/>
      <c r="O5" s="2099"/>
      <c r="P5" s="2099"/>
      <c r="Q5" s="2099"/>
      <c r="R5" s="2099"/>
      <c r="S5" s="2099"/>
      <c r="T5" s="2099"/>
      <c r="U5" s="2099"/>
      <c r="V5" s="2099"/>
      <c r="W5" s="2099"/>
      <c r="X5" s="2099"/>
      <c r="Y5" s="2099"/>
      <c r="Z5" s="2099"/>
      <c r="AA5" s="2099"/>
      <c r="AB5" s="2099"/>
      <c r="AC5" s="2099"/>
      <c r="AD5" s="2099"/>
      <c r="AE5" s="2099"/>
      <c r="AF5" s="2099"/>
      <c r="AG5" s="2099"/>
      <c r="AH5" s="2099"/>
    </row>
    <row r="6" spans="1:34" ht="15.75" customHeight="1" x14ac:dyDescent="0.25"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 t="s">
        <v>653</v>
      </c>
    </row>
    <row r="7" spans="1:34" ht="27.75" customHeight="1" x14ac:dyDescent="0.25">
      <c r="A7" s="2102" t="s">
        <v>70</v>
      </c>
      <c r="B7" s="42" t="s">
        <v>57</v>
      </c>
      <c r="C7" s="2100" t="s">
        <v>58</v>
      </c>
      <c r="D7" s="2100"/>
      <c r="E7" s="2100" t="s">
        <v>59</v>
      </c>
      <c r="F7" s="2100"/>
      <c r="G7" s="2100" t="s">
        <v>60</v>
      </c>
      <c r="H7" s="2100"/>
      <c r="I7" s="2100"/>
      <c r="J7" s="2100"/>
      <c r="K7" s="2100"/>
      <c r="L7" s="2103" t="s">
        <v>469</v>
      </c>
      <c r="M7" s="2103"/>
      <c r="N7" s="2100" t="s">
        <v>470</v>
      </c>
      <c r="O7" s="2100"/>
      <c r="P7" s="2100"/>
      <c r="Q7" s="2100" t="s">
        <v>471</v>
      </c>
      <c r="R7" s="2100"/>
      <c r="S7" s="2100"/>
      <c r="T7" s="2101" t="s">
        <v>590</v>
      </c>
      <c r="U7" s="2101"/>
      <c r="V7" s="2101"/>
      <c r="W7" s="2101"/>
      <c r="X7" s="2101"/>
      <c r="Y7" s="2101"/>
      <c r="Z7" s="2100" t="s">
        <v>598</v>
      </c>
      <c r="AA7" s="2100"/>
      <c r="AB7" s="2100"/>
      <c r="AC7" s="2100" t="s">
        <v>599</v>
      </c>
      <c r="AD7" s="2100"/>
      <c r="AE7" s="2100"/>
      <c r="AF7" s="2100"/>
      <c r="AG7" s="2100"/>
      <c r="AH7" s="2100"/>
    </row>
    <row r="8" spans="1:34" s="4" customFormat="1" ht="30.75" customHeight="1" x14ac:dyDescent="0.2">
      <c r="A8" s="2102"/>
      <c r="B8" s="2047" t="s">
        <v>654</v>
      </c>
      <c r="C8" s="2106" t="s">
        <v>655</v>
      </c>
      <c r="D8" s="2106"/>
      <c r="E8" s="2106"/>
      <c r="F8" s="2106"/>
      <c r="G8" s="2106" t="s">
        <v>656</v>
      </c>
      <c r="H8" s="2106"/>
      <c r="I8" s="2106"/>
      <c r="J8" s="2106"/>
      <c r="K8" s="2106"/>
      <c r="L8" s="2106"/>
      <c r="M8" s="2106"/>
      <c r="N8" s="2104" t="s">
        <v>657</v>
      </c>
      <c r="O8" s="2104"/>
      <c r="P8" s="2104"/>
      <c r="Q8" s="2104"/>
      <c r="R8" s="2104"/>
      <c r="S8" s="2104"/>
      <c r="T8" s="2104" t="s">
        <v>528</v>
      </c>
      <c r="U8" s="2104"/>
      <c r="V8" s="2104"/>
      <c r="W8" s="2104"/>
      <c r="X8" s="2104"/>
      <c r="Y8" s="2104"/>
      <c r="Z8" s="2104"/>
      <c r="AA8" s="2104"/>
      <c r="AB8" s="2104"/>
      <c r="AC8" s="2105" t="s">
        <v>658</v>
      </c>
      <c r="AD8" s="2105"/>
      <c r="AE8" s="2105"/>
      <c r="AF8" s="2105"/>
      <c r="AG8" s="2105"/>
      <c r="AH8" s="2105"/>
    </row>
    <row r="9" spans="1:34" s="4" customFormat="1" ht="40.5" customHeight="1" x14ac:dyDescent="0.2">
      <c r="A9" s="2102"/>
      <c r="B9" s="2047"/>
      <c r="C9" s="2097" t="s">
        <v>659</v>
      </c>
      <c r="D9" s="2097"/>
      <c r="E9" s="1829" t="s">
        <v>660</v>
      </c>
      <c r="F9" s="1829"/>
      <c r="G9" s="2097" t="s">
        <v>661</v>
      </c>
      <c r="H9" s="2097"/>
      <c r="I9" s="2097"/>
      <c r="J9" s="2097"/>
      <c r="K9" s="2097"/>
      <c r="L9" s="2097" t="s">
        <v>660</v>
      </c>
      <c r="M9" s="2097"/>
      <c r="N9" s="2096" t="s">
        <v>661</v>
      </c>
      <c r="O9" s="2096"/>
      <c r="P9" s="2096"/>
      <c r="Q9" s="2097" t="s">
        <v>660</v>
      </c>
      <c r="R9" s="2097"/>
      <c r="S9" s="2097"/>
      <c r="T9" s="2096" t="s">
        <v>661</v>
      </c>
      <c r="U9" s="2096"/>
      <c r="V9" s="2096"/>
      <c r="W9" s="2096"/>
      <c r="X9" s="2096"/>
      <c r="Y9" s="2096"/>
      <c r="Z9" s="2096" t="s">
        <v>662</v>
      </c>
      <c r="AA9" s="2096"/>
      <c r="AB9" s="2096"/>
      <c r="AC9" s="2105"/>
      <c r="AD9" s="2105"/>
      <c r="AE9" s="2105"/>
      <c r="AF9" s="2105"/>
      <c r="AG9" s="2105"/>
      <c r="AH9" s="2105"/>
    </row>
    <row r="10" spans="1:34" s="4" customFormat="1" ht="27" customHeight="1" x14ac:dyDescent="0.2">
      <c r="A10" s="2102"/>
      <c r="B10" s="2047"/>
      <c r="C10" s="43">
        <v>43466</v>
      </c>
      <c r="D10" s="43">
        <v>43830</v>
      </c>
      <c r="E10" s="43">
        <v>43466</v>
      </c>
      <c r="F10" s="43">
        <v>43830</v>
      </c>
      <c r="G10" s="43">
        <v>43466</v>
      </c>
      <c r="H10" s="43">
        <v>43586</v>
      </c>
      <c r="I10" s="43">
        <v>43739</v>
      </c>
      <c r="J10" s="43">
        <v>43814</v>
      </c>
      <c r="K10" s="43">
        <v>43830</v>
      </c>
      <c r="L10" s="43">
        <v>43466</v>
      </c>
      <c r="M10" s="43">
        <v>43830</v>
      </c>
      <c r="N10" s="43">
        <v>43466</v>
      </c>
      <c r="O10" s="1087">
        <v>43497</v>
      </c>
      <c r="P10" s="43">
        <v>43830</v>
      </c>
      <c r="Q10" s="43">
        <v>43466</v>
      </c>
      <c r="R10" s="43">
        <v>43497</v>
      </c>
      <c r="S10" s="43">
        <v>43830</v>
      </c>
      <c r="T10" s="43">
        <v>43466</v>
      </c>
      <c r="U10" s="1087">
        <v>43497</v>
      </c>
      <c r="V10" s="43">
        <v>43586</v>
      </c>
      <c r="W10" s="43">
        <v>43739</v>
      </c>
      <c r="X10" s="43">
        <v>43814</v>
      </c>
      <c r="Y10" s="43">
        <v>43830</v>
      </c>
      <c r="Z10" s="43">
        <v>43466</v>
      </c>
      <c r="AA10" s="43">
        <v>43497</v>
      </c>
      <c r="AB10" s="43">
        <v>43830</v>
      </c>
      <c r="AC10" s="43">
        <v>43466</v>
      </c>
      <c r="AD10" s="1087">
        <v>43497</v>
      </c>
      <c r="AE10" s="43">
        <v>43586</v>
      </c>
      <c r="AF10" s="789">
        <v>43739</v>
      </c>
      <c r="AG10" s="789">
        <v>43814</v>
      </c>
      <c r="AH10" s="43">
        <v>43830</v>
      </c>
    </row>
    <row r="11" spans="1:34" s="4" customFormat="1" ht="13.9" customHeight="1" x14ac:dyDescent="0.25">
      <c r="A11" s="44"/>
      <c r="B11" s="3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</row>
    <row r="12" spans="1:34" s="4" customFormat="1" ht="13.9" customHeight="1" x14ac:dyDescent="0.25">
      <c r="A12" s="44" t="s">
        <v>478</v>
      </c>
      <c r="B12" s="46" t="s">
        <v>1200</v>
      </c>
      <c r="C12" s="975">
        <v>6</v>
      </c>
      <c r="D12" s="975">
        <f>C12</f>
        <v>6</v>
      </c>
      <c r="E12" s="977"/>
      <c r="F12" s="975">
        <f>+E12</f>
        <v>0</v>
      </c>
      <c r="G12" s="47">
        <v>2</v>
      </c>
      <c r="H12" s="47"/>
      <c r="I12" s="47"/>
      <c r="J12" s="47"/>
      <c r="K12" s="47" t="s">
        <v>663</v>
      </c>
      <c r="L12" s="47"/>
      <c r="M12" s="47"/>
      <c r="N12" s="47" t="s">
        <v>560</v>
      </c>
      <c r="O12" s="47"/>
      <c r="P12" s="47" t="s">
        <v>560</v>
      </c>
      <c r="Q12" s="47" t="s">
        <v>560</v>
      </c>
      <c r="R12" s="47"/>
      <c r="S12" s="47" t="s">
        <v>560</v>
      </c>
      <c r="T12" s="975">
        <f>C12+G12</f>
        <v>8</v>
      </c>
      <c r="U12" s="975"/>
      <c r="V12" s="975"/>
      <c r="W12" s="975">
        <v>0</v>
      </c>
      <c r="X12" s="975"/>
      <c r="Y12" s="975">
        <f>D12+K12</f>
        <v>8</v>
      </c>
      <c r="Z12" s="975">
        <v>0</v>
      </c>
      <c r="AA12" s="975"/>
      <c r="AB12" s="975">
        <f>Z12</f>
        <v>0</v>
      </c>
      <c r="AC12" s="978">
        <f>C12+E12/2+L12/2+Q12/2+G12+N12</f>
        <v>8</v>
      </c>
      <c r="AD12" s="978"/>
      <c r="AE12" s="471"/>
      <c r="AF12" s="471"/>
      <c r="AG12" s="471"/>
      <c r="AH12" s="471">
        <f>AC12+AF12</f>
        <v>8</v>
      </c>
    </row>
    <row r="13" spans="1:34" s="4" customFormat="1" ht="13.9" customHeight="1" x14ac:dyDescent="0.25">
      <c r="A13" s="44"/>
      <c r="B13" s="31"/>
      <c r="C13" s="48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</row>
    <row r="14" spans="1:34" s="17" customFormat="1" ht="14.45" customHeight="1" x14ac:dyDescent="0.25">
      <c r="A14" s="5" t="s">
        <v>486</v>
      </c>
      <c r="B14" s="49" t="s">
        <v>1353</v>
      </c>
      <c r="C14" s="50">
        <v>3</v>
      </c>
      <c r="D14" s="51">
        <f>C14</f>
        <v>3</v>
      </c>
      <c r="E14" s="51"/>
      <c r="F14" s="51"/>
      <c r="G14" s="51">
        <v>36</v>
      </c>
      <c r="H14" s="903">
        <v>2</v>
      </c>
      <c r="I14" s="903">
        <v>-2</v>
      </c>
      <c r="J14" s="903">
        <v>1</v>
      </c>
      <c r="K14" s="51">
        <f>G14+H14+I14+J14</f>
        <v>37</v>
      </c>
      <c r="L14" s="51"/>
      <c r="M14" s="51"/>
      <c r="N14" s="51">
        <v>0</v>
      </c>
      <c r="O14" s="51"/>
      <c r="P14" s="51">
        <v>0</v>
      </c>
      <c r="Q14" s="51">
        <v>0</v>
      </c>
      <c r="R14" s="51"/>
      <c r="S14" s="51">
        <v>0</v>
      </c>
      <c r="T14" s="51">
        <f>C14+G14+N14</f>
        <v>39</v>
      </c>
      <c r="U14" s="51"/>
      <c r="V14" s="51">
        <v>2</v>
      </c>
      <c r="W14" s="790">
        <v>-2</v>
      </c>
      <c r="X14" s="790">
        <v>1</v>
      </c>
      <c r="Y14" s="790">
        <f>T14+U14+V14+W14+X14</f>
        <v>40</v>
      </c>
      <c r="Z14" s="51">
        <v>0</v>
      </c>
      <c r="AA14" s="51"/>
      <c r="AB14" s="51">
        <v>0</v>
      </c>
      <c r="AC14" s="53">
        <f>T14</f>
        <v>39</v>
      </c>
      <c r="AD14" s="53"/>
      <c r="AE14" s="884">
        <v>2</v>
      </c>
      <c r="AF14" s="884">
        <f>W14</f>
        <v>-2</v>
      </c>
      <c r="AG14" s="884">
        <f>X14</f>
        <v>1</v>
      </c>
      <c r="AH14" s="53">
        <f>AC14+AE14+AF14+AD14+AG14</f>
        <v>40</v>
      </c>
    </row>
    <row r="15" spans="1:34" s="17" customFormat="1" ht="14.45" customHeight="1" x14ac:dyDescent="0.25">
      <c r="A15" s="5"/>
    </row>
    <row r="16" spans="1:34" ht="15.75" customHeight="1" x14ac:dyDescent="0.25">
      <c r="A16" s="5"/>
      <c r="B16" s="54"/>
      <c r="C16" s="55"/>
      <c r="D16" s="56"/>
      <c r="E16" s="56"/>
      <c r="F16" s="56"/>
      <c r="G16" s="56"/>
      <c r="H16" s="56"/>
      <c r="I16" s="56"/>
      <c r="J16" s="56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5" s="17" customFormat="1" ht="14.45" customHeight="1" x14ac:dyDescent="0.25">
      <c r="A17" s="5" t="s">
        <v>487</v>
      </c>
      <c r="B17" s="59" t="s">
        <v>665</v>
      </c>
      <c r="C17" s="60"/>
      <c r="D17" s="61"/>
      <c r="E17" s="61"/>
      <c r="F17" s="61"/>
      <c r="G17" s="61"/>
      <c r="H17" s="61"/>
      <c r="I17" s="61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3"/>
      <c r="Z17" s="63"/>
      <c r="AA17" s="63"/>
      <c r="AB17" s="63"/>
      <c r="AC17" s="63"/>
      <c r="AD17" s="63"/>
      <c r="AE17" s="63"/>
      <c r="AF17" s="63"/>
      <c r="AG17" s="63"/>
      <c r="AH17" s="63"/>
    </row>
    <row r="18" spans="1:35" s="17" customFormat="1" ht="14.45" customHeight="1" x14ac:dyDescent="0.25">
      <c r="A18" s="5" t="s">
        <v>488</v>
      </c>
      <c r="B18" s="64" t="s">
        <v>666</v>
      </c>
      <c r="C18" s="878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902">
        <v>22.5</v>
      </c>
      <c r="O18" s="902"/>
      <c r="P18" s="903">
        <f t="shared" ref="P18:P25" si="0">N18</f>
        <v>22.5</v>
      </c>
      <c r="Q18" s="902"/>
      <c r="R18" s="902"/>
      <c r="S18" s="902"/>
      <c r="T18" s="903">
        <f t="shared" ref="T18:T26" si="1">C18+G18+N18</f>
        <v>22.5</v>
      </c>
      <c r="U18" s="903"/>
      <c r="V18" s="903"/>
      <c r="W18" s="903"/>
      <c r="X18" s="903"/>
      <c r="Y18" s="903">
        <f t="shared" ref="Y18:Y25" si="2">D18+K18+P18</f>
        <v>22.5</v>
      </c>
      <c r="Z18" s="903"/>
      <c r="AA18" s="903"/>
      <c r="AB18" s="903"/>
      <c r="AC18" s="903">
        <f t="shared" ref="AC18:AC23" si="3">T18+Z18/2</f>
        <v>22.5</v>
      </c>
      <c r="AD18" s="903"/>
      <c r="AE18" s="903"/>
      <c r="AF18" s="903"/>
      <c r="AG18" s="903"/>
      <c r="AH18" s="903">
        <f t="shared" ref="AH18:AH25" si="4">Y18+AB18/2</f>
        <v>22.5</v>
      </c>
      <c r="AI18" s="879"/>
    </row>
    <row r="19" spans="1:35" s="17" customFormat="1" ht="14.45" customHeight="1" x14ac:dyDescent="0.25">
      <c r="A19" s="5" t="s">
        <v>489</v>
      </c>
      <c r="B19" s="64" t="s">
        <v>927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>
        <v>20</v>
      </c>
      <c r="O19" s="66"/>
      <c r="P19" s="51">
        <f t="shared" si="0"/>
        <v>20</v>
      </c>
      <c r="Q19" s="66"/>
      <c r="R19" s="66"/>
      <c r="S19" s="66"/>
      <c r="T19" s="51">
        <f t="shared" si="1"/>
        <v>20</v>
      </c>
      <c r="U19" s="51"/>
      <c r="V19" s="51"/>
      <c r="W19" s="51"/>
      <c r="X19" s="51"/>
      <c r="Y19" s="51">
        <f t="shared" si="2"/>
        <v>20</v>
      </c>
      <c r="Z19" s="51"/>
      <c r="AA19" s="51"/>
      <c r="AB19" s="51"/>
      <c r="AC19" s="51">
        <f t="shared" si="3"/>
        <v>20</v>
      </c>
      <c r="AD19" s="51"/>
      <c r="AE19" s="51"/>
      <c r="AF19" s="51"/>
      <c r="AG19" s="51"/>
      <c r="AH19" s="51">
        <f t="shared" si="4"/>
        <v>20</v>
      </c>
    </row>
    <row r="20" spans="1:35" s="17" customFormat="1" ht="14.45" customHeight="1" x14ac:dyDescent="0.25">
      <c r="A20" s="5" t="s">
        <v>490</v>
      </c>
      <c r="B20" s="64" t="s">
        <v>928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>
        <v>9</v>
      </c>
      <c r="O20" s="66"/>
      <c r="P20" s="51">
        <f t="shared" si="0"/>
        <v>9</v>
      </c>
      <c r="Q20" s="66"/>
      <c r="R20" s="66"/>
      <c r="S20" s="66"/>
      <c r="T20" s="51">
        <f t="shared" si="1"/>
        <v>9</v>
      </c>
      <c r="U20" s="51"/>
      <c r="V20" s="51"/>
      <c r="W20" s="51"/>
      <c r="X20" s="51"/>
      <c r="Y20" s="51">
        <f t="shared" si="2"/>
        <v>9</v>
      </c>
      <c r="Z20" s="51"/>
      <c r="AA20" s="51"/>
      <c r="AB20" s="51"/>
      <c r="AC20" s="51">
        <f t="shared" si="3"/>
        <v>9</v>
      </c>
      <c r="AD20" s="51"/>
      <c r="AE20" s="51"/>
      <c r="AF20" s="51"/>
      <c r="AG20" s="51"/>
      <c r="AH20" s="51">
        <f t="shared" si="4"/>
        <v>9</v>
      </c>
    </row>
    <row r="21" spans="1:35" s="17" customFormat="1" ht="14.45" customHeight="1" x14ac:dyDescent="0.25">
      <c r="A21" s="5" t="s">
        <v>491</v>
      </c>
      <c r="B21" s="64" t="s">
        <v>929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>
        <v>11</v>
      </c>
      <c r="O21" s="66"/>
      <c r="P21" s="51">
        <f t="shared" si="0"/>
        <v>11</v>
      </c>
      <c r="Q21" s="66"/>
      <c r="R21" s="66"/>
      <c r="S21" s="66"/>
      <c r="T21" s="51">
        <f t="shared" si="1"/>
        <v>11</v>
      </c>
      <c r="U21" s="51"/>
      <c r="V21" s="51"/>
      <c r="W21" s="51"/>
      <c r="X21" s="51"/>
      <c r="Y21" s="51">
        <f t="shared" si="2"/>
        <v>11</v>
      </c>
      <c r="Z21" s="51"/>
      <c r="AA21" s="51"/>
      <c r="AB21" s="51"/>
      <c r="AC21" s="51">
        <f t="shared" si="3"/>
        <v>11</v>
      </c>
      <c r="AD21" s="51"/>
      <c r="AE21" s="51"/>
      <c r="AF21" s="51"/>
      <c r="AG21" s="51"/>
      <c r="AH21" s="51">
        <f t="shared" si="4"/>
        <v>11</v>
      </c>
    </row>
    <row r="22" spans="1:35" s="17" customFormat="1" ht="14.45" customHeight="1" x14ac:dyDescent="0.25">
      <c r="A22" s="5" t="s">
        <v>492</v>
      </c>
      <c r="B22" s="64" t="s">
        <v>667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>
        <v>1</v>
      </c>
      <c r="O22" s="66"/>
      <c r="P22" s="51">
        <f t="shared" si="0"/>
        <v>1</v>
      </c>
      <c r="Q22" s="66"/>
      <c r="R22" s="66"/>
      <c r="S22" s="66"/>
      <c r="T22" s="51">
        <f t="shared" si="1"/>
        <v>1</v>
      </c>
      <c r="U22" s="51"/>
      <c r="V22" s="51"/>
      <c r="W22" s="51"/>
      <c r="X22" s="51"/>
      <c r="Y22" s="51">
        <f t="shared" si="2"/>
        <v>1</v>
      </c>
      <c r="Z22" s="51"/>
      <c r="AA22" s="51"/>
      <c r="AB22" s="51"/>
      <c r="AC22" s="51">
        <f t="shared" si="3"/>
        <v>1</v>
      </c>
      <c r="AD22" s="51"/>
      <c r="AE22" s="51"/>
      <c r="AF22" s="51"/>
      <c r="AG22" s="51"/>
      <c r="AH22" s="51">
        <f t="shared" si="4"/>
        <v>1</v>
      </c>
    </row>
    <row r="23" spans="1:35" s="17" customFormat="1" ht="14.45" customHeight="1" x14ac:dyDescent="0.25">
      <c r="A23" s="5" t="s">
        <v>493</v>
      </c>
      <c r="B23" s="64" t="s">
        <v>668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>
        <v>5</v>
      </c>
      <c r="O23" s="66"/>
      <c r="P23" s="51">
        <f t="shared" si="0"/>
        <v>5</v>
      </c>
      <c r="Q23" s="66"/>
      <c r="R23" s="66"/>
      <c r="S23" s="66"/>
      <c r="T23" s="51">
        <f t="shared" si="1"/>
        <v>5</v>
      </c>
      <c r="U23" s="51"/>
      <c r="V23" s="51"/>
      <c r="W23" s="51"/>
      <c r="X23" s="51"/>
      <c r="Y23" s="51">
        <f t="shared" si="2"/>
        <v>5</v>
      </c>
      <c r="Z23" s="51"/>
      <c r="AA23" s="51"/>
      <c r="AB23" s="51"/>
      <c r="AC23" s="51">
        <f t="shared" si="3"/>
        <v>5</v>
      </c>
      <c r="AD23" s="51"/>
      <c r="AE23" s="51"/>
      <c r="AF23" s="51"/>
      <c r="AG23" s="51"/>
      <c r="AH23" s="51">
        <f t="shared" si="4"/>
        <v>5</v>
      </c>
    </row>
    <row r="24" spans="1:35" s="17" customFormat="1" ht="14.45" customHeight="1" x14ac:dyDescent="0.25">
      <c r="A24" s="5" t="s">
        <v>530</v>
      </c>
      <c r="B24" s="64" t="s">
        <v>911</v>
      </c>
      <c r="C24" s="65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>
        <v>3</v>
      </c>
      <c r="O24" s="66"/>
      <c r="P24" s="51">
        <f t="shared" si="0"/>
        <v>3</v>
      </c>
      <c r="Q24" s="66"/>
      <c r="R24" s="66"/>
      <c r="S24" s="66"/>
      <c r="T24" s="51">
        <f t="shared" si="1"/>
        <v>3</v>
      </c>
      <c r="U24" s="51"/>
      <c r="V24" s="51"/>
      <c r="W24" s="51"/>
      <c r="X24" s="51"/>
      <c r="Y24" s="51">
        <f t="shared" si="2"/>
        <v>3</v>
      </c>
      <c r="Z24" s="51"/>
      <c r="AA24" s="51"/>
      <c r="AB24" s="51"/>
      <c r="AC24" s="51">
        <v>3</v>
      </c>
      <c r="AD24" s="51"/>
      <c r="AE24" s="51"/>
      <c r="AF24" s="51"/>
      <c r="AG24" s="51"/>
      <c r="AH24" s="51">
        <f t="shared" si="4"/>
        <v>3</v>
      </c>
    </row>
    <row r="25" spans="1:35" s="17" customFormat="1" ht="14.45" customHeight="1" x14ac:dyDescent="0.25">
      <c r="A25" s="5" t="s">
        <v>531</v>
      </c>
      <c r="B25" s="64" t="s">
        <v>669</v>
      </c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>
        <v>4</v>
      </c>
      <c r="O25" s="66"/>
      <c r="P25" s="51">
        <f t="shared" si="0"/>
        <v>4</v>
      </c>
      <c r="Q25" s="66"/>
      <c r="R25" s="66"/>
      <c r="S25" s="66"/>
      <c r="T25" s="51">
        <f t="shared" si="1"/>
        <v>4</v>
      </c>
      <c r="U25" s="51"/>
      <c r="V25" s="51"/>
      <c r="W25" s="51"/>
      <c r="X25" s="51"/>
      <c r="Y25" s="51">
        <f t="shared" si="2"/>
        <v>4</v>
      </c>
      <c r="Z25" s="51"/>
      <c r="AA25" s="51"/>
      <c r="AB25" s="51"/>
      <c r="AC25" s="51">
        <f>T25+Z25/2</f>
        <v>4</v>
      </c>
      <c r="AD25" s="51"/>
      <c r="AE25" s="51"/>
      <c r="AF25" s="51"/>
      <c r="AG25" s="51"/>
      <c r="AH25" s="51">
        <f t="shared" si="4"/>
        <v>4</v>
      </c>
    </row>
    <row r="26" spans="1:35" s="17" customFormat="1" ht="14.45" customHeight="1" x14ac:dyDescent="0.25">
      <c r="A26" s="5" t="s">
        <v>532</v>
      </c>
      <c r="B26" s="49" t="s">
        <v>670</v>
      </c>
      <c r="C26" s="50"/>
      <c r="D26" s="67"/>
      <c r="E26" s="67"/>
      <c r="F26" s="67"/>
      <c r="G26" s="67"/>
      <c r="H26" s="67"/>
      <c r="I26" s="67"/>
      <c r="J26" s="67"/>
      <c r="K26" s="66"/>
      <c r="L26" s="66"/>
      <c r="M26" s="66"/>
      <c r="N26" s="51">
        <f>SUM(N18:N25)</f>
        <v>75.5</v>
      </c>
      <c r="O26" s="51"/>
      <c r="P26" s="51">
        <f>SUM(P18:P25)</f>
        <v>75.5</v>
      </c>
      <c r="Q26" s="51">
        <v>0</v>
      </c>
      <c r="R26" s="51"/>
      <c r="S26" s="51">
        <v>0</v>
      </c>
      <c r="T26" s="51">
        <f t="shared" si="1"/>
        <v>75.5</v>
      </c>
      <c r="U26" s="51"/>
      <c r="V26" s="51"/>
      <c r="W26" s="51"/>
      <c r="X26" s="51"/>
      <c r="Y26" s="51">
        <f>SUM(Y18:Y25)</f>
        <v>75.5</v>
      </c>
      <c r="Z26" s="51">
        <v>0</v>
      </c>
      <c r="AA26" s="51"/>
      <c r="AB26" s="51">
        <v>0</v>
      </c>
      <c r="AC26" s="263">
        <f>T26+Z26/2</f>
        <v>75.5</v>
      </c>
      <c r="AD26" s="263"/>
      <c r="AE26" s="263"/>
      <c r="AF26" s="790">
        <v>0</v>
      </c>
      <c r="AG26" s="790"/>
      <c r="AH26" s="51">
        <f>SUM(AH18:AH25)</f>
        <v>75.5</v>
      </c>
      <c r="AI26" s="746"/>
    </row>
    <row r="27" spans="1:35" s="17" customFormat="1" ht="13.5" customHeight="1" x14ac:dyDescent="0.25">
      <c r="A27" s="5"/>
      <c r="B27" s="128"/>
      <c r="C27" s="129"/>
      <c r="D27" s="130"/>
      <c r="E27" s="130"/>
      <c r="F27" s="130"/>
      <c r="G27" s="130"/>
      <c r="H27" s="130"/>
      <c r="I27" s="130"/>
      <c r="J27" s="130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</row>
    <row r="28" spans="1:35" ht="12.75" customHeight="1" x14ac:dyDescent="0.25">
      <c r="A28" s="5"/>
      <c r="B28" s="54"/>
      <c r="C28" s="55"/>
      <c r="D28" s="56"/>
      <c r="E28" s="56"/>
      <c r="F28" s="56"/>
      <c r="G28" s="56"/>
      <c r="H28" s="56"/>
      <c r="I28" s="56"/>
      <c r="J28" s="56"/>
      <c r="K28" s="74"/>
      <c r="L28" s="74"/>
      <c r="M28" s="74"/>
      <c r="N28" s="74"/>
      <c r="O28" s="74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</row>
    <row r="29" spans="1:35" s="17" customFormat="1" ht="27" customHeight="1" x14ac:dyDescent="0.25">
      <c r="A29" s="5" t="s">
        <v>533</v>
      </c>
      <c r="B29" s="59" t="s">
        <v>671</v>
      </c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61"/>
    </row>
    <row r="30" spans="1:35" s="17" customFormat="1" ht="27.75" customHeight="1" x14ac:dyDescent="0.25">
      <c r="A30" s="5" t="s">
        <v>534</v>
      </c>
      <c r="B30" s="1081" t="s">
        <v>1222</v>
      </c>
      <c r="C30" s="1082"/>
      <c r="D30" s="902"/>
      <c r="E30" s="902"/>
      <c r="F30" s="902"/>
      <c r="G30" s="902"/>
      <c r="H30" s="902"/>
      <c r="I30" s="902"/>
      <c r="J30" s="902"/>
      <c r="K30" s="903"/>
      <c r="L30" s="903"/>
      <c r="M30" s="903"/>
      <c r="N30" s="902">
        <v>7</v>
      </c>
      <c r="O30" s="902">
        <v>1</v>
      </c>
      <c r="P30" s="903">
        <f>N30+O30</f>
        <v>8</v>
      </c>
      <c r="Q30" s="902"/>
      <c r="R30" s="902"/>
      <c r="S30" s="902"/>
      <c r="T30" s="903">
        <f>C30+G30+N30</f>
        <v>7</v>
      </c>
      <c r="U30" s="903">
        <v>1</v>
      </c>
      <c r="V30" s="903"/>
      <c r="W30" s="903"/>
      <c r="X30" s="903"/>
      <c r="Y30" s="903">
        <f>D30+K30+P30</f>
        <v>8</v>
      </c>
      <c r="Z30" s="903"/>
      <c r="AA30" s="903"/>
      <c r="AB30" s="903"/>
      <c r="AC30" s="903">
        <f t="shared" ref="AC30:AC42" si="5">C30+G30+N30+Q30/2</f>
        <v>7</v>
      </c>
      <c r="AD30" s="903">
        <f>O30</f>
        <v>1</v>
      </c>
      <c r="AE30" s="903"/>
      <c r="AF30" s="902"/>
      <c r="AG30" s="902"/>
      <c r="AH30" s="903">
        <f>D30+K30+P30+S30/2</f>
        <v>8</v>
      </c>
      <c r="AI30" s="29"/>
    </row>
    <row r="31" spans="1:35" s="17" customFormat="1" ht="14.45" customHeight="1" x14ac:dyDescent="0.25">
      <c r="A31" s="5" t="s">
        <v>535</v>
      </c>
      <c r="B31" s="1081" t="s">
        <v>672</v>
      </c>
      <c r="C31" s="1082"/>
      <c r="D31" s="902"/>
      <c r="E31" s="902"/>
      <c r="F31" s="902"/>
      <c r="G31" s="902"/>
      <c r="H31" s="902"/>
      <c r="I31" s="902"/>
      <c r="J31" s="902"/>
      <c r="K31" s="902"/>
      <c r="L31" s="902"/>
      <c r="M31" s="902"/>
      <c r="N31" s="902">
        <v>1</v>
      </c>
      <c r="O31" s="902"/>
      <c r="P31" s="903">
        <f t="shared" ref="P31:P40" si="6">N31</f>
        <v>1</v>
      </c>
      <c r="Q31" s="902"/>
      <c r="R31" s="902"/>
      <c r="S31" s="902"/>
      <c r="T31" s="903">
        <f>C31+G31+N31</f>
        <v>1</v>
      </c>
      <c r="U31" s="903"/>
      <c r="V31" s="903"/>
      <c r="W31" s="903"/>
      <c r="X31" s="903"/>
      <c r="Y31" s="903">
        <f>D31+K31+P31</f>
        <v>1</v>
      </c>
      <c r="Z31" s="903"/>
      <c r="AA31" s="903"/>
      <c r="AB31" s="903"/>
      <c r="AC31" s="903">
        <f t="shared" si="5"/>
        <v>1</v>
      </c>
      <c r="AD31" s="903"/>
      <c r="AE31" s="903"/>
      <c r="AF31" s="902"/>
      <c r="AG31" s="902"/>
      <c r="AH31" s="903">
        <f>D31+K31+P31+S31/2</f>
        <v>1</v>
      </c>
      <c r="AI31" s="29"/>
    </row>
    <row r="32" spans="1:35" s="17" customFormat="1" ht="14.25" customHeight="1" x14ac:dyDescent="0.25">
      <c r="A32" s="5" t="s">
        <v>536</v>
      </c>
      <c r="B32" s="1081" t="s">
        <v>1216</v>
      </c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>
        <v>31</v>
      </c>
      <c r="O32" s="66"/>
      <c r="P32" s="51">
        <f t="shared" si="6"/>
        <v>31</v>
      </c>
      <c r="Q32" s="66">
        <v>1</v>
      </c>
      <c r="R32" s="66">
        <v>-1</v>
      </c>
      <c r="S32" s="66">
        <f>Q32+R32</f>
        <v>0</v>
      </c>
      <c r="T32" s="51">
        <v>31</v>
      </c>
      <c r="U32" s="51"/>
      <c r="V32" s="51"/>
      <c r="W32" s="51"/>
      <c r="X32" s="51"/>
      <c r="Y32" s="51">
        <f>D32+K32+P32</f>
        <v>31</v>
      </c>
      <c r="Z32" s="903">
        <f>Q32+L32+E32</f>
        <v>1</v>
      </c>
      <c r="AA32" s="903">
        <v>-1</v>
      </c>
      <c r="AB32" s="903">
        <f>F32+M32+S32</f>
        <v>0</v>
      </c>
      <c r="AC32" s="903">
        <f t="shared" si="5"/>
        <v>31.5</v>
      </c>
      <c r="AD32" s="903">
        <v>-0.5</v>
      </c>
      <c r="AE32" s="903"/>
      <c r="AF32" s="902"/>
      <c r="AG32" s="902"/>
      <c r="AH32" s="903">
        <f>D32+K32+P32+S32/2+AD32</f>
        <v>30.5</v>
      </c>
      <c r="AI32" s="29"/>
    </row>
    <row r="33" spans="1:37" s="17" customFormat="1" ht="29.25" customHeight="1" x14ac:dyDescent="0.25">
      <c r="A33" s="5" t="s">
        <v>538</v>
      </c>
      <c r="B33" s="1081" t="s">
        <v>1217</v>
      </c>
      <c r="C33" s="1082"/>
      <c r="D33" s="902"/>
      <c r="E33" s="902"/>
      <c r="F33" s="902"/>
      <c r="G33" s="902"/>
      <c r="H33" s="902"/>
      <c r="I33" s="902"/>
      <c r="J33" s="902"/>
      <c r="K33" s="902"/>
      <c r="L33" s="902"/>
      <c r="M33" s="902"/>
      <c r="N33" s="1083">
        <v>2</v>
      </c>
      <c r="O33" s="1083"/>
      <c r="P33" s="1084">
        <f t="shared" si="6"/>
        <v>2</v>
      </c>
      <c r="Q33" s="1083"/>
      <c r="R33" s="1083"/>
      <c r="S33" s="1083"/>
      <c r="T33" s="1084">
        <f>C33+G33+N33</f>
        <v>2</v>
      </c>
      <c r="U33" s="1084"/>
      <c r="V33" s="1084"/>
      <c r="W33" s="1084"/>
      <c r="X33" s="1084"/>
      <c r="Y33" s="1084">
        <f>D33+K33+P33</f>
        <v>2</v>
      </c>
      <c r="Z33" s="1084"/>
      <c r="AA33" s="1084"/>
      <c r="AB33" s="1084"/>
      <c r="AC33" s="1084">
        <f t="shared" si="5"/>
        <v>2</v>
      </c>
      <c r="AD33" s="1084"/>
      <c r="AE33" s="1084"/>
      <c r="AF33" s="1083"/>
      <c r="AG33" s="1083"/>
      <c r="AH33" s="1084">
        <f>D33+K33+P33+S33/2</f>
        <v>2</v>
      </c>
      <c r="AI33" s="29"/>
    </row>
    <row r="34" spans="1:37" s="17" customFormat="1" ht="14.45" customHeight="1" x14ac:dyDescent="0.25">
      <c r="A34" s="5" t="s">
        <v>539</v>
      </c>
      <c r="B34" s="1081" t="s">
        <v>687</v>
      </c>
      <c r="C34" s="1082"/>
      <c r="D34" s="902"/>
      <c r="E34" s="902"/>
      <c r="F34" s="902"/>
      <c r="G34" s="902"/>
      <c r="H34" s="902"/>
      <c r="I34" s="902"/>
      <c r="J34" s="902"/>
      <c r="K34" s="902"/>
      <c r="L34" s="902"/>
      <c r="M34" s="902"/>
      <c r="N34" s="902">
        <v>2</v>
      </c>
      <c r="O34" s="902"/>
      <c r="P34" s="903">
        <f t="shared" si="6"/>
        <v>2</v>
      </c>
      <c r="Q34" s="902"/>
      <c r="R34" s="902"/>
      <c r="S34" s="902"/>
      <c r="T34" s="903">
        <f>C34+G34+N34</f>
        <v>2</v>
      </c>
      <c r="U34" s="903"/>
      <c r="V34" s="903"/>
      <c r="W34" s="903"/>
      <c r="X34" s="903"/>
      <c r="Y34" s="903">
        <f>D34+K34+P34</f>
        <v>2</v>
      </c>
      <c r="Z34" s="903"/>
      <c r="AA34" s="903"/>
      <c r="AB34" s="903"/>
      <c r="AC34" s="903">
        <f t="shared" si="5"/>
        <v>2</v>
      </c>
      <c r="AD34" s="903"/>
      <c r="AE34" s="903"/>
      <c r="AF34" s="903"/>
      <c r="AG34" s="903"/>
      <c r="AH34" s="903">
        <f>D34+K34+P34+S34/2</f>
        <v>2</v>
      </c>
      <c r="AI34" s="29"/>
    </row>
    <row r="35" spans="1:37" s="17" customFormat="1" ht="14.45" customHeight="1" x14ac:dyDescent="0.25">
      <c r="A35" s="5" t="s">
        <v>540</v>
      </c>
      <c r="B35" s="1081" t="s">
        <v>673</v>
      </c>
      <c r="C35" s="1082"/>
      <c r="D35" s="902"/>
      <c r="E35" s="902"/>
      <c r="F35" s="902"/>
      <c r="G35" s="902"/>
      <c r="H35" s="902"/>
      <c r="I35" s="902"/>
      <c r="J35" s="902"/>
      <c r="K35" s="902"/>
      <c r="L35" s="902"/>
      <c r="M35" s="902"/>
      <c r="N35" s="902">
        <v>2</v>
      </c>
      <c r="O35" s="902">
        <v>1</v>
      </c>
      <c r="P35" s="903">
        <f>N35+O35</f>
        <v>3</v>
      </c>
      <c r="Q35" s="902"/>
      <c r="R35" s="902"/>
      <c r="S35" s="902"/>
      <c r="T35" s="903">
        <v>2</v>
      </c>
      <c r="U35" s="903">
        <v>1</v>
      </c>
      <c r="V35" s="903"/>
      <c r="W35" s="903"/>
      <c r="X35" s="903"/>
      <c r="Y35" s="903">
        <f>T35+U35</f>
        <v>3</v>
      </c>
      <c r="Z35" s="903"/>
      <c r="AA35" s="903"/>
      <c r="AB35" s="903"/>
      <c r="AC35" s="903">
        <f t="shared" si="5"/>
        <v>2</v>
      </c>
      <c r="AD35" s="903">
        <f>U35</f>
        <v>1</v>
      </c>
      <c r="AE35" s="903"/>
      <c r="AF35" s="902"/>
      <c r="AG35" s="902"/>
      <c r="AH35" s="903">
        <f>AD35+AC35</f>
        <v>3</v>
      </c>
      <c r="AI35" s="29"/>
      <c r="AK35" s="538"/>
    </row>
    <row r="36" spans="1:37" s="17" customFormat="1" ht="14.45" customHeight="1" x14ac:dyDescent="0.25">
      <c r="A36" s="5" t="s">
        <v>541</v>
      </c>
      <c r="B36" s="1081" t="s">
        <v>674</v>
      </c>
      <c r="C36" s="1082"/>
      <c r="D36" s="902"/>
      <c r="E36" s="902"/>
      <c r="F36" s="902"/>
      <c r="G36" s="902"/>
      <c r="H36" s="902"/>
      <c r="I36" s="902"/>
      <c r="J36" s="902"/>
      <c r="K36" s="902"/>
      <c r="L36" s="902"/>
      <c r="M36" s="902"/>
      <c r="N36" s="902">
        <v>5</v>
      </c>
      <c r="O36" s="902"/>
      <c r="P36" s="903">
        <f t="shared" si="6"/>
        <v>5</v>
      </c>
      <c r="Q36" s="902"/>
      <c r="R36" s="902"/>
      <c r="S36" s="902"/>
      <c r="T36" s="903">
        <f>N36+Q36</f>
        <v>5</v>
      </c>
      <c r="U36" s="903"/>
      <c r="V36" s="903"/>
      <c r="W36" s="903"/>
      <c r="X36" s="903"/>
      <c r="Y36" s="903">
        <f>D36+K36+P36</f>
        <v>5</v>
      </c>
      <c r="Z36" s="903"/>
      <c r="AA36" s="903"/>
      <c r="AB36" s="903"/>
      <c r="AC36" s="903">
        <f t="shared" si="5"/>
        <v>5</v>
      </c>
      <c r="AD36" s="903"/>
      <c r="AE36" s="903"/>
      <c r="AF36" s="902"/>
      <c r="AG36" s="902"/>
      <c r="AH36" s="903">
        <f>D36+K36+P36+S36/2</f>
        <v>5</v>
      </c>
      <c r="AI36" s="29"/>
    </row>
    <row r="37" spans="1:37" s="17" customFormat="1" ht="29.25" customHeight="1" x14ac:dyDescent="0.25">
      <c r="A37" s="5" t="s">
        <v>542</v>
      </c>
      <c r="B37" s="1081" t="s">
        <v>1221</v>
      </c>
      <c r="C37" s="1082"/>
      <c r="D37" s="902"/>
      <c r="E37" s="902"/>
      <c r="F37" s="902"/>
      <c r="G37" s="902"/>
      <c r="H37" s="902"/>
      <c r="I37" s="902"/>
      <c r="J37" s="902"/>
      <c r="K37" s="902"/>
      <c r="L37" s="902"/>
      <c r="M37" s="902"/>
      <c r="N37" s="902">
        <v>4</v>
      </c>
      <c r="O37" s="902">
        <v>1</v>
      </c>
      <c r="P37" s="903">
        <f>N37+O37</f>
        <v>5</v>
      </c>
      <c r="Q37" s="902"/>
      <c r="R37" s="902"/>
      <c r="S37" s="902"/>
      <c r="T37" s="903">
        <v>4</v>
      </c>
      <c r="U37" s="903">
        <v>1</v>
      </c>
      <c r="V37" s="903"/>
      <c r="W37" s="903"/>
      <c r="X37" s="903"/>
      <c r="Y37" s="903">
        <f>D37+K37+P37</f>
        <v>5</v>
      </c>
      <c r="Z37" s="903"/>
      <c r="AA37" s="903"/>
      <c r="AB37" s="903"/>
      <c r="AC37" s="903">
        <f t="shared" si="5"/>
        <v>4</v>
      </c>
      <c r="AD37" s="903">
        <f>U37</f>
        <v>1</v>
      </c>
      <c r="AE37" s="903"/>
      <c r="AF37" s="902"/>
      <c r="AG37" s="902"/>
      <c r="AH37" s="903">
        <f>D37+K37+P37+S37/2</f>
        <v>5</v>
      </c>
    </row>
    <row r="38" spans="1:37" s="17" customFormat="1" ht="14.45" customHeight="1" x14ac:dyDescent="0.25">
      <c r="A38" s="5" t="s">
        <v>543</v>
      </c>
      <c r="B38" s="1081" t="s">
        <v>1223</v>
      </c>
      <c r="C38" s="1082"/>
      <c r="D38" s="902"/>
      <c r="E38" s="902"/>
      <c r="F38" s="902"/>
      <c r="G38" s="902"/>
      <c r="H38" s="902"/>
      <c r="I38" s="902"/>
      <c r="J38" s="902"/>
      <c r="K38" s="902"/>
      <c r="L38" s="902"/>
      <c r="M38" s="902"/>
      <c r="N38" s="902">
        <v>1</v>
      </c>
      <c r="O38" s="902">
        <v>-1</v>
      </c>
      <c r="P38" s="903">
        <f>N38+O38</f>
        <v>0</v>
      </c>
      <c r="Q38" s="902"/>
      <c r="R38" s="902"/>
      <c r="S38" s="902"/>
      <c r="T38" s="903">
        <v>1</v>
      </c>
      <c r="U38" s="903">
        <f>O38</f>
        <v>-1</v>
      </c>
      <c r="V38" s="903"/>
      <c r="W38" s="903"/>
      <c r="X38" s="903"/>
      <c r="Y38" s="903">
        <f>D38+K38+P38</f>
        <v>0</v>
      </c>
      <c r="Z38" s="903"/>
      <c r="AA38" s="903"/>
      <c r="AB38" s="903"/>
      <c r="AC38" s="903">
        <f t="shared" si="5"/>
        <v>1</v>
      </c>
      <c r="AD38" s="903">
        <f>U38</f>
        <v>-1</v>
      </c>
      <c r="AE38" s="903"/>
      <c r="AF38" s="902"/>
      <c r="AG38" s="902"/>
      <c r="AH38" s="903">
        <f>D38+K38+P38+S38/2</f>
        <v>0</v>
      </c>
    </row>
    <row r="39" spans="1:37" s="17" customFormat="1" ht="42.75" customHeight="1" x14ac:dyDescent="0.25">
      <c r="A39" s="5" t="s">
        <v>544</v>
      </c>
      <c r="B39" s="1081" t="s">
        <v>1219</v>
      </c>
      <c r="C39" s="1082"/>
      <c r="D39" s="902"/>
      <c r="E39" s="902"/>
      <c r="F39" s="902"/>
      <c r="G39" s="902"/>
      <c r="H39" s="902"/>
      <c r="I39" s="902"/>
      <c r="J39" s="902"/>
      <c r="K39" s="902"/>
      <c r="L39" s="902"/>
      <c r="M39" s="902"/>
      <c r="N39" s="902">
        <v>4</v>
      </c>
      <c r="O39" s="902">
        <v>1</v>
      </c>
      <c r="P39" s="903">
        <f t="shared" si="6"/>
        <v>4</v>
      </c>
      <c r="Q39" s="902"/>
      <c r="R39" s="902"/>
      <c r="S39" s="902"/>
      <c r="T39" s="903">
        <v>4</v>
      </c>
      <c r="U39" s="903">
        <f>O39</f>
        <v>1</v>
      </c>
      <c r="V39" s="903"/>
      <c r="W39" s="903"/>
      <c r="X39" s="903"/>
      <c r="Y39" s="903">
        <f>T39+U39</f>
        <v>5</v>
      </c>
      <c r="Z39" s="903"/>
      <c r="AA39" s="903"/>
      <c r="AB39" s="903"/>
      <c r="AC39" s="903">
        <f t="shared" si="5"/>
        <v>4</v>
      </c>
      <c r="AD39" s="903">
        <f>U39</f>
        <v>1</v>
      </c>
      <c r="AE39" s="903"/>
      <c r="AF39" s="902"/>
      <c r="AG39" s="902"/>
      <c r="AH39" s="903">
        <f>D39+K39+P39+S39/2+AD39</f>
        <v>5</v>
      </c>
    </row>
    <row r="40" spans="1:37" s="17" customFormat="1" ht="14.25" customHeight="1" x14ac:dyDescent="0.25">
      <c r="A40" s="5" t="s">
        <v>545</v>
      </c>
      <c r="B40" s="1081" t="s">
        <v>1218</v>
      </c>
      <c r="C40" s="1082"/>
      <c r="D40" s="902"/>
      <c r="E40" s="902"/>
      <c r="F40" s="902"/>
      <c r="G40" s="902"/>
      <c r="H40" s="902"/>
      <c r="I40" s="902"/>
      <c r="J40" s="902"/>
      <c r="K40" s="902"/>
      <c r="L40" s="902"/>
      <c r="M40" s="902"/>
      <c r="N40" s="902">
        <v>4</v>
      </c>
      <c r="O40" s="902">
        <v>-1</v>
      </c>
      <c r="P40" s="903">
        <f t="shared" si="6"/>
        <v>4</v>
      </c>
      <c r="Q40" s="902"/>
      <c r="R40" s="902"/>
      <c r="S40" s="902"/>
      <c r="T40" s="903">
        <v>4</v>
      </c>
      <c r="U40" s="903">
        <f>O40</f>
        <v>-1</v>
      </c>
      <c r="V40" s="903"/>
      <c r="W40" s="903"/>
      <c r="X40" s="903"/>
      <c r="Y40" s="903">
        <f>T40+U40</f>
        <v>3</v>
      </c>
      <c r="Z40" s="903"/>
      <c r="AA40" s="903"/>
      <c r="AB40" s="903"/>
      <c r="AC40" s="903">
        <f t="shared" si="5"/>
        <v>4</v>
      </c>
      <c r="AD40" s="903">
        <f>U40</f>
        <v>-1</v>
      </c>
      <c r="AE40" s="903"/>
      <c r="AF40" s="902"/>
      <c r="AG40" s="902"/>
      <c r="AH40" s="903">
        <f>D40+K40+P40+S40/2+O40</f>
        <v>3</v>
      </c>
    </row>
    <row r="41" spans="1:37" s="17" customFormat="1" ht="27.75" customHeight="1" x14ac:dyDescent="0.25">
      <c r="A41" s="5" t="s">
        <v>563</v>
      </c>
      <c r="B41" s="1081" t="s">
        <v>1220</v>
      </c>
      <c r="C41" s="1082"/>
      <c r="D41" s="902"/>
      <c r="E41" s="902"/>
      <c r="F41" s="902"/>
      <c r="G41" s="902"/>
      <c r="H41" s="902"/>
      <c r="I41" s="902"/>
      <c r="J41" s="902"/>
      <c r="K41" s="902"/>
      <c r="L41" s="902"/>
      <c r="M41" s="902"/>
      <c r="N41" s="902">
        <v>1</v>
      </c>
      <c r="O41" s="902"/>
      <c r="P41" s="903">
        <f>SUM(N41:N41)</f>
        <v>1</v>
      </c>
      <c r="Q41" s="902"/>
      <c r="R41" s="902"/>
      <c r="S41" s="902"/>
      <c r="T41" s="903">
        <f>N41</f>
        <v>1</v>
      </c>
      <c r="U41" s="903"/>
      <c r="V41" s="903"/>
      <c r="W41" s="903"/>
      <c r="X41" s="903"/>
      <c r="Y41" s="903">
        <f>D41+K41+P41</f>
        <v>1</v>
      </c>
      <c r="Z41" s="903"/>
      <c r="AA41" s="903"/>
      <c r="AB41" s="903"/>
      <c r="AC41" s="903">
        <f t="shared" si="5"/>
        <v>1</v>
      </c>
      <c r="AD41" s="903"/>
      <c r="AE41" s="903"/>
      <c r="AF41" s="902"/>
      <c r="AG41" s="902"/>
      <c r="AH41" s="903">
        <f>D41+K41+P41+S41/2</f>
        <v>1</v>
      </c>
    </row>
    <row r="42" spans="1:37" s="17" customFormat="1" ht="14.25" customHeight="1" x14ac:dyDescent="0.25">
      <c r="A42" s="5" t="s">
        <v>564</v>
      </c>
      <c r="B42" s="49" t="s">
        <v>675</v>
      </c>
      <c r="C42" s="50"/>
      <c r="D42" s="67"/>
      <c r="E42" s="67"/>
      <c r="F42" s="67"/>
      <c r="G42" s="67"/>
      <c r="H42" s="67"/>
      <c r="I42" s="67"/>
      <c r="J42" s="67"/>
      <c r="K42" s="51"/>
      <c r="L42" s="51"/>
      <c r="M42" s="51"/>
      <c r="N42" s="903">
        <f>SUM(N30:N41)</f>
        <v>64</v>
      </c>
      <c r="O42" s="903">
        <f>SUM(O30:O41)</f>
        <v>2</v>
      </c>
      <c r="P42" s="903">
        <f>SUM(P30:P41)</f>
        <v>66</v>
      </c>
      <c r="Q42" s="903">
        <f>SUM(Q30:Q40)</f>
        <v>1</v>
      </c>
      <c r="R42" s="903">
        <f>SUM(R30:R41)</f>
        <v>-1</v>
      </c>
      <c r="S42" s="903">
        <f>SUM(S30:S40)</f>
        <v>0</v>
      </c>
      <c r="T42" s="903">
        <f>SUM(T30:T41)</f>
        <v>64</v>
      </c>
      <c r="U42" s="903">
        <f>SUM(U30:U41)</f>
        <v>2</v>
      </c>
      <c r="V42" s="903"/>
      <c r="W42" s="903"/>
      <c r="X42" s="903"/>
      <c r="Y42" s="903">
        <f>D42+K42+P42</f>
        <v>66</v>
      </c>
      <c r="Z42" s="903">
        <f>Q42+L42+E42</f>
        <v>1</v>
      </c>
      <c r="AA42" s="903">
        <f>SUM(AA30:AA41)</f>
        <v>-1</v>
      </c>
      <c r="AB42" s="903">
        <f>F42+M42+S42</f>
        <v>0</v>
      </c>
      <c r="AC42" s="1085">
        <f t="shared" si="5"/>
        <v>64.5</v>
      </c>
      <c r="AD42" s="1085">
        <f>SUM(AD30:AD41)</f>
        <v>1.5</v>
      </c>
      <c r="AE42" s="1085"/>
      <c r="AF42" s="903"/>
      <c r="AG42" s="903"/>
      <c r="AH42" s="903">
        <f>D42+K42+P42+S42/2</f>
        <v>66</v>
      </c>
    </row>
    <row r="43" spans="1:37" ht="12.75" hidden="1" customHeight="1" x14ac:dyDescent="0.25">
      <c r="A43" s="5" t="s">
        <v>565</v>
      </c>
      <c r="B43" s="68"/>
      <c r="C43" s="69"/>
      <c r="D43" s="70"/>
      <c r="E43" s="70"/>
      <c r="F43" s="70"/>
      <c r="G43" s="70"/>
      <c r="H43" s="70"/>
      <c r="I43" s="70"/>
      <c r="J43" s="70"/>
      <c r="K43" s="71"/>
      <c r="L43" s="71"/>
      <c r="M43" s="71"/>
      <c r="N43" s="71"/>
      <c r="O43" s="71"/>
      <c r="P43" s="51">
        <f>N43</f>
        <v>0</v>
      </c>
      <c r="Q43" s="71">
        <f>SUM(Q30:Q42)</f>
        <v>2</v>
      </c>
      <c r="R43" s="71"/>
      <c r="S43" s="71"/>
      <c r="T43" s="71"/>
      <c r="U43" s="71"/>
      <c r="V43" s="71"/>
      <c r="W43" s="71"/>
      <c r="X43" s="71"/>
      <c r="Y43" s="71"/>
      <c r="Z43" s="57"/>
      <c r="AA43" s="57"/>
      <c r="AB43" s="57"/>
      <c r="AC43" s="57"/>
      <c r="AD43" s="57"/>
      <c r="AE43" s="57"/>
      <c r="AF43" s="57"/>
      <c r="AG43" s="57"/>
      <c r="AH43" s="539"/>
      <c r="AI43" s="470"/>
    </row>
    <row r="44" spans="1:37" s="32" customFormat="1" ht="14.25" hidden="1" customHeight="1" x14ac:dyDescent="0.25">
      <c r="A44" s="5" t="s">
        <v>566</v>
      </c>
      <c r="B44" s="59"/>
      <c r="C44" s="73"/>
      <c r="D44" s="57"/>
      <c r="E44" s="57"/>
      <c r="F44" s="57"/>
      <c r="G44" s="57"/>
      <c r="H44" s="57"/>
      <c r="I44" s="57"/>
      <c r="J44" s="57"/>
      <c r="K44" s="74"/>
      <c r="L44" s="74"/>
      <c r="M44" s="74"/>
      <c r="N44" s="74"/>
      <c r="O44" s="74"/>
      <c r="P44" s="57"/>
      <c r="Q44" s="57"/>
      <c r="R44" s="57"/>
      <c r="S44" s="57"/>
      <c r="T44" s="57"/>
      <c r="U44" s="57"/>
      <c r="V44" s="57"/>
      <c r="W44" s="57"/>
      <c r="X44" s="57"/>
      <c r="Y44" s="74"/>
      <c r="Z44" s="74"/>
      <c r="AA44" s="74"/>
      <c r="AB44" s="57"/>
      <c r="AC44" s="57"/>
      <c r="AD44" s="57"/>
      <c r="AE44" s="57"/>
      <c r="AF44" s="57"/>
      <c r="AG44" s="57"/>
      <c r="AH44" s="57"/>
    </row>
    <row r="45" spans="1:37" s="32" customFormat="1" ht="14.45" hidden="1" customHeight="1" x14ac:dyDescent="0.25">
      <c r="A45" s="5" t="s">
        <v>567</v>
      </c>
      <c r="B45" s="75"/>
      <c r="C45" s="76"/>
      <c r="D45" s="51"/>
      <c r="E45" s="51"/>
      <c r="F45" s="51"/>
      <c r="G45" s="51"/>
      <c r="H45" s="51"/>
      <c r="I45" s="51"/>
      <c r="J45" s="51"/>
      <c r="K45" s="66"/>
      <c r="L45" s="66"/>
      <c r="M45" s="66"/>
      <c r="N45" s="66"/>
      <c r="O45" s="66"/>
      <c r="P45" s="51"/>
      <c r="Q45" s="51"/>
      <c r="R45" s="51"/>
      <c r="S45" s="51"/>
      <c r="T45" s="51"/>
      <c r="U45" s="51"/>
      <c r="V45" s="51"/>
      <c r="W45" s="51"/>
      <c r="X45" s="51"/>
      <c r="Y45" s="66"/>
      <c r="Z45" s="66"/>
      <c r="AA45" s="66"/>
      <c r="AB45" s="51"/>
      <c r="AC45" s="51"/>
      <c r="AD45" s="51"/>
      <c r="AE45" s="51"/>
      <c r="AF45" s="51"/>
      <c r="AG45" s="51"/>
      <c r="AH45" s="51"/>
    </row>
    <row r="46" spans="1:37" s="32" customFormat="1" ht="14.25" hidden="1" customHeight="1" x14ac:dyDescent="0.25">
      <c r="A46" s="5" t="s">
        <v>568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51"/>
      <c r="AC46" s="51"/>
      <c r="AD46" s="51"/>
      <c r="AE46" s="51"/>
      <c r="AF46" s="51"/>
      <c r="AG46" s="51"/>
      <c r="AH46" s="51"/>
    </row>
    <row r="47" spans="1:37" s="32" customFormat="1" ht="14.25" hidden="1" customHeight="1" x14ac:dyDescent="0.25">
      <c r="A47" s="5" t="s">
        <v>569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51"/>
      <c r="AC47" s="51"/>
      <c r="AD47" s="51"/>
      <c r="AE47" s="51"/>
      <c r="AF47" s="51"/>
      <c r="AG47" s="51"/>
      <c r="AH47" s="51"/>
    </row>
    <row r="48" spans="1:37" s="32" customFormat="1" ht="14.25" hidden="1" customHeight="1" x14ac:dyDescent="0.25">
      <c r="A48" s="5" t="s">
        <v>570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51"/>
      <c r="AC48" s="51"/>
      <c r="AD48" s="51"/>
      <c r="AE48" s="51"/>
      <c r="AF48" s="51"/>
      <c r="AG48" s="51"/>
      <c r="AH48" s="51"/>
    </row>
    <row r="49" spans="1:34" s="32" customFormat="1" ht="14.25" hidden="1" customHeight="1" x14ac:dyDescent="0.25">
      <c r="A49" s="5" t="s">
        <v>571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51"/>
      <c r="AC49" s="51"/>
      <c r="AD49" s="51"/>
      <c r="AE49" s="51"/>
      <c r="AF49" s="51"/>
      <c r="AG49" s="51"/>
      <c r="AH49" s="51"/>
    </row>
    <row r="50" spans="1:34" s="32" customFormat="1" ht="14.25" hidden="1" customHeight="1" x14ac:dyDescent="0.25">
      <c r="A50" s="5" t="s">
        <v>622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51"/>
      <c r="AC50" s="51"/>
      <c r="AD50" s="51"/>
      <c r="AE50" s="51"/>
      <c r="AF50" s="51"/>
      <c r="AG50" s="51"/>
      <c r="AH50" s="51"/>
    </row>
    <row r="51" spans="1:34" s="32" customFormat="1" ht="14.25" hidden="1" customHeight="1" x14ac:dyDescent="0.25">
      <c r="A51" s="5" t="s">
        <v>623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51"/>
      <c r="AC51" s="51"/>
      <c r="AD51" s="51"/>
      <c r="AE51" s="51"/>
      <c r="AF51" s="51"/>
      <c r="AG51" s="51"/>
      <c r="AH51" s="51"/>
    </row>
    <row r="52" spans="1:34" s="32" customFormat="1" ht="14.25" hidden="1" customHeight="1" x14ac:dyDescent="0.25">
      <c r="A52" s="5" t="s">
        <v>624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51"/>
      <c r="AD52" s="51"/>
      <c r="AE52" s="51"/>
      <c r="AF52" s="66"/>
      <c r="AG52" s="66"/>
      <c r="AH52" s="51"/>
    </row>
    <row r="53" spans="1:34" s="32" customFormat="1" ht="14.25" hidden="1" customHeight="1" x14ac:dyDescent="0.25">
      <c r="A53" s="5" t="s">
        <v>625</v>
      </c>
      <c r="B53" s="64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51"/>
      <c r="AD53" s="51"/>
      <c r="AE53" s="51"/>
      <c r="AF53" s="66"/>
      <c r="AG53" s="66"/>
      <c r="AH53" s="51"/>
    </row>
    <row r="54" spans="1:34" s="32" customFormat="1" ht="14.25" hidden="1" customHeight="1" x14ac:dyDescent="0.25">
      <c r="A54" s="5" t="s">
        <v>115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51"/>
      <c r="AD54" s="51"/>
      <c r="AE54" s="51"/>
      <c r="AF54" s="66"/>
      <c r="AG54" s="66"/>
      <c r="AH54" s="51"/>
    </row>
    <row r="55" spans="1:34" s="32" customFormat="1" ht="14.25" hidden="1" customHeight="1" x14ac:dyDescent="0.25">
      <c r="A55" s="5" t="s">
        <v>650</v>
      </c>
      <c r="B55" s="77"/>
      <c r="C55" s="7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51"/>
      <c r="AC55" s="51"/>
      <c r="AD55" s="51"/>
      <c r="AE55" s="51"/>
      <c r="AF55" s="51"/>
      <c r="AG55" s="51"/>
      <c r="AH55" s="51"/>
    </row>
    <row r="56" spans="1:34" s="32" customFormat="1" ht="14.25" hidden="1" customHeight="1" x14ac:dyDescent="0.25">
      <c r="A56" s="5" t="s">
        <v>651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51"/>
      <c r="AC56" s="51"/>
      <c r="AD56" s="51"/>
      <c r="AE56" s="51"/>
      <c r="AF56" s="51"/>
      <c r="AG56" s="51"/>
      <c r="AH56" s="51"/>
    </row>
    <row r="57" spans="1:34" s="32" customFormat="1" ht="14.25" hidden="1" customHeight="1" x14ac:dyDescent="0.25">
      <c r="A57" s="5" t="s">
        <v>118</v>
      </c>
      <c r="B57" s="64"/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51"/>
      <c r="AC57" s="51"/>
      <c r="AD57" s="51"/>
      <c r="AE57" s="51"/>
      <c r="AF57" s="51"/>
      <c r="AG57" s="51"/>
      <c r="AH57" s="51"/>
    </row>
    <row r="58" spans="1:34" s="32" customFormat="1" ht="14.25" hidden="1" customHeight="1" x14ac:dyDescent="0.25">
      <c r="A58" s="5" t="s">
        <v>119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51"/>
      <c r="AC58" s="51"/>
      <c r="AD58" s="51"/>
      <c r="AE58" s="51"/>
      <c r="AF58" s="51"/>
      <c r="AG58" s="51"/>
      <c r="AH58" s="51"/>
    </row>
    <row r="59" spans="1:34" s="32" customFormat="1" ht="14.25" hidden="1" customHeight="1" x14ac:dyDescent="0.25">
      <c r="A59" s="5" t="s">
        <v>120</v>
      </c>
      <c r="B59" s="77"/>
      <c r="C59" s="7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51"/>
      <c r="AC59" s="51"/>
      <c r="AD59" s="51"/>
      <c r="AE59" s="51"/>
      <c r="AF59" s="51"/>
      <c r="AG59" s="51"/>
      <c r="AH59" s="51"/>
    </row>
    <row r="60" spans="1:34" s="32" customFormat="1" ht="14.25" hidden="1" customHeight="1" x14ac:dyDescent="0.25">
      <c r="A60" s="5" t="s">
        <v>123</v>
      </c>
      <c r="B60" s="64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51"/>
      <c r="AC60" s="51"/>
      <c r="AD60" s="51"/>
      <c r="AE60" s="51"/>
      <c r="AF60" s="51"/>
      <c r="AG60" s="51"/>
      <c r="AH60" s="51"/>
    </row>
    <row r="61" spans="1:34" s="32" customFormat="1" ht="14.25" hidden="1" customHeight="1" x14ac:dyDescent="0.25">
      <c r="A61" s="5" t="s">
        <v>126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51"/>
      <c r="AC61" s="51"/>
      <c r="AD61" s="51"/>
      <c r="AE61" s="51"/>
      <c r="AF61" s="51"/>
      <c r="AG61" s="51"/>
      <c r="AH61" s="51"/>
    </row>
    <row r="62" spans="1:34" s="32" customFormat="1" ht="14.45" hidden="1" customHeight="1" x14ac:dyDescent="0.25">
      <c r="A62" s="5" t="s">
        <v>127</v>
      </c>
      <c r="B62" s="77"/>
      <c r="C62" s="7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51"/>
      <c r="AC62" s="51"/>
      <c r="AD62" s="51"/>
      <c r="AE62" s="51"/>
      <c r="AF62" s="51"/>
      <c r="AG62" s="51"/>
      <c r="AH62" s="51"/>
    </row>
    <row r="63" spans="1:34" s="32" customFormat="1" ht="14.45" hidden="1" customHeight="1" x14ac:dyDescent="0.25">
      <c r="A63" s="5" t="s">
        <v>128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51"/>
      <c r="AC63" s="51"/>
      <c r="AD63" s="51"/>
      <c r="AE63" s="51"/>
      <c r="AF63" s="51"/>
      <c r="AG63" s="51"/>
      <c r="AH63" s="51"/>
    </row>
    <row r="64" spans="1:34" s="32" customFormat="1" ht="14.45" hidden="1" customHeight="1" x14ac:dyDescent="0.25">
      <c r="A64" s="5" t="s">
        <v>129</v>
      </c>
      <c r="B64" s="64"/>
      <c r="C64" s="65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51"/>
      <c r="AC64" s="51"/>
      <c r="AD64" s="51"/>
      <c r="AE64" s="51"/>
      <c r="AF64" s="51"/>
      <c r="AG64" s="51"/>
      <c r="AH64" s="51"/>
    </row>
    <row r="65" spans="1:34" s="32" customFormat="1" ht="14.45" hidden="1" customHeight="1" x14ac:dyDescent="0.25">
      <c r="A65" s="5" t="s">
        <v>132</v>
      </c>
      <c r="B65" s="64"/>
      <c r="C65" s="65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51"/>
      <c r="AC65" s="51"/>
      <c r="AD65" s="51"/>
      <c r="AE65" s="51"/>
      <c r="AF65" s="51"/>
      <c r="AG65" s="51"/>
      <c r="AH65" s="51"/>
    </row>
    <row r="66" spans="1:34" s="32" customFormat="1" ht="14.45" hidden="1" customHeight="1" x14ac:dyDescent="0.25">
      <c r="A66" s="5" t="s">
        <v>135</v>
      </c>
      <c r="B66" s="49"/>
      <c r="C66" s="50"/>
      <c r="D66" s="67"/>
      <c r="E66" s="67"/>
      <c r="F66" s="67"/>
      <c r="G66" s="67"/>
      <c r="H66" s="67"/>
      <c r="I66" s="67"/>
      <c r="J66" s="67"/>
      <c r="K66" s="66"/>
      <c r="L66" s="66"/>
      <c r="M66" s="66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2"/>
      <c r="AD66" s="52"/>
      <c r="AE66" s="52"/>
      <c r="AF66" s="51"/>
      <c r="AG66" s="51"/>
      <c r="AH66" s="51"/>
    </row>
    <row r="67" spans="1:34" s="32" customFormat="1" ht="14.45" customHeight="1" x14ac:dyDescent="0.25">
      <c r="A67" s="5"/>
      <c r="B67" s="580"/>
      <c r="C67" s="581"/>
      <c r="D67" s="130"/>
      <c r="E67" s="130"/>
      <c r="F67" s="130"/>
      <c r="G67" s="130"/>
      <c r="H67" s="130"/>
      <c r="I67" s="130"/>
      <c r="J67" s="130"/>
      <c r="K67" s="582"/>
      <c r="L67" s="582"/>
      <c r="M67" s="582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83"/>
      <c r="AD67" s="583"/>
      <c r="AE67" s="583"/>
      <c r="AF67" s="131"/>
      <c r="AG67" s="131"/>
      <c r="AH67" s="131"/>
    </row>
    <row r="68" spans="1:34" s="32" customFormat="1" ht="14.45" customHeight="1" x14ac:dyDescent="0.25">
      <c r="A68" s="5"/>
      <c r="B68" s="79"/>
      <c r="C68" s="73"/>
      <c r="D68" s="56"/>
      <c r="E68" s="56"/>
      <c r="F68" s="56"/>
      <c r="G68" s="56"/>
      <c r="H68" s="56"/>
      <c r="I68" s="56"/>
      <c r="J68" s="56"/>
      <c r="K68" s="74"/>
      <c r="L68" s="74"/>
      <c r="M68" s="74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266"/>
      <c r="AD68" s="266"/>
      <c r="AE68" s="266"/>
      <c r="AF68" s="57"/>
      <c r="AG68" s="57"/>
      <c r="AH68" s="57"/>
    </row>
    <row r="69" spans="1:34" s="32" customFormat="1" ht="14.45" customHeight="1" x14ac:dyDescent="0.25">
      <c r="A69" s="5"/>
      <c r="B69" s="79"/>
      <c r="C69" s="73"/>
      <c r="D69" s="56"/>
      <c r="E69" s="56"/>
      <c r="F69" s="56"/>
      <c r="G69" s="56"/>
      <c r="H69" s="56"/>
      <c r="I69" s="56"/>
      <c r="J69" s="56"/>
      <c r="K69" s="74"/>
      <c r="L69" s="74"/>
      <c r="M69" s="74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266"/>
      <c r="AD69" s="266"/>
      <c r="AE69" s="266"/>
      <c r="AF69" s="57"/>
      <c r="AG69" s="57"/>
      <c r="AH69" s="57"/>
    </row>
    <row r="70" spans="1:34" s="32" customFormat="1" ht="14.45" customHeight="1" x14ac:dyDescent="0.25">
      <c r="A70" s="5" t="s">
        <v>565</v>
      </c>
      <c r="B70" s="34" t="s">
        <v>689</v>
      </c>
      <c r="C70" s="73"/>
      <c r="D70" s="56"/>
      <c r="E70" s="56"/>
      <c r="F70" s="56"/>
      <c r="G70" s="56"/>
      <c r="H70" s="56"/>
      <c r="I70" s="56"/>
      <c r="J70" s="56"/>
      <c r="K70" s="74"/>
      <c r="L70" s="74"/>
      <c r="M70" s="74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266"/>
      <c r="AD70" s="266"/>
      <c r="AE70" s="266"/>
      <c r="AF70" s="57"/>
      <c r="AG70" s="57"/>
      <c r="AH70" s="57"/>
    </row>
    <row r="71" spans="1:34" s="32" customFormat="1" ht="14.45" customHeight="1" x14ac:dyDescent="0.25">
      <c r="A71" s="5" t="s">
        <v>566</v>
      </c>
      <c r="B71" s="585" t="s">
        <v>690</v>
      </c>
      <c r="C71" s="268"/>
      <c r="D71" s="269"/>
      <c r="E71" s="269"/>
      <c r="F71" s="269"/>
      <c r="G71" s="269"/>
      <c r="H71" s="269"/>
      <c r="I71" s="269"/>
      <c r="J71" s="269"/>
      <c r="K71" s="270"/>
      <c r="L71" s="270"/>
      <c r="M71" s="270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584"/>
      <c r="AD71" s="584"/>
      <c r="AE71" s="584"/>
      <c r="AF71" s="584"/>
      <c r="AG71" s="584"/>
      <c r="AH71" s="584"/>
    </row>
    <row r="72" spans="1:34" s="32" customFormat="1" ht="14.45" customHeight="1" x14ac:dyDescent="0.25">
      <c r="A72" s="5" t="s">
        <v>567</v>
      </c>
      <c r="B72" s="579" t="s">
        <v>691</v>
      </c>
      <c r="C72" s="268"/>
      <c r="D72" s="269"/>
      <c r="E72" s="269"/>
      <c r="F72" s="269"/>
      <c r="G72" s="269"/>
      <c r="H72" s="269"/>
      <c r="I72" s="269"/>
      <c r="J72" s="269"/>
      <c r="K72" s="270"/>
      <c r="L72" s="270"/>
      <c r="M72" s="270"/>
      <c r="N72" s="271">
        <v>1</v>
      </c>
      <c r="O72" s="271"/>
      <c r="P72" s="271">
        <f t="shared" ref="P72:P80" si="7">N72</f>
        <v>1</v>
      </c>
      <c r="Q72" s="271"/>
      <c r="R72" s="271"/>
      <c r="S72" s="271"/>
      <c r="T72" s="271">
        <v>1</v>
      </c>
      <c r="U72" s="271"/>
      <c r="V72" s="271"/>
      <c r="W72" s="271"/>
      <c r="X72" s="271"/>
      <c r="Y72" s="271">
        <f t="shared" ref="Y72:Y80" si="8">D72+K72+P72</f>
        <v>1</v>
      </c>
      <c r="Z72" s="271"/>
      <c r="AA72" s="271"/>
      <c r="AB72" s="271"/>
      <c r="AC72" s="584">
        <f t="shared" ref="AC72:AC80" si="9">T72+Z72/2</f>
        <v>1</v>
      </c>
      <c r="AD72" s="584"/>
      <c r="AE72" s="584"/>
      <c r="AF72" s="584"/>
      <c r="AG72" s="584"/>
      <c r="AH72" s="584">
        <f t="shared" ref="AH72:AH80" si="10">Y72+AB72/2</f>
        <v>1</v>
      </c>
    </row>
    <row r="73" spans="1:34" s="32" customFormat="1" ht="14.45" customHeight="1" x14ac:dyDescent="0.25">
      <c r="A73" s="5" t="s">
        <v>568</v>
      </c>
      <c r="B73" s="579" t="s">
        <v>692</v>
      </c>
      <c r="C73" s="268"/>
      <c r="D73" s="269"/>
      <c r="E73" s="269"/>
      <c r="F73" s="269"/>
      <c r="G73" s="269"/>
      <c r="H73" s="269"/>
      <c r="I73" s="269"/>
      <c r="J73" s="269"/>
      <c r="K73" s="270"/>
      <c r="L73" s="270"/>
      <c r="M73" s="270"/>
      <c r="N73" s="271">
        <v>1</v>
      </c>
      <c r="O73" s="271"/>
      <c r="P73" s="271">
        <f t="shared" si="7"/>
        <v>1</v>
      </c>
      <c r="Q73" s="271"/>
      <c r="R73" s="271"/>
      <c r="S73" s="271"/>
      <c r="T73" s="271">
        <v>1</v>
      </c>
      <c r="U73" s="271"/>
      <c r="V73" s="271"/>
      <c r="W73" s="271"/>
      <c r="X73" s="271"/>
      <c r="Y73" s="271">
        <f t="shared" si="8"/>
        <v>1</v>
      </c>
      <c r="Z73" s="271"/>
      <c r="AA73" s="271"/>
      <c r="AB73" s="271"/>
      <c r="AC73" s="584">
        <f t="shared" si="9"/>
        <v>1</v>
      </c>
      <c r="AD73" s="584"/>
      <c r="AE73" s="584"/>
      <c r="AF73" s="584"/>
      <c r="AG73" s="584"/>
      <c r="AH73" s="584">
        <f t="shared" si="10"/>
        <v>1</v>
      </c>
    </row>
    <row r="74" spans="1:34" s="32" customFormat="1" ht="14.45" customHeight="1" x14ac:dyDescent="0.25">
      <c r="A74" s="5" t="s">
        <v>569</v>
      </c>
      <c r="B74" s="579" t="s">
        <v>693</v>
      </c>
      <c r="C74" s="268"/>
      <c r="D74" s="269"/>
      <c r="E74" s="269"/>
      <c r="F74" s="269"/>
      <c r="G74" s="269"/>
      <c r="H74" s="269"/>
      <c r="I74" s="269"/>
      <c r="J74" s="269"/>
      <c r="K74" s="270"/>
      <c r="L74" s="270"/>
      <c r="M74" s="270"/>
      <c r="N74" s="271">
        <v>2</v>
      </c>
      <c r="O74" s="271"/>
      <c r="P74" s="271">
        <f t="shared" si="7"/>
        <v>2</v>
      </c>
      <c r="Q74" s="271"/>
      <c r="R74" s="271"/>
      <c r="S74" s="271"/>
      <c r="T74" s="271">
        <v>2</v>
      </c>
      <c r="U74" s="271"/>
      <c r="V74" s="271"/>
      <c r="W74" s="271"/>
      <c r="X74" s="271"/>
      <c r="Y74" s="271">
        <f t="shared" si="8"/>
        <v>2</v>
      </c>
      <c r="Z74" s="271"/>
      <c r="AA74" s="271"/>
      <c r="AB74" s="271"/>
      <c r="AC74" s="584">
        <f t="shared" si="9"/>
        <v>2</v>
      </c>
      <c r="AD74" s="584"/>
      <c r="AE74" s="584"/>
      <c r="AF74" s="584"/>
      <c r="AG74" s="584"/>
      <c r="AH74" s="584">
        <f t="shared" si="10"/>
        <v>2</v>
      </c>
    </row>
    <row r="75" spans="1:34" s="32" customFormat="1" ht="14.45" customHeight="1" x14ac:dyDescent="0.25">
      <c r="A75" s="5" t="s">
        <v>570</v>
      </c>
      <c r="B75" s="579" t="s">
        <v>694</v>
      </c>
      <c r="C75" s="268"/>
      <c r="D75" s="269"/>
      <c r="E75" s="269"/>
      <c r="F75" s="269"/>
      <c r="G75" s="269"/>
      <c r="H75" s="269"/>
      <c r="I75" s="269"/>
      <c r="J75" s="269"/>
      <c r="K75" s="270"/>
      <c r="L75" s="270"/>
      <c r="M75" s="270"/>
      <c r="N75" s="271">
        <v>1</v>
      </c>
      <c r="O75" s="271"/>
      <c r="P75" s="271">
        <f t="shared" si="7"/>
        <v>1</v>
      </c>
      <c r="Q75" s="271"/>
      <c r="R75" s="271"/>
      <c r="S75" s="271"/>
      <c r="T75" s="271">
        <v>1</v>
      </c>
      <c r="U75" s="271"/>
      <c r="V75" s="271"/>
      <c r="W75" s="271"/>
      <c r="X75" s="271"/>
      <c r="Y75" s="271">
        <f t="shared" si="8"/>
        <v>1</v>
      </c>
      <c r="Z75" s="271"/>
      <c r="AA75" s="271"/>
      <c r="AB75" s="271"/>
      <c r="AC75" s="584">
        <f t="shared" si="9"/>
        <v>1</v>
      </c>
      <c r="AD75" s="584"/>
      <c r="AE75" s="584"/>
      <c r="AF75" s="584"/>
      <c r="AG75" s="584"/>
      <c r="AH75" s="584">
        <f t="shared" si="10"/>
        <v>1</v>
      </c>
    </row>
    <row r="76" spans="1:34" s="32" customFormat="1" ht="14.45" customHeight="1" x14ac:dyDescent="0.25">
      <c r="A76" s="5" t="s">
        <v>571</v>
      </c>
      <c r="B76" s="579" t="s">
        <v>695</v>
      </c>
      <c r="C76" s="268"/>
      <c r="D76" s="269"/>
      <c r="E76" s="269"/>
      <c r="F76" s="269"/>
      <c r="G76" s="269"/>
      <c r="H76" s="269"/>
      <c r="I76" s="269"/>
      <c r="J76" s="269"/>
      <c r="K76" s="270"/>
      <c r="L76" s="270"/>
      <c r="M76" s="270"/>
      <c r="N76" s="271">
        <v>1</v>
      </c>
      <c r="O76" s="271"/>
      <c r="P76" s="271">
        <f t="shared" si="7"/>
        <v>1</v>
      </c>
      <c r="Q76" s="271"/>
      <c r="R76" s="271"/>
      <c r="S76" s="271"/>
      <c r="T76" s="271">
        <v>1</v>
      </c>
      <c r="U76" s="271"/>
      <c r="V76" s="271"/>
      <c r="W76" s="271"/>
      <c r="X76" s="271"/>
      <c r="Y76" s="271">
        <f t="shared" si="8"/>
        <v>1</v>
      </c>
      <c r="Z76" s="271"/>
      <c r="AA76" s="271"/>
      <c r="AB76" s="271"/>
      <c r="AC76" s="584">
        <f t="shared" si="9"/>
        <v>1</v>
      </c>
      <c r="AD76" s="584"/>
      <c r="AE76" s="584"/>
      <c r="AF76" s="584"/>
      <c r="AG76" s="584"/>
      <c r="AH76" s="584">
        <f t="shared" si="10"/>
        <v>1</v>
      </c>
    </row>
    <row r="77" spans="1:34" s="32" customFormat="1" ht="14.45" customHeight="1" x14ac:dyDescent="0.25">
      <c r="A77" s="5" t="s">
        <v>622</v>
      </c>
      <c r="B77" s="579" t="s">
        <v>1018</v>
      </c>
      <c r="C77" s="268"/>
      <c r="D77" s="269"/>
      <c r="E77" s="269"/>
      <c r="F77" s="269"/>
      <c r="G77" s="269"/>
      <c r="H77" s="269"/>
      <c r="I77" s="269"/>
      <c r="J77" s="269"/>
      <c r="K77" s="270"/>
      <c r="L77" s="270"/>
      <c r="M77" s="270"/>
      <c r="N77" s="271">
        <v>1</v>
      </c>
      <c r="O77" s="271"/>
      <c r="P77" s="271">
        <f t="shared" si="7"/>
        <v>1</v>
      </c>
      <c r="Q77" s="271"/>
      <c r="R77" s="271"/>
      <c r="S77" s="271"/>
      <c r="T77" s="271">
        <v>1</v>
      </c>
      <c r="U77" s="271"/>
      <c r="V77" s="271"/>
      <c r="W77" s="271"/>
      <c r="X77" s="271"/>
      <c r="Y77" s="271">
        <f t="shared" si="8"/>
        <v>1</v>
      </c>
      <c r="Z77" s="271"/>
      <c r="AA77" s="271"/>
      <c r="AB77" s="271"/>
      <c r="AC77" s="584">
        <f t="shared" si="9"/>
        <v>1</v>
      </c>
      <c r="AD77" s="584"/>
      <c r="AE77" s="584"/>
      <c r="AF77" s="584"/>
      <c r="AG77" s="584"/>
      <c r="AH77" s="584">
        <f t="shared" si="10"/>
        <v>1</v>
      </c>
    </row>
    <row r="78" spans="1:34" s="32" customFormat="1" ht="14.45" customHeight="1" x14ac:dyDescent="0.25">
      <c r="A78" s="5" t="s">
        <v>623</v>
      </c>
      <c r="B78" s="579" t="s">
        <v>1019</v>
      </c>
      <c r="C78" s="268"/>
      <c r="D78" s="269"/>
      <c r="E78" s="269"/>
      <c r="F78" s="269"/>
      <c r="G78" s="269"/>
      <c r="H78" s="269"/>
      <c r="I78" s="269"/>
      <c r="J78" s="269"/>
      <c r="K78" s="270"/>
      <c r="L78" s="270"/>
      <c r="M78" s="270"/>
      <c r="N78" s="271">
        <v>1</v>
      </c>
      <c r="O78" s="271"/>
      <c r="P78" s="271">
        <f t="shared" si="7"/>
        <v>1</v>
      </c>
      <c r="Q78" s="271"/>
      <c r="R78" s="271"/>
      <c r="S78" s="271"/>
      <c r="T78" s="271">
        <v>1</v>
      </c>
      <c r="U78" s="271"/>
      <c r="V78" s="271"/>
      <c r="W78" s="271"/>
      <c r="X78" s="271"/>
      <c r="Y78" s="271">
        <f t="shared" si="8"/>
        <v>1</v>
      </c>
      <c r="Z78" s="271"/>
      <c r="AA78" s="271"/>
      <c r="AB78" s="271"/>
      <c r="AC78" s="584">
        <f t="shared" si="9"/>
        <v>1</v>
      </c>
      <c r="AD78" s="584"/>
      <c r="AE78" s="584"/>
      <c r="AF78" s="584"/>
      <c r="AG78" s="584"/>
      <c r="AH78" s="584">
        <f t="shared" si="10"/>
        <v>1</v>
      </c>
    </row>
    <row r="79" spans="1:34" s="32" customFormat="1" ht="14.45" customHeight="1" x14ac:dyDescent="0.25">
      <c r="A79" s="5" t="s">
        <v>624</v>
      </c>
      <c r="B79" s="579" t="s">
        <v>696</v>
      </c>
      <c r="C79" s="268"/>
      <c r="D79" s="269"/>
      <c r="E79" s="269"/>
      <c r="F79" s="269"/>
      <c r="G79" s="269"/>
      <c r="H79" s="269"/>
      <c r="I79" s="269"/>
      <c r="J79" s="269"/>
      <c r="K79" s="270"/>
      <c r="L79" s="270"/>
      <c r="M79" s="270"/>
      <c r="N79" s="271">
        <v>1</v>
      </c>
      <c r="O79" s="271"/>
      <c r="P79" s="271">
        <f t="shared" si="7"/>
        <v>1</v>
      </c>
      <c r="Q79" s="271"/>
      <c r="R79" s="271"/>
      <c r="S79" s="271"/>
      <c r="T79" s="271">
        <v>1</v>
      </c>
      <c r="U79" s="271"/>
      <c r="V79" s="271"/>
      <c r="W79" s="271"/>
      <c r="X79" s="271"/>
      <c r="Y79" s="271">
        <f t="shared" si="8"/>
        <v>1</v>
      </c>
      <c r="Z79" s="271"/>
      <c r="AA79" s="271"/>
      <c r="AB79" s="271"/>
      <c r="AC79" s="584">
        <f t="shared" si="9"/>
        <v>1</v>
      </c>
      <c r="AD79" s="584"/>
      <c r="AE79" s="584"/>
      <c r="AF79" s="584"/>
      <c r="AG79" s="584"/>
      <c r="AH79" s="584">
        <f t="shared" si="10"/>
        <v>1</v>
      </c>
    </row>
    <row r="80" spans="1:34" s="32" customFormat="1" ht="14.45" customHeight="1" x14ac:dyDescent="0.25">
      <c r="A80" s="5" t="s">
        <v>625</v>
      </c>
      <c r="B80" s="579" t="s">
        <v>697</v>
      </c>
      <c r="C80" s="268"/>
      <c r="D80" s="269"/>
      <c r="E80" s="269"/>
      <c r="F80" s="269"/>
      <c r="G80" s="269"/>
      <c r="H80" s="269"/>
      <c r="I80" s="269"/>
      <c r="J80" s="269"/>
      <c r="K80" s="270"/>
      <c r="L80" s="270"/>
      <c r="M80" s="270"/>
      <c r="N80" s="271">
        <v>1</v>
      </c>
      <c r="O80" s="271"/>
      <c r="P80" s="271">
        <f t="shared" si="7"/>
        <v>1</v>
      </c>
      <c r="Q80" s="271"/>
      <c r="R80" s="271"/>
      <c r="S80" s="271"/>
      <c r="T80" s="271">
        <v>1</v>
      </c>
      <c r="U80" s="271"/>
      <c r="V80" s="271"/>
      <c r="W80" s="271"/>
      <c r="X80" s="271"/>
      <c r="Y80" s="271">
        <f t="shared" si="8"/>
        <v>1</v>
      </c>
      <c r="Z80" s="271"/>
      <c r="AA80" s="271"/>
      <c r="AB80" s="271"/>
      <c r="AC80" s="584">
        <f t="shared" si="9"/>
        <v>1</v>
      </c>
      <c r="AD80" s="584"/>
      <c r="AE80" s="584"/>
      <c r="AF80" s="584"/>
      <c r="AG80" s="584"/>
      <c r="AH80" s="584">
        <f t="shared" si="10"/>
        <v>1</v>
      </c>
    </row>
    <row r="81" spans="1:34" s="32" customFormat="1" ht="14.45" customHeight="1" x14ac:dyDescent="0.25">
      <c r="A81" s="5" t="s">
        <v>115</v>
      </c>
      <c r="B81" s="585" t="s">
        <v>698</v>
      </c>
      <c r="C81" s="268"/>
      <c r="D81" s="269"/>
      <c r="E81" s="269"/>
      <c r="F81" s="269"/>
      <c r="G81" s="269"/>
      <c r="H81" s="269"/>
      <c r="I81" s="269"/>
      <c r="J81" s="269"/>
      <c r="K81" s="270"/>
      <c r="L81" s="270"/>
      <c r="M81" s="270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584"/>
      <c r="AD81" s="584"/>
      <c r="AE81" s="584"/>
      <c r="AF81" s="584"/>
      <c r="AG81" s="584"/>
      <c r="AH81" s="584"/>
    </row>
    <row r="82" spans="1:34" s="32" customFormat="1" ht="14.45" customHeight="1" x14ac:dyDescent="0.25">
      <c r="A82" s="5" t="s">
        <v>650</v>
      </c>
      <c r="B82" s="579" t="s">
        <v>699</v>
      </c>
      <c r="C82" s="268"/>
      <c r="D82" s="269"/>
      <c r="E82" s="269"/>
      <c r="F82" s="269"/>
      <c r="G82" s="269"/>
      <c r="H82" s="269"/>
      <c r="I82" s="269"/>
      <c r="J82" s="269"/>
      <c r="K82" s="270"/>
      <c r="L82" s="270"/>
      <c r="M82" s="270"/>
      <c r="N82" s="271">
        <v>1</v>
      </c>
      <c r="O82" s="271"/>
      <c r="P82" s="271">
        <f t="shared" ref="P82:P89" si="11">N82</f>
        <v>1</v>
      </c>
      <c r="Q82" s="271"/>
      <c r="R82" s="271"/>
      <c r="S82" s="271"/>
      <c r="T82" s="271">
        <v>1</v>
      </c>
      <c r="U82" s="271"/>
      <c r="V82" s="271"/>
      <c r="W82" s="271"/>
      <c r="X82" s="271"/>
      <c r="Y82" s="271">
        <f t="shared" ref="Y82:Y89" si="12">D82+K82+P82</f>
        <v>1</v>
      </c>
      <c r="Z82" s="271"/>
      <c r="AA82" s="271"/>
      <c r="AB82" s="271"/>
      <c r="AC82" s="584">
        <f t="shared" ref="AC82:AC89" si="13">T82+Z82/2</f>
        <v>1</v>
      </c>
      <c r="AD82" s="584"/>
      <c r="AE82" s="584"/>
      <c r="AF82" s="584"/>
      <c r="AG82" s="584"/>
      <c r="AH82" s="584">
        <f t="shared" ref="AH82:AH89" si="14">Y82+AB82/2</f>
        <v>1</v>
      </c>
    </row>
    <row r="83" spans="1:34" s="32" customFormat="1" ht="14.45" customHeight="1" x14ac:dyDescent="0.25">
      <c r="A83" s="5" t="s">
        <v>651</v>
      </c>
      <c r="B83" s="579" t="s">
        <v>700</v>
      </c>
      <c r="C83" s="268"/>
      <c r="D83" s="269"/>
      <c r="E83" s="269"/>
      <c r="F83" s="269"/>
      <c r="G83" s="269"/>
      <c r="H83" s="269"/>
      <c r="I83" s="269"/>
      <c r="J83" s="269"/>
      <c r="K83" s="270"/>
      <c r="L83" s="270"/>
      <c r="M83" s="270"/>
      <c r="N83" s="271">
        <v>1</v>
      </c>
      <c r="O83" s="271"/>
      <c r="P83" s="271">
        <f t="shared" si="11"/>
        <v>1</v>
      </c>
      <c r="Q83" s="271"/>
      <c r="R83" s="271"/>
      <c r="S83" s="271"/>
      <c r="T83" s="271">
        <v>1</v>
      </c>
      <c r="U83" s="271"/>
      <c r="V83" s="271"/>
      <c r="W83" s="271"/>
      <c r="X83" s="271"/>
      <c r="Y83" s="271">
        <f t="shared" si="12"/>
        <v>1</v>
      </c>
      <c r="Z83" s="271"/>
      <c r="AA83" s="271"/>
      <c r="AB83" s="271"/>
      <c r="AC83" s="584">
        <f t="shared" si="13"/>
        <v>1</v>
      </c>
      <c r="AD83" s="584"/>
      <c r="AE83" s="584"/>
      <c r="AF83" s="584"/>
      <c r="AG83" s="584"/>
      <c r="AH83" s="584">
        <f t="shared" si="14"/>
        <v>1</v>
      </c>
    </row>
    <row r="84" spans="1:34" s="32" customFormat="1" ht="14.45" customHeight="1" x14ac:dyDescent="0.25">
      <c r="A84" s="5" t="s">
        <v>118</v>
      </c>
      <c r="B84" s="579" t="s">
        <v>701</v>
      </c>
      <c r="C84" s="268"/>
      <c r="D84" s="269"/>
      <c r="E84" s="269"/>
      <c r="F84" s="269"/>
      <c r="G84" s="269"/>
      <c r="H84" s="269"/>
      <c r="I84" s="269"/>
      <c r="J84" s="269"/>
      <c r="K84" s="270"/>
      <c r="L84" s="270"/>
      <c r="M84" s="270"/>
      <c r="N84" s="271">
        <v>1</v>
      </c>
      <c r="O84" s="271"/>
      <c r="P84" s="271">
        <f t="shared" si="11"/>
        <v>1</v>
      </c>
      <c r="Q84" s="271"/>
      <c r="R84" s="271"/>
      <c r="S84" s="271"/>
      <c r="T84" s="271">
        <v>1</v>
      </c>
      <c r="U84" s="271"/>
      <c r="V84" s="271"/>
      <c r="W84" s="271"/>
      <c r="X84" s="271"/>
      <c r="Y84" s="271">
        <f t="shared" si="12"/>
        <v>1</v>
      </c>
      <c r="Z84" s="271"/>
      <c r="AA84" s="271"/>
      <c r="AB84" s="271"/>
      <c r="AC84" s="584">
        <f t="shared" si="13"/>
        <v>1</v>
      </c>
      <c r="AD84" s="584"/>
      <c r="AE84" s="584"/>
      <c r="AF84" s="584"/>
      <c r="AG84" s="584"/>
      <c r="AH84" s="584">
        <f t="shared" si="14"/>
        <v>1</v>
      </c>
    </row>
    <row r="85" spans="1:34" s="32" customFormat="1" ht="14.45" customHeight="1" x14ac:dyDescent="0.25">
      <c r="A85" s="5" t="s">
        <v>119</v>
      </c>
      <c r="B85" s="585" t="s">
        <v>702</v>
      </c>
      <c r="C85" s="268"/>
      <c r="D85" s="269"/>
      <c r="E85" s="269"/>
      <c r="F85" s="269"/>
      <c r="G85" s="269"/>
      <c r="H85" s="269"/>
      <c r="I85" s="269"/>
      <c r="J85" s="269"/>
      <c r="K85" s="270"/>
      <c r="L85" s="270"/>
      <c r="M85" s="270"/>
      <c r="N85" s="271"/>
      <c r="O85" s="271"/>
      <c r="P85" s="271">
        <f t="shared" si="11"/>
        <v>0</v>
      </c>
      <c r="Q85" s="271"/>
      <c r="R85" s="271"/>
      <c r="S85" s="271"/>
      <c r="T85" s="271"/>
      <c r="U85" s="271"/>
      <c r="V85" s="271"/>
      <c r="W85" s="271"/>
      <c r="X85" s="271"/>
      <c r="Y85" s="271">
        <f t="shared" si="12"/>
        <v>0</v>
      </c>
      <c r="Z85" s="271"/>
      <c r="AA85" s="271"/>
      <c r="AB85" s="271"/>
      <c r="AC85" s="584">
        <f t="shared" si="13"/>
        <v>0</v>
      </c>
      <c r="AD85" s="584"/>
      <c r="AE85" s="584"/>
      <c r="AF85" s="584"/>
      <c r="AG85" s="584"/>
      <c r="AH85" s="584">
        <f t="shared" si="14"/>
        <v>0</v>
      </c>
    </row>
    <row r="86" spans="1:34" s="32" customFormat="1" ht="14.45" customHeight="1" x14ac:dyDescent="0.25">
      <c r="A86" s="5" t="s">
        <v>120</v>
      </c>
      <c r="B86" s="579" t="s">
        <v>703</v>
      </c>
      <c r="C86" s="268"/>
      <c r="D86" s="269"/>
      <c r="E86" s="269"/>
      <c r="F86" s="269"/>
      <c r="G86" s="269"/>
      <c r="H86" s="269"/>
      <c r="I86" s="269"/>
      <c r="J86" s="269"/>
      <c r="K86" s="270"/>
      <c r="L86" s="270"/>
      <c r="M86" s="270"/>
      <c r="N86" s="271">
        <v>1</v>
      </c>
      <c r="O86" s="271"/>
      <c r="P86" s="271">
        <f t="shared" si="11"/>
        <v>1</v>
      </c>
      <c r="Q86" s="271"/>
      <c r="R86" s="271"/>
      <c r="S86" s="271"/>
      <c r="T86" s="271">
        <v>1</v>
      </c>
      <c r="U86" s="271"/>
      <c r="V86" s="271"/>
      <c r="W86" s="271"/>
      <c r="X86" s="271"/>
      <c r="Y86" s="271">
        <f t="shared" si="12"/>
        <v>1</v>
      </c>
      <c r="Z86" s="271"/>
      <c r="AA86" s="271"/>
      <c r="AB86" s="271"/>
      <c r="AC86" s="584">
        <f t="shared" si="13"/>
        <v>1</v>
      </c>
      <c r="AD86" s="584"/>
      <c r="AE86" s="584"/>
      <c r="AF86" s="584"/>
      <c r="AG86" s="584"/>
      <c r="AH86" s="584">
        <f t="shared" si="14"/>
        <v>1</v>
      </c>
    </row>
    <row r="87" spans="1:34" s="32" customFormat="1" ht="14.45" customHeight="1" x14ac:dyDescent="0.25">
      <c r="A87" s="5" t="s">
        <v>123</v>
      </c>
      <c r="B87" s="579" t="s">
        <v>704</v>
      </c>
      <c r="C87" s="268"/>
      <c r="D87" s="269"/>
      <c r="E87" s="269"/>
      <c r="F87" s="269"/>
      <c r="G87" s="269"/>
      <c r="H87" s="269"/>
      <c r="I87" s="269"/>
      <c r="J87" s="269"/>
      <c r="K87" s="270"/>
      <c r="L87" s="270"/>
      <c r="M87" s="270"/>
      <c r="N87" s="271">
        <v>1</v>
      </c>
      <c r="O87" s="271"/>
      <c r="P87" s="271">
        <f t="shared" si="11"/>
        <v>1</v>
      </c>
      <c r="Q87" s="271"/>
      <c r="R87" s="271"/>
      <c r="S87" s="271"/>
      <c r="T87" s="271">
        <v>1</v>
      </c>
      <c r="U87" s="271"/>
      <c r="V87" s="271"/>
      <c r="W87" s="271"/>
      <c r="X87" s="271"/>
      <c r="Y87" s="271">
        <f t="shared" si="12"/>
        <v>1</v>
      </c>
      <c r="Z87" s="271"/>
      <c r="AA87" s="271"/>
      <c r="AB87" s="271"/>
      <c r="AC87" s="584">
        <f t="shared" si="13"/>
        <v>1</v>
      </c>
      <c r="AD87" s="584"/>
      <c r="AE87" s="584"/>
      <c r="AF87" s="584"/>
      <c r="AG87" s="584"/>
      <c r="AH87" s="584">
        <f t="shared" si="14"/>
        <v>1</v>
      </c>
    </row>
    <row r="88" spans="1:34" s="32" customFormat="1" ht="14.45" customHeight="1" x14ac:dyDescent="0.25">
      <c r="A88" s="5" t="s">
        <v>126</v>
      </c>
      <c r="B88" s="579" t="s">
        <v>705</v>
      </c>
      <c r="C88" s="268"/>
      <c r="D88" s="269"/>
      <c r="E88" s="269"/>
      <c r="F88" s="269"/>
      <c r="G88" s="269"/>
      <c r="H88" s="269"/>
      <c r="I88" s="269"/>
      <c r="J88" s="269"/>
      <c r="K88" s="270"/>
      <c r="L88" s="270"/>
      <c r="M88" s="270"/>
      <c r="N88" s="271">
        <v>3</v>
      </c>
      <c r="O88" s="271"/>
      <c r="P88" s="271">
        <f t="shared" si="11"/>
        <v>3</v>
      </c>
      <c r="Q88" s="271"/>
      <c r="R88" s="271"/>
      <c r="S88" s="271"/>
      <c r="T88" s="271">
        <v>3</v>
      </c>
      <c r="U88" s="271"/>
      <c r="V88" s="271"/>
      <c r="W88" s="271"/>
      <c r="X88" s="271"/>
      <c r="Y88" s="271">
        <f t="shared" si="12"/>
        <v>3</v>
      </c>
      <c r="Z88" s="271"/>
      <c r="AA88" s="271"/>
      <c r="AB88" s="271"/>
      <c r="AC88" s="584">
        <f t="shared" si="13"/>
        <v>3</v>
      </c>
      <c r="AD88" s="584"/>
      <c r="AE88" s="584"/>
      <c r="AF88" s="584"/>
      <c r="AG88" s="584"/>
      <c r="AH88" s="584">
        <f t="shared" si="14"/>
        <v>3</v>
      </c>
    </row>
    <row r="89" spans="1:34" s="32" customFormat="1" ht="14.45" customHeight="1" x14ac:dyDescent="0.25">
      <c r="A89" s="5" t="s">
        <v>127</v>
      </c>
      <c r="B89" s="579" t="s">
        <v>887</v>
      </c>
      <c r="C89" s="268"/>
      <c r="D89" s="269"/>
      <c r="E89" s="269"/>
      <c r="F89" s="269"/>
      <c r="G89" s="269"/>
      <c r="H89" s="269"/>
      <c r="I89" s="269"/>
      <c r="J89" s="269"/>
      <c r="K89" s="270"/>
      <c r="L89" s="270"/>
      <c r="M89" s="270"/>
      <c r="N89" s="271">
        <v>1</v>
      </c>
      <c r="O89" s="271"/>
      <c r="P89" s="271">
        <f t="shared" si="11"/>
        <v>1</v>
      </c>
      <c r="Q89" s="271"/>
      <c r="R89" s="271"/>
      <c r="S89" s="271"/>
      <c r="T89" s="271">
        <v>1</v>
      </c>
      <c r="U89" s="271"/>
      <c r="V89" s="271"/>
      <c r="W89" s="271"/>
      <c r="X89" s="271"/>
      <c r="Y89" s="271">
        <f t="shared" si="12"/>
        <v>1</v>
      </c>
      <c r="Z89" s="271"/>
      <c r="AA89" s="271"/>
      <c r="AB89" s="271"/>
      <c r="AC89" s="584">
        <f t="shared" si="13"/>
        <v>1</v>
      </c>
      <c r="AD89" s="584"/>
      <c r="AE89" s="584"/>
      <c r="AF89" s="584"/>
      <c r="AG89" s="584"/>
      <c r="AH89" s="584">
        <f t="shared" si="14"/>
        <v>1</v>
      </c>
    </row>
    <row r="90" spans="1:34" s="32" customFormat="1" ht="14.45" customHeight="1" x14ac:dyDescent="0.25">
      <c r="A90" s="5" t="s">
        <v>128</v>
      </c>
      <c r="B90" s="585" t="s">
        <v>706</v>
      </c>
      <c r="C90" s="268"/>
      <c r="D90" s="269"/>
      <c r="E90" s="269"/>
      <c r="F90" s="269"/>
      <c r="G90" s="269"/>
      <c r="H90" s="269"/>
      <c r="I90" s="269"/>
      <c r="J90" s="269"/>
      <c r="K90" s="270"/>
      <c r="L90" s="270"/>
      <c r="M90" s="270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584"/>
      <c r="AD90" s="584"/>
      <c r="AE90" s="584"/>
      <c r="AF90" s="584"/>
      <c r="AG90" s="584"/>
      <c r="AH90" s="584"/>
    </row>
    <row r="91" spans="1:34" s="32" customFormat="1" ht="14.45" customHeight="1" x14ac:dyDescent="0.25">
      <c r="A91" s="5" t="s">
        <v>129</v>
      </c>
      <c r="B91" s="579" t="s">
        <v>707</v>
      </c>
      <c r="C91" s="268"/>
      <c r="D91" s="269"/>
      <c r="E91" s="269"/>
      <c r="F91" s="269"/>
      <c r="G91" s="269"/>
      <c r="H91" s="269"/>
      <c r="I91" s="269"/>
      <c r="J91" s="269"/>
      <c r="K91" s="270"/>
      <c r="L91" s="270"/>
      <c r="M91" s="270"/>
      <c r="N91" s="271">
        <v>1</v>
      </c>
      <c r="O91" s="271"/>
      <c r="P91" s="271">
        <f>N91</f>
        <v>1</v>
      </c>
      <c r="Q91" s="271"/>
      <c r="R91" s="271"/>
      <c r="S91" s="271"/>
      <c r="T91" s="271">
        <v>1</v>
      </c>
      <c r="U91" s="271"/>
      <c r="V91" s="271"/>
      <c r="W91" s="271"/>
      <c r="X91" s="271"/>
      <c r="Y91" s="271">
        <f>D91+K91+P91</f>
        <v>1</v>
      </c>
      <c r="Z91" s="271"/>
      <c r="AA91" s="271"/>
      <c r="AB91" s="271"/>
      <c r="AC91" s="584">
        <f>T91+Z91/2</f>
        <v>1</v>
      </c>
      <c r="AD91" s="584"/>
      <c r="AE91" s="584"/>
      <c r="AF91" s="584"/>
      <c r="AG91" s="584"/>
      <c r="AH91" s="584">
        <f>Y91+AB91/2</f>
        <v>1</v>
      </c>
    </row>
    <row r="92" spans="1:34" s="32" customFormat="1" ht="14.45" customHeight="1" x14ac:dyDescent="0.25">
      <c r="A92" s="5" t="s">
        <v>132</v>
      </c>
      <c r="B92" s="579" t="s">
        <v>708</v>
      </c>
      <c r="C92" s="268"/>
      <c r="D92" s="269"/>
      <c r="E92" s="269"/>
      <c r="F92" s="269"/>
      <c r="G92" s="269"/>
      <c r="H92" s="269"/>
      <c r="I92" s="269"/>
      <c r="J92" s="269"/>
      <c r="K92" s="270"/>
      <c r="L92" s="270"/>
      <c r="M92" s="270"/>
      <c r="N92" s="271">
        <v>2</v>
      </c>
      <c r="O92" s="271"/>
      <c r="P92" s="271">
        <f>N92</f>
        <v>2</v>
      </c>
      <c r="Q92" s="271"/>
      <c r="R92" s="271"/>
      <c r="S92" s="271"/>
      <c r="T92" s="271">
        <v>2</v>
      </c>
      <c r="U92" s="271"/>
      <c r="V92" s="271"/>
      <c r="W92" s="271"/>
      <c r="X92" s="271"/>
      <c r="Y92" s="271">
        <f>D92+K92+P92</f>
        <v>2</v>
      </c>
      <c r="Z92" s="271"/>
      <c r="AA92" s="271"/>
      <c r="AB92" s="271"/>
      <c r="AC92" s="584">
        <f>T92+Z92/2</f>
        <v>2</v>
      </c>
      <c r="AD92" s="584"/>
      <c r="AE92" s="584"/>
      <c r="AF92" s="584"/>
      <c r="AG92" s="584"/>
      <c r="AH92" s="584">
        <f>Y92+AB92/2</f>
        <v>2</v>
      </c>
    </row>
    <row r="93" spans="1:34" s="32" customFormat="1" ht="14.45" customHeight="1" x14ac:dyDescent="0.25">
      <c r="A93" s="5" t="s">
        <v>135</v>
      </c>
      <c r="B93" s="579" t="s">
        <v>709</v>
      </c>
      <c r="C93" s="268"/>
      <c r="D93" s="269"/>
      <c r="E93" s="269"/>
      <c r="F93" s="269"/>
      <c r="G93" s="269"/>
      <c r="H93" s="269"/>
      <c r="I93" s="269"/>
      <c r="J93" s="269"/>
      <c r="K93" s="270"/>
      <c r="L93" s="270"/>
      <c r="M93" s="270"/>
      <c r="N93" s="271">
        <v>1</v>
      </c>
      <c r="O93" s="271"/>
      <c r="P93" s="271">
        <f>N93</f>
        <v>1</v>
      </c>
      <c r="Q93" s="271"/>
      <c r="R93" s="271"/>
      <c r="S93" s="271"/>
      <c r="T93" s="271">
        <v>1</v>
      </c>
      <c r="U93" s="271"/>
      <c r="V93" s="271"/>
      <c r="W93" s="271"/>
      <c r="X93" s="271"/>
      <c r="Y93" s="271">
        <f>D93+K93+P93</f>
        <v>1</v>
      </c>
      <c r="Z93" s="271"/>
      <c r="AA93" s="271"/>
      <c r="AB93" s="271"/>
      <c r="AC93" s="584">
        <f>T93+Z93/2</f>
        <v>1</v>
      </c>
      <c r="AD93" s="584"/>
      <c r="AE93" s="584"/>
      <c r="AF93" s="584"/>
      <c r="AG93" s="584"/>
      <c r="AH93" s="584">
        <f>Y93+AB93/2</f>
        <v>1</v>
      </c>
    </row>
    <row r="94" spans="1:34" s="32" customFormat="1" ht="14.45" customHeight="1" x14ac:dyDescent="0.25">
      <c r="A94" s="5" t="s">
        <v>138</v>
      </c>
      <c r="B94" s="940" t="s">
        <v>1033</v>
      </c>
      <c r="C94" s="941"/>
      <c r="D94" s="942"/>
      <c r="E94" s="942"/>
      <c r="F94" s="942"/>
      <c r="G94" s="942"/>
      <c r="H94" s="942"/>
      <c r="I94" s="942"/>
      <c r="J94" s="942"/>
      <c r="K94" s="943"/>
      <c r="L94" s="943"/>
      <c r="M94" s="943"/>
      <c r="N94" s="944">
        <v>0.5</v>
      </c>
      <c r="O94" s="944"/>
      <c r="P94" s="944">
        <f>N94</f>
        <v>0.5</v>
      </c>
      <c r="Q94" s="944"/>
      <c r="R94" s="944"/>
      <c r="S94" s="944"/>
      <c r="T94" s="944">
        <f>N94+Q94</f>
        <v>0.5</v>
      </c>
      <c r="U94" s="944"/>
      <c r="V94" s="944"/>
      <c r="W94" s="944"/>
      <c r="X94" s="944"/>
      <c r="Y94" s="944">
        <f>D94+K94+P94</f>
        <v>0.5</v>
      </c>
      <c r="Z94" s="944"/>
      <c r="AA94" s="944"/>
      <c r="AB94" s="944"/>
      <c r="AC94" s="945">
        <f>T94+Z94</f>
        <v>0.5</v>
      </c>
      <c r="AD94" s="945"/>
      <c r="AE94" s="945"/>
      <c r="AF94" s="946"/>
      <c r="AG94" s="946"/>
      <c r="AH94" s="947">
        <f>Y94+AB94/2</f>
        <v>0.5</v>
      </c>
    </row>
    <row r="95" spans="1:34" s="32" customFormat="1" ht="14.45" customHeight="1" x14ac:dyDescent="0.25">
      <c r="A95" s="5" t="s">
        <v>139</v>
      </c>
      <c r="B95" s="264" t="s">
        <v>710</v>
      </c>
      <c r="C95" s="268"/>
      <c r="D95" s="269"/>
      <c r="E95" s="269"/>
      <c r="F95" s="269"/>
      <c r="G95" s="269"/>
      <c r="H95" s="269"/>
      <c r="I95" s="269"/>
      <c r="J95" s="269"/>
      <c r="K95" s="270"/>
      <c r="L95" s="270"/>
      <c r="M95" s="270"/>
      <c r="N95" s="271">
        <f>SUM(N72:N94)</f>
        <v>23.5</v>
      </c>
      <c r="O95" s="271"/>
      <c r="P95" s="271">
        <f>N95</f>
        <v>23.5</v>
      </c>
      <c r="Q95" s="271">
        <f>SUM(Q72:Q93)</f>
        <v>0</v>
      </c>
      <c r="R95" s="271"/>
      <c r="S95" s="271">
        <f>SUM(S72:S93)</f>
        <v>0</v>
      </c>
      <c r="T95" s="271">
        <f>SUM(T72:T94)</f>
        <v>23.5</v>
      </c>
      <c r="U95" s="271"/>
      <c r="V95" s="271"/>
      <c r="W95" s="271"/>
      <c r="X95" s="271"/>
      <c r="Y95" s="271">
        <f>D95+K95+P95</f>
        <v>23.5</v>
      </c>
      <c r="Z95" s="271">
        <f>SUM(Z72:Z93)</f>
        <v>0</v>
      </c>
      <c r="AA95" s="271"/>
      <c r="AB95" s="271">
        <f>SUM(AB72:AB93)</f>
        <v>0</v>
      </c>
      <c r="AC95" s="682">
        <f>T95+Z95/2</f>
        <v>23.5</v>
      </c>
      <c r="AD95" s="682"/>
      <c r="AE95" s="682"/>
      <c r="AF95" s="829">
        <v>0</v>
      </c>
      <c r="AG95" s="829"/>
      <c r="AH95" s="682">
        <f>SUM(AH72:AH94)</f>
        <v>23.5</v>
      </c>
    </row>
    <row r="96" spans="1:34" s="32" customFormat="1" ht="14.45" customHeight="1" x14ac:dyDescent="0.25">
      <c r="A96" s="5"/>
      <c r="B96" s="580"/>
      <c r="C96" s="663"/>
      <c r="D96" s="664"/>
      <c r="E96" s="664"/>
      <c r="F96" s="664"/>
      <c r="G96" s="664"/>
      <c r="H96" s="664"/>
      <c r="I96" s="664"/>
      <c r="J96" s="664"/>
      <c r="K96" s="665"/>
      <c r="L96" s="665"/>
      <c r="M96" s="665"/>
      <c r="N96" s="666"/>
      <c r="O96" s="666"/>
      <c r="P96" s="666"/>
      <c r="Q96" s="666"/>
      <c r="R96" s="666"/>
      <c r="S96" s="666"/>
      <c r="T96" s="666"/>
      <c r="U96" s="666"/>
      <c r="V96" s="666"/>
      <c r="W96" s="666"/>
      <c r="X96" s="666"/>
      <c r="Y96" s="666"/>
      <c r="Z96" s="666"/>
      <c r="AA96" s="666"/>
      <c r="AB96" s="666"/>
      <c r="AC96" s="667"/>
      <c r="AD96" s="667"/>
      <c r="AE96" s="667"/>
      <c r="AF96" s="666"/>
      <c r="AG96" s="666"/>
      <c r="AH96" s="666"/>
    </row>
    <row r="97" spans="1:252" s="32" customFormat="1" ht="14.45" customHeight="1" x14ac:dyDescent="0.25">
      <c r="A97" s="5"/>
      <c r="B97" s="79"/>
      <c r="C97" s="73"/>
      <c r="D97" s="56"/>
      <c r="E97" s="56"/>
      <c r="F97" s="56"/>
      <c r="G97" s="56"/>
      <c r="H97" s="56"/>
      <c r="I97" s="56"/>
      <c r="J97" s="56"/>
      <c r="K97" s="74"/>
      <c r="L97" s="74"/>
      <c r="M97" s="74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266"/>
      <c r="AD97" s="266"/>
      <c r="AE97" s="266"/>
      <c r="AF97" s="57"/>
      <c r="AG97" s="57"/>
      <c r="AH97" s="57"/>
    </row>
    <row r="98" spans="1:252" s="32" customFormat="1" ht="14.45" customHeight="1" x14ac:dyDescent="0.25">
      <c r="A98" s="5"/>
      <c r="B98" s="79"/>
      <c r="C98" s="73"/>
      <c r="D98" s="56"/>
      <c r="E98" s="56"/>
      <c r="F98" s="56"/>
      <c r="G98" s="56"/>
      <c r="H98" s="56"/>
      <c r="I98" s="56"/>
      <c r="J98" s="56"/>
      <c r="K98" s="74"/>
      <c r="L98" s="74"/>
      <c r="M98" s="74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266"/>
      <c r="AD98" s="266"/>
      <c r="AE98" s="266"/>
      <c r="AF98" s="57"/>
      <c r="AG98" s="57"/>
      <c r="AH98" s="57"/>
    </row>
    <row r="99" spans="1:252" s="32" customFormat="1" ht="14.45" customHeight="1" x14ac:dyDescent="0.25">
      <c r="A99" s="265" t="s">
        <v>142</v>
      </c>
      <c r="B99" s="79" t="s">
        <v>514</v>
      </c>
      <c r="C99" s="73"/>
      <c r="D99" s="56"/>
      <c r="E99" s="56"/>
      <c r="F99" s="56"/>
      <c r="G99" s="56"/>
      <c r="H99" s="56"/>
      <c r="I99" s="56"/>
      <c r="J99" s="56"/>
      <c r="K99" s="74"/>
      <c r="L99" s="74"/>
      <c r="M99" s="74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266"/>
      <c r="AD99" s="266"/>
      <c r="AE99" s="266"/>
      <c r="AF99" s="57"/>
      <c r="AG99" s="57"/>
      <c r="AH99" s="57"/>
    </row>
    <row r="100" spans="1:252" s="32" customFormat="1" ht="14.45" customHeight="1" x14ac:dyDescent="0.25">
      <c r="A100" s="265" t="s">
        <v>143</v>
      </c>
      <c r="B100" s="267" t="s">
        <v>515</v>
      </c>
      <c r="C100" s="268"/>
      <c r="D100" s="269"/>
      <c r="E100" s="269"/>
      <c r="F100" s="269"/>
      <c r="G100" s="269"/>
      <c r="H100" s="269"/>
      <c r="I100" s="269"/>
      <c r="J100" s="269"/>
      <c r="K100" s="270"/>
      <c r="L100" s="270"/>
      <c r="M100" s="270"/>
      <c r="N100" s="270">
        <v>13</v>
      </c>
      <c r="O100" s="270"/>
      <c r="P100" s="270">
        <f>N100</f>
        <v>13</v>
      </c>
      <c r="Q100" s="271"/>
      <c r="R100" s="271"/>
      <c r="S100" s="271"/>
      <c r="T100" s="270">
        <f>N100</f>
        <v>13</v>
      </c>
      <c r="U100" s="270"/>
      <c r="V100" s="270"/>
      <c r="W100" s="271"/>
      <c r="X100" s="271"/>
      <c r="Y100" s="271">
        <f>P100+K100+D100</f>
        <v>13</v>
      </c>
      <c r="Z100" s="271"/>
      <c r="AA100" s="271"/>
      <c r="AB100" s="271"/>
      <c r="AC100" s="270">
        <f>T100+Z100/2</f>
        <v>13</v>
      </c>
      <c r="AD100" s="270"/>
      <c r="AE100" s="270"/>
      <c r="AF100" s="271"/>
      <c r="AG100" s="271"/>
      <c r="AH100" s="271">
        <f>Y100+AB100/2</f>
        <v>13</v>
      </c>
    </row>
    <row r="101" spans="1:252" s="32" customFormat="1" ht="14.45" customHeight="1" x14ac:dyDescent="0.25">
      <c r="A101" s="265" t="s">
        <v>144</v>
      </c>
      <c r="B101" s="267" t="s">
        <v>516</v>
      </c>
      <c r="C101" s="268"/>
      <c r="D101" s="269"/>
      <c r="E101" s="269"/>
      <c r="F101" s="269"/>
      <c r="G101" s="269"/>
      <c r="H101" s="269"/>
      <c r="I101" s="269"/>
      <c r="J101" s="269"/>
      <c r="K101" s="270"/>
      <c r="L101" s="270"/>
      <c r="M101" s="270"/>
      <c r="N101" s="270">
        <v>8</v>
      </c>
      <c r="O101" s="270"/>
      <c r="P101" s="270">
        <f>N101</f>
        <v>8</v>
      </c>
      <c r="Q101" s="271"/>
      <c r="R101" s="271"/>
      <c r="S101" s="271"/>
      <c r="T101" s="270">
        <f>N101</f>
        <v>8</v>
      </c>
      <c r="U101" s="270"/>
      <c r="V101" s="270"/>
      <c r="W101" s="271"/>
      <c r="X101" s="271"/>
      <c r="Y101" s="271">
        <f>T101+W101</f>
        <v>8</v>
      </c>
      <c r="Z101" s="271"/>
      <c r="AA101" s="271"/>
      <c r="AB101" s="271"/>
      <c r="AC101" s="270">
        <f>T101+Z101/2</f>
        <v>8</v>
      </c>
      <c r="AD101" s="270"/>
      <c r="AE101" s="270"/>
      <c r="AF101" s="271"/>
      <c r="AG101" s="271"/>
      <c r="AH101" s="271">
        <f>Y101+AB101/2</f>
        <v>8</v>
      </c>
    </row>
    <row r="102" spans="1:252" s="32" customFormat="1" ht="14.45" customHeight="1" x14ac:dyDescent="0.25">
      <c r="A102" s="265" t="s">
        <v>145</v>
      </c>
      <c r="B102" s="267" t="s">
        <v>517</v>
      </c>
      <c r="C102" s="268"/>
      <c r="D102" s="269"/>
      <c r="E102" s="269"/>
      <c r="F102" s="269"/>
      <c r="G102" s="269"/>
      <c r="H102" s="269"/>
      <c r="I102" s="269"/>
      <c r="J102" s="269"/>
      <c r="K102" s="270"/>
      <c r="L102" s="270"/>
      <c r="M102" s="270"/>
      <c r="N102" s="270">
        <v>3</v>
      </c>
      <c r="O102" s="270"/>
      <c r="P102" s="270">
        <f>N102</f>
        <v>3</v>
      </c>
      <c r="Q102" s="271"/>
      <c r="R102" s="271"/>
      <c r="S102" s="271"/>
      <c r="T102" s="270">
        <v>3</v>
      </c>
      <c r="U102" s="270"/>
      <c r="V102" s="270"/>
      <c r="W102" s="271"/>
      <c r="X102" s="271"/>
      <c r="Y102" s="271">
        <v>3</v>
      </c>
      <c r="Z102" s="271"/>
      <c r="AA102" s="271"/>
      <c r="AB102" s="271"/>
      <c r="AC102" s="270">
        <f>T102+Z102/2</f>
        <v>3</v>
      </c>
      <c r="AD102" s="270"/>
      <c r="AE102" s="270"/>
      <c r="AF102" s="271"/>
      <c r="AG102" s="271"/>
      <c r="AH102" s="271">
        <f>Y102+AB102/2</f>
        <v>3</v>
      </c>
    </row>
    <row r="103" spans="1:252" s="32" customFormat="1" ht="14.45" customHeight="1" x14ac:dyDescent="0.25">
      <c r="A103" s="265" t="s">
        <v>146</v>
      </c>
      <c r="B103" s="272" t="s">
        <v>1100</v>
      </c>
      <c r="C103" s="273"/>
      <c r="D103" s="274"/>
      <c r="E103" s="274"/>
      <c r="F103" s="274"/>
      <c r="G103" s="274"/>
      <c r="H103" s="274"/>
      <c r="I103" s="274"/>
      <c r="J103" s="274"/>
      <c r="K103" s="270"/>
      <c r="L103" s="270"/>
      <c r="M103" s="270"/>
      <c r="N103" s="271">
        <f>N100+N101+N102</f>
        <v>24</v>
      </c>
      <c r="O103" s="271"/>
      <c r="P103" s="271">
        <f>N103</f>
        <v>24</v>
      </c>
      <c r="Q103" s="271">
        <v>0</v>
      </c>
      <c r="R103" s="271"/>
      <c r="S103" s="271">
        <f>S100+S101+S102</f>
        <v>0</v>
      </c>
      <c r="T103" s="271">
        <f>T100+T101+T102</f>
        <v>24</v>
      </c>
      <c r="U103" s="271"/>
      <c r="V103" s="271"/>
      <c r="W103" s="271"/>
      <c r="X103" s="271"/>
      <c r="Y103" s="271">
        <f>Y100+Y101+Y102</f>
        <v>24</v>
      </c>
      <c r="Z103" s="271">
        <f>Z100+Z101+Z102</f>
        <v>0</v>
      </c>
      <c r="AA103" s="271"/>
      <c r="AB103" s="271">
        <f>AB100+AB101+AB102</f>
        <v>0</v>
      </c>
      <c r="AC103" s="682">
        <f>T103+Z103/2</f>
        <v>24</v>
      </c>
      <c r="AD103" s="682"/>
      <c r="AE103" s="682"/>
      <c r="AF103" s="829">
        <v>0</v>
      </c>
      <c r="AG103" s="829"/>
      <c r="AH103" s="682">
        <f>Y103+AB103/2</f>
        <v>24</v>
      </c>
    </row>
    <row r="104" spans="1:252" ht="15.75" customHeight="1" x14ac:dyDescent="0.25">
      <c r="A104" s="265"/>
      <c r="B104" s="668"/>
      <c r="C104" s="669"/>
      <c r="D104" s="670"/>
      <c r="E104" s="670"/>
      <c r="F104" s="670"/>
      <c r="G104" s="670"/>
      <c r="H104" s="670"/>
      <c r="I104" s="670"/>
      <c r="J104" s="670"/>
      <c r="K104" s="671"/>
      <c r="L104" s="671"/>
      <c r="M104" s="671"/>
      <c r="N104" s="672"/>
      <c r="O104" s="672"/>
      <c r="P104" s="672"/>
      <c r="Q104" s="672"/>
      <c r="R104" s="672"/>
      <c r="S104" s="672"/>
      <c r="T104" s="672"/>
      <c r="U104" s="672"/>
      <c r="V104" s="672"/>
      <c r="W104" s="672"/>
      <c r="X104" s="672"/>
      <c r="Y104" s="672"/>
      <c r="Z104" s="672"/>
      <c r="AA104" s="672"/>
      <c r="AB104" s="672"/>
      <c r="AC104" s="672"/>
      <c r="AD104" s="672"/>
      <c r="AE104" s="672"/>
      <c r="AF104" s="672"/>
      <c r="AG104" s="672"/>
      <c r="AH104" s="673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</row>
    <row r="105" spans="1:252" s="32" customFormat="1" ht="14.45" customHeight="1" x14ac:dyDescent="0.25">
      <c r="A105" s="265"/>
      <c r="B105" s="54"/>
      <c r="C105" s="55"/>
      <c r="D105" s="56"/>
      <c r="E105" s="56"/>
      <c r="F105" s="56"/>
      <c r="G105" s="56"/>
      <c r="H105" s="56"/>
      <c r="I105" s="56"/>
      <c r="J105" s="56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</row>
    <row r="106" spans="1:252" s="32" customFormat="1" ht="15.75" customHeight="1" x14ac:dyDescent="0.25">
      <c r="A106" s="265" t="s">
        <v>148</v>
      </c>
      <c r="B106" s="49" t="s">
        <v>676</v>
      </c>
      <c r="C106" s="50">
        <f>C26+C42+C66</f>
        <v>0</v>
      </c>
      <c r="D106" s="50">
        <f>D26+D42+D66</f>
        <v>0</v>
      </c>
      <c r="E106" s="50"/>
      <c r="F106" s="50"/>
      <c r="G106" s="50">
        <f>G26+G42+G66</f>
        <v>0</v>
      </c>
      <c r="H106" s="50"/>
      <c r="I106" s="50"/>
      <c r="J106" s="50"/>
      <c r="K106" s="50">
        <f>K26+K42+K66</f>
        <v>0</v>
      </c>
      <c r="L106" s="50">
        <f>L26+L42+L66</f>
        <v>0</v>
      </c>
      <c r="M106" s="50">
        <f>M26+M42+M66</f>
        <v>0</v>
      </c>
      <c r="N106" s="50">
        <f t="shared" ref="N106:AH106" si="15">N26+N42+N103+N95</f>
        <v>187</v>
      </c>
      <c r="O106" s="1086">
        <f>O26+O42+O95+O103</f>
        <v>2</v>
      </c>
      <c r="P106" s="50">
        <f t="shared" si="15"/>
        <v>189</v>
      </c>
      <c r="Q106" s="50">
        <f t="shared" si="15"/>
        <v>1</v>
      </c>
      <c r="R106" s="50">
        <f t="shared" si="15"/>
        <v>-1</v>
      </c>
      <c r="S106" s="50">
        <f t="shared" si="15"/>
        <v>0</v>
      </c>
      <c r="T106" s="50">
        <f t="shared" si="15"/>
        <v>187</v>
      </c>
      <c r="U106" s="50">
        <f>U26+U42+U95+U103</f>
        <v>2</v>
      </c>
      <c r="V106" s="50"/>
      <c r="W106" s="830">
        <f>W103+W95+W42+W26</f>
        <v>0</v>
      </c>
      <c r="X106" s="830"/>
      <c r="Y106" s="50">
        <f t="shared" si="15"/>
        <v>189</v>
      </c>
      <c r="Z106" s="50">
        <f t="shared" si="15"/>
        <v>1</v>
      </c>
      <c r="AA106" s="50">
        <f>AA26+AA42+AA95+AA103</f>
        <v>-1</v>
      </c>
      <c r="AB106" s="50">
        <f t="shared" si="15"/>
        <v>0</v>
      </c>
      <c r="AC106" s="683">
        <f t="shared" si="15"/>
        <v>187.5</v>
      </c>
      <c r="AD106" s="683">
        <f>AD26+AD42+AD95+AD103</f>
        <v>1.5</v>
      </c>
      <c r="AE106" s="683"/>
      <c r="AF106" s="683">
        <f t="shared" ref="AF106" si="16">AF103+AF95+AF42+AF26</f>
        <v>0</v>
      </c>
      <c r="AG106" s="683"/>
      <c r="AH106" s="683">
        <f t="shared" si="15"/>
        <v>189</v>
      </c>
    </row>
    <row r="107" spans="1:252" s="32" customFormat="1" ht="14.45" customHeight="1" x14ac:dyDescent="0.25">
      <c r="A107" s="265"/>
      <c r="B107" s="59"/>
      <c r="C107" s="60"/>
      <c r="D107" s="61"/>
      <c r="E107" s="61"/>
      <c r="F107" s="61"/>
      <c r="G107" s="61"/>
      <c r="H107" s="61"/>
      <c r="I107" s="61"/>
      <c r="J107" s="61"/>
      <c r="K107" s="62"/>
      <c r="L107" s="62"/>
      <c r="M107" s="62"/>
      <c r="N107" s="62"/>
      <c r="O107" s="62"/>
      <c r="P107" s="61"/>
      <c r="Q107" s="61"/>
      <c r="R107" s="61"/>
      <c r="S107" s="61"/>
      <c r="T107" s="61"/>
      <c r="U107" s="57"/>
      <c r="V107" s="57"/>
      <c r="W107" s="57"/>
      <c r="X107" s="57"/>
      <c r="Y107" s="71"/>
      <c r="Z107" s="72"/>
      <c r="AA107" s="72"/>
      <c r="AB107" s="72"/>
      <c r="AC107" s="443"/>
      <c r="AD107" s="443"/>
      <c r="AE107" s="443"/>
      <c r="AF107" s="443"/>
      <c r="AG107" s="443"/>
      <c r="AH107" s="443"/>
    </row>
    <row r="108" spans="1:252" ht="14.45" customHeight="1" x14ac:dyDescent="0.25">
      <c r="A108" s="265" t="s">
        <v>151</v>
      </c>
      <c r="B108" s="49" t="s">
        <v>595</v>
      </c>
      <c r="C108" s="78">
        <f>C12+C14+C106</f>
        <v>9</v>
      </c>
      <c r="D108" s="831">
        <f>D12+D14+D106</f>
        <v>9</v>
      </c>
      <c r="E108" s="791">
        <f>E12++E14+E106</f>
        <v>0</v>
      </c>
      <c r="F108" s="791">
        <f>F106+F14+F12</f>
        <v>0</v>
      </c>
      <c r="G108" s="78">
        <f>G12+G14+G106</f>
        <v>38</v>
      </c>
      <c r="H108" s="78">
        <f t="shared" ref="H108:K108" si="17">H12+H14+H106</f>
        <v>2</v>
      </c>
      <c r="I108" s="78">
        <f t="shared" si="17"/>
        <v>-2</v>
      </c>
      <c r="J108" s="78">
        <f t="shared" si="17"/>
        <v>1</v>
      </c>
      <c r="K108" s="78">
        <f t="shared" si="17"/>
        <v>39</v>
      </c>
      <c r="L108" s="78">
        <f>L12+L14+L106</f>
        <v>0</v>
      </c>
      <c r="M108" s="78">
        <f>M12+M14+M106</f>
        <v>0</v>
      </c>
      <c r="N108" s="444">
        <f>N106</f>
        <v>187</v>
      </c>
      <c r="O108" s="78">
        <f>O106+O12+O14</f>
        <v>2</v>
      </c>
      <c r="P108" s="444">
        <f>P12+P14+P106</f>
        <v>189</v>
      </c>
      <c r="Q108" s="444">
        <f>Q12+Q14+Q106</f>
        <v>1</v>
      </c>
      <c r="R108" s="444">
        <f>R12+R14+R106</f>
        <v>-1</v>
      </c>
      <c r="S108" s="444">
        <f>S12+S14+S106</f>
        <v>0</v>
      </c>
      <c r="T108" s="53">
        <f>C108+G108+N108</f>
        <v>234</v>
      </c>
      <c r="U108" s="791">
        <f>U106+U12+U14</f>
        <v>2</v>
      </c>
      <c r="V108" s="791">
        <f>V14+V12</f>
        <v>2</v>
      </c>
      <c r="W108" s="791">
        <f>W12+W14+W106</f>
        <v>-2</v>
      </c>
      <c r="X108" s="791">
        <f>X12+X14+X106</f>
        <v>1</v>
      </c>
      <c r="Y108" s="263">
        <f>Y106+Y14+Y12</f>
        <v>237</v>
      </c>
      <c r="Z108" s="976">
        <f>Z12+Z14+Z106</f>
        <v>1</v>
      </c>
      <c r="AA108" s="976">
        <f>AA106+AA12+AA14</f>
        <v>-1</v>
      </c>
      <c r="AB108" s="468">
        <f>AB12+AB14+AB106</f>
        <v>0</v>
      </c>
      <c r="AC108" s="884">
        <f>AC12+AC14+AC106</f>
        <v>234.5</v>
      </c>
      <c r="AD108" s="884">
        <f>AD106+AD12+AD14</f>
        <v>1.5</v>
      </c>
      <c r="AE108" s="884">
        <f t="shared" ref="AE108" si="18">AE12+AE14+AE106</f>
        <v>2</v>
      </c>
      <c r="AF108" s="884">
        <f>AF12+AF14+AF106</f>
        <v>-2</v>
      </c>
      <c r="AG108" s="884">
        <f t="shared" ref="AG108:AH108" si="19">AG12+AG14+AG106</f>
        <v>1</v>
      </c>
      <c r="AH108" s="884">
        <f t="shared" si="19"/>
        <v>237</v>
      </c>
      <c r="AI108" s="540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</row>
    <row r="109" spans="1:252" ht="15.75" customHeight="1" x14ac:dyDescent="0.25">
      <c r="B109" s="79"/>
      <c r="C109" s="73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469"/>
      <c r="U109" s="469"/>
      <c r="V109" s="469"/>
      <c r="W109" s="575"/>
      <c r="X109" s="575"/>
      <c r="Y109" s="469"/>
      <c r="Z109" s="575"/>
      <c r="AA109" s="575"/>
      <c r="AB109" s="575"/>
      <c r="AC109" s="575"/>
      <c r="AD109" s="575"/>
      <c r="AE109" s="575"/>
      <c r="AF109" s="575"/>
      <c r="AG109" s="575"/>
      <c r="AH109" s="575"/>
    </row>
    <row r="110" spans="1:252" ht="30" customHeight="1" x14ac:dyDescent="0.25">
      <c r="B110" s="2098" t="s">
        <v>1101</v>
      </c>
      <c r="C110" s="2098"/>
      <c r="D110" s="2098"/>
      <c r="E110" s="2098"/>
      <c r="F110" s="2098"/>
      <c r="G110" s="2098"/>
      <c r="H110" s="2098"/>
      <c r="I110" s="2098"/>
      <c r="J110" s="2098"/>
      <c r="K110" s="2098"/>
      <c r="L110" s="2098"/>
      <c r="M110" s="2098"/>
      <c r="N110" s="2098"/>
      <c r="O110" s="2098"/>
      <c r="P110" s="2098"/>
      <c r="Q110" s="2098"/>
      <c r="R110" s="2098"/>
      <c r="S110" s="2098"/>
      <c r="T110" s="2098"/>
      <c r="U110" s="2098"/>
      <c r="V110" s="2098"/>
      <c r="W110" s="2098"/>
      <c r="X110" s="2098"/>
      <c r="Y110" s="2098"/>
      <c r="Z110" s="2098"/>
      <c r="AA110" s="2098"/>
      <c r="AB110" s="2098"/>
      <c r="AC110" s="2098"/>
      <c r="AD110" s="2098"/>
      <c r="AE110" s="2098"/>
      <c r="AF110" s="2098"/>
      <c r="AG110" s="2098"/>
      <c r="AH110" s="2098"/>
      <c r="AI110" s="470"/>
    </row>
    <row r="111" spans="1:252" ht="29.25" customHeight="1" x14ac:dyDescent="0.25">
      <c r="A111" s="16"/>
      <c r="B111" s="2095" t="s">
        <v>1201</v>
      </c>
      <c r="C111" s="2095"/>
      <c r="D111" s="2095"/>
      <c r="E111" s="2095"/>
      <c r="F111" s="2095"/>
      <c r="G111" s="2095"/>
      <c r="H111" s="2095"/>
      <c r="I111" s="2095"/>
      <c r="J111" s="2095"/>
      <c r="K111" s="2095"/>
      <c r="L111" s="2095"/>
      <c r="M111" s="2095"/>
      <c r="N111" s="2095"/>
      <c r="O111" s="2095"/>
      <c r="P111" s="2095"/>
      <c r="Q111" s="2095"/>
      <c r="R111" s="2095"/>
      <c r="S111" s="2095"/>
      <c r="T111" s="2095"/>
      <c r="U111" s="2095"/>
      <c r="V111" s="2095"/>
      <c r="W111" s="2095"/>
      <c r="X111" s="2095"/>
      <c r="Y111" s="2095"/>
      <c r="Z111" s="2095"/>
      <c r="AA111" s="2095"/>
      <c r="AB111" s="2095"/>
      <c r="AC111" s="2095"/>
      <c r="AD111" s="2095"/>
      <c r="AE111" s="2095"/>
      <c r="AF111" s="2095"/>
      <c r="AG111" s="2095"/>
      <c r="AH111" s="2095"/>
      <c r="AI111" s="470"/>
    </row>
    <row r="112" spans="1:252" ht="12.75" customHeight="1" x14ac:dyDescent="0.25">
      <c r="B112" s="24" t="s">
        <v>281</v>
      </c>
    </row>
    <row r="113" spans="2:34" ht="13.9" customHeight="1" x14ac:dyDescent="0.25">
      <c r="B113" s="2094" t="s">
        <v>1354</v>
      </c>
      <c r="C113" s="2094"/>
      <c r="D113" s="2094"/>
      <c r="E113" s="2094"/>
      <c r="F113" s="2094"/>
      <c r="G113" s="2094"/>
      <c r="H113" s="2094"/>
      <c r="I113" s="2094"/>
      <c r="J113" s="2094"/>
      <c r="K113" s="2094"/>
      <c r="L113" s="2094"/>
      <c r="M113" s="2094"/>
      <c r="N113" s="2094"/>
      <c r="O113" s="2094"/>
      <c r="P113" s="2094"/>
      <c r="Q113" s="2094"/>
      <c r="R113" s="2094"/>
      <c r="S113" s="2094"/>
      <c r="T113" s="2094"/>
      <c r="U113" s="2094"/>
      <c r="V113" s="2094"/>
      <c r="W113" s="2094"/>
      <c r="X113" s="2094"/>
      <c r="Y113" s="2094"/>
      <c r="Z113" s="2094"/>
      <c r="AA113" s="2094"/>
      <c r="AB113" s="2094"/>
      <c r="AC113" s="2094"/>
      <c r="AD113" s="2094"/>
      <c r="AE113" s="2094"/>
      <c r="AF113" s="2094"/>
      <c r="AG113" s="2094"/>
      <c r="AH113" s="2094"/>
    </row>
  </sheetData>
  <sheetProtection selectLockedCells="1" selectUnlockedCells="1"/>
  <mergeCells count="32">
    <mergeCell ref="A3:AH3"/>
    <mergeCell ref="A4:AH4"/>
    <mergeCell ref="T8:AB8"/>
    <mergeCell ref="AC8:AH9"/>
    <mergeCell ref="C8:F8"/>
    <mergeCell ref="G8:M8"/>
    <mergeCell ref="B8:B10"/>
    <mergeCell ref="L9:M9"/>
    <mergeCell ref="N8:S8"/>
    <mergeCell ref="A1:AH1"/>
    <mergeCell ref="A2:AH2"/>
    <mergeCell ref="A5:AH5"/>
    <mergeCell ref="N7:P7"/>
    <mergeCell ref="Q7:S7"/>
    <mergeCell ref="T7:Y7"/>
    <mergeCell ref="Z7:AB7"/>
    <mergeCell ref="AC7:AH7"/>
    <mergeCell ref="E7:F7"/>
    <mergeCell ref="G7:K7"/>
    <mergeCell ref="A7:A10"/>
    <mergeCell ref="C7:D7"/>
    <mergeCell ref="L7:M7"/>
    <mergeCell ref="E9:F9"/>
    <mergeCell ref="G9:K9"/>
    <mergeCell ref="C9:D9"/>
    <mergeCell ref="B113:AH113"/>
    <mergeCell ref="B111:AH111"/>
    <mergeCell ref="N9:P9"/>
    <mergeCell ref="Q9:S9"/>
    <mergeCell ref="T9:Y9"/>
    <mergeCell ref="Z9:AB9"/>
    <mergeCell ref="B110:AH110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2093" t="s">
        <v>1209</v>
      </c>
      <c r="B1" s="2093"/>
      <c r="C1" s="2093"/>
      <c r="D1" s="2093"/>
      <c r="E1" s="2093"/>
      <c r="F1" s="2093"/>
      <c r="G1" s="2093"/>
      <c r="H1" s="2093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</row>
    <row r="2" spans="1:35" x14ac:dyDescent="0.2">
      <c r="C2" t="s">
        <v>327</v>
      </c>
    </row>
    <row r="3" spans="1:35" ht="14.25" x14ac:dyDescent="0.2">
      <c r="A3" s="2107" t="s">
        <v>316</v>
      </c>
      <c r="B3" s="2107"/>
      <c r="C3" s="2107"/>
      <c r="D3" s="2107"/>
      <c r="E3" s="2107"/>
      <c r="F3" s="2107"/>
      <c r="G3" s="2107"/>
      <c r="H3" s="2107"/>
    </row>
    <row r="4" spans="1:35" ht="14.25" x14ac:dyDescent="0.2">
      <c r="A4" s="2107" t="s">
        <v>317</v>
      </c>
      <c r="B4" s="2107"/>
      <c r="C4" s="2107"/>
      <c r="D4" s="2107"/>
      <c r="E4" s="2107"/>
      <c r="F4" s="2107"/>
      <c r="G4" s="2107"/>
      <c r="H4" s="2107"/>
    </row>
    <row r="5" spans="1:35" ht="14.25" x14ac:dyDescent="0.2">
      <c r="A5" s="2108" t="s">
        <v>55</v>
      </c>
      <c r="B5" s="2108"/>
      <c r="C5" s="2108"/>
      <c r="D5" s="2108"/>
      <c r="E5" s="2108"/>
      <c r="F5" s="2108"/>
      <c r="G5" s="2108"/>
      <c r="H5" s="2108"/>
    </row>
    <row r="6" spans="1:35" ht="15" x14ac:dyDescent="0.25">
      <c r="A6" s="364"/>
      <c r="B6" s="587"/>
      <c r="C6" s="587"/>
      <c r="D6" s="587"/>
      <c r="E6" s="587"/>
    </row>
    <row r="7" spans="1:35" ht="14.25" customHeight="1" x14ac:dyDescent="0.2">
      <c r="A7" s="2109"/>
      <c r="B7" s="588" t="s">
        <v>57</v>
      </c>
      <c r="C7" s="588" t="s">
        <v>58</v>
      </c>
      <c r="D7" s="588" t="s">
        <v>59</v>
      </c>
      <c r="E7" s="588" t="s">
        <v>60</v>
      </c>
      <c r="F7" s="589" t="s">
        <v>469</v>
      </c>
      <c r="G7" s="589" t="s">
        <v>470</v>
      </c>
      <c r="H7" s="589" t="s">
        <v>471</v>
      </c>
    </row>
    <row r="8" spans="1:35" ht="14.25" customHeight="1" x14ac:dyDescent="0.2">
      <c r="A8" s="2109"/>
      <c r="B8" s="2110" t="s">
        <v>756</v>
      </c>
      <c r="C8" s="2111" t="s">
        <v>319</v>
      </c>
      <c r="D8" s="2112" t="s">
        <v>320</v>
      </c>
      <c r="E8" s="2113"/>
      <c r="F8" s="2114"/>
    </row>
    <row r="9" spans="1:35" ht="15.75" x14ac:dyDescent="0.25">
      <c r="A9" s="2109"/>
      <c r="B9" s="2110"/>
      <c r="C9" s="2111"/>
      <c r="D9" s="2112"/>
      <c r="E9" s="367">
        <v>2015</v>
      </c>
      <c r="F9" s="590">
        <v>2017</v>
      </c>
      <c r="G9" s="612">
        <v>2017</v>
      </c>
      <c r="H9" s="612">
        <v>2018</v>
      </c>
    </row>
    <row r="10" spans="1:35" ht="15" x14ac:dyDescent="0.25">
      <c r="A10" s="591"/>
      <c r="B10" s="592" t="s">
        <v>326</v>
      </c>
      <c r="C10" s="593"/>
      <c r="D10" s="613"/>
      <c r="E10" s="593"/>
    </row>
    <row r="11" spans="1:35" ht="15" x14ac:dyDescent="0.25">
      <c r="A11" s="594">
        <v>1</v>
      </c>
      <c r="B11" s="595" t="s">
        <v>757</v>
      </c>
      <c r="C11" s="596" t="s">
        <v>758</v>
      </c>
      <c r="D11" s="614" t="s">
        <v>332</v>
      </c>
      <c r="E11" s="597">
        <v>41</v>
      </c>
      <c r="F11" s="597">
        <v>50</v>
      </c>
      <c r="G11" s="597">
        <v>50</v>
      </c>
      <c r="H11" s="597">
        <v>50</v>
      </c>
    </row>
    <row r="12" spans="1:35" ht="15" x14ac:dyDescent="0.25">
      <c r="A12" s="594">
        <v>2</v>
      </c>
      <c r="B12" s="595" t="s">
        <v>759</v>
      </c>
      <c r="C12" s="596" t="s">
        <v>760</v>
      </c>
      <c r="D12" s="614" t="s">
        <v>332</v>
      </c>
      <c r="E12" s="597">
        <v>125</v>
      </c>
      <c r="F12" s="597">
        <v>147</v>
      </c>
      <c r="G12" s="597">
        <v>147</v>
      </c>
      <c r="H12" s="597">
        <v>147</v>
      </c>
    </row>
    <row r="13" spans="1:35" ht="25.5" customHeight="1" x14ac:dyDescent="0.25">
      <c r="A13" s="594">
        <v>3</v>
      </c>
      <c r="B13" s="598" t="s">
        <v>761</v>
      </c>
      <c r="C13" s="599" t="s">
        <v>718</v>
      </c>
      <c r="D13" s="615" t="s">
        <v>332</v>
      </c>
      <c r="E13" s="600"/>
      <c r="F13" s="600">
        <v>240</v>
      </c>
      <c r="G13" s="600">
        <v>240</v>
      </c>
      <c r="H13" s="600">
        <v>240</v>
      </c>
    </row>
    <row r="14" spans="1:35" ht="15" x14ac:dyDescent="0.25">
      <c r="A14" s="594">
        <v>4</v>
      </c>
      <c r="B14" s="595" t="s">
        <v>375</v>
      </c>
      <c r="C14" s="596" t="s">
        <v>762</v>
      </c>
      <c r="D14" s="614" t="s">
        <v>332</v>
      </c>
      <c r="E14" s="597">
        <v>330</v>
      </c>
      <c r="F14" s="597">
        <v>335</v>
      </c>
      <c r="G14" s="597">
        <v>335</v>
      </c>
      <c r="H14" s="597">
        <v>335</v>
      </c>
    </row>
    <row r="15" spans="1:35" ht="15" x14ac:dyDescent="0.25">
      <c r="A15" s="594">
        <v>5</v>
      </c>
      <c r="B15" s="595" t="s">
        <v>377</v>
      </c>
      <c r="C15" s="596" t="s">
        <v>763</v>
      </c>
      <c r="D15" s="614" t="s">
        <v>332</v>
      </c>
      <c r="E15" s="597">
        <v>930</v>
      </c>
      <c r="F15" s="597">
        <v>960</v>
      </c>
      <c r="G15" s="597">
        <v>960</v>
      </c>
      <c r="H15" s="597">
        <v>960</v>
      </c>
    </row>
    <row r="16" spans="1:35" ht="15" x14ac:dyDescent="0.25">
      <c r="A16" s="594">
        <v>6</v>
      </c>
      <c r="B16" s="595" t="s">
        <v>764</v>
      </c>
      <c r="C16" s="596" t="s">
        <v>765</v>
      </c>
      <c r="D16" s="614" t="s">
        <v>332</v>
      </c>
      <c r="E16" s="597"/>
      <c r="F16" s="597">
        <v>700</v>
      </c>
      <c r="G16" s="597">
        <v>700</v>
      </c>
      <c r="H16" s="597">
        <v>700</v>
      </c>
    </row>
    <row r="17" spans="1:8" ht="15" x14ac:dyDescent="0.25">
      <c r="A17" s="594">
        <v>7</v>
      </c>
      <c r="B17" s="596" t="s">
        <v>395</v>
      </c>
      <c r="C17" s="596" t="s">
        <v>766</v>
      </c>
      <c r="D17" s="616" t="s">
        <v>332</v>
      </c>
      <c r="E17" s="597">
        <v>225</v>
      </c>
      <c r="F17" s="597">
        <v>271</v>
      </c>
      <c r="G17" s="597">
        <v>271</v>
      </c>
      <c r="H17" s="597">
        <v>271</v>
      </c>
    </row>
    <row r="18" spans="1:8" ht="24.75" customHeight="1" x14ac:dyDescent="0.25">
      <c r="A18" s="594">
        <v>8</v>
      </c>
      <c r="B18" s="601" t="s">
        <v>767</v>
      </c>
      <c r="C18" s="602" t="s">
        <v>768</v>
      </c>
      <c r="D18" s="617" t="s">
        <v>332</v>
      </c>
      <c r="E18" s="603">
        <v>233</v>
      </c>
      <c r="F18" s="603">
        <v>236</v>
      </c>
      <c r="G18" s="603">
        <v>236</v>
      </c>
      <c r="H18" s="603">
        <v>236</v>
      </c>
    </row>
    <row r="19" spans="1:8" ht="20.25" customHeight="1" x14ac:dyDescent="0.25">
      <c r="A19" s="594">
        <v>9</v>
      </c>
      <c r="B19" s="601" t="s">
        <v>401</v>
      </c>
      <c r="C19" s="602" t="s">
        <v>769</v>
      </c>
      <c r="D19" s="617" t="s">
        <v>332</v>
      </c>
      <c r="E19" s="603">
        <v>250</v>
      </c>
      <c r="F19" s="603">
        <v>200</v>
      </c>
      <c r="G19" s="603">
        <v>200</v>
      </c>
      <c r="H19" s="603">
        <v>200</v>
      </c>
    </row>
    <row r="20" spans="1:8" ht="27.75" customHeight="1" x14ac:dyDescent="0.25">
      <c r="A20" s="594">
        <v>10</v>
      </c>
      <c r="B20" s="601" t="s">
        <v>412</v>
      </c>
      <c r="C20" s="602" t="s">
        <v>770</v>
      </c>
      <c r="D20" s="617" t="s">
        <v>332</v>
      </c>
      <c r="E20" s="603">
        <v>1800</v>
      </c>
      <c r="F20" s="603">
        <v>1800</v>
      </c>
      <c r="G20" s="603">
        <v>1800</v>
      </c>
      <c r="H20" s="603">
        <v>1800</v>
      </c>
    </row>
    <row r="21" spans="1:8" ht="28.5" customHeight="1" x14ac:dyDescent="0.25">
      <c r="A21" s="594">
        <v>11</v>
      </c>
      <c r="B21" s="601" t="s">
        <v>414</v>
      </c>
      <c r="C21" s="602" t="s">
        <v>771</v>
      </c>
      <c r="D21" s="617" t="s">
        <v>332</v>
      </c>
      <c r="E21" s="603">
        <v>2000</v>
      </c>
      <c r="F21" s="603">
        <v>2000</v>
      </c>
      <c r="G21" s="603">
        <v>2000</v>
      </c>
      <c r="H21" s="603">
        <v>2000</v>
      </c>
    </row>
    <row r="22" spans="1:8" ht="48" customHeight="1" x14ac:dyDescent="0.2">
      <c r="A22" s="618">
        <v>12</v>
      </c>
      <c r="B22" s="604" t="s">
        <v>772</v>
      </c>
      <c r="C22" s="619" t="s">
        <v>773</v>
      </c>
      <c r="D22" s="620" t="s">
        <v>332</v>
      </c>
      <c r="E22" s="621"/>
      <c r="F22" s="621">
        <v>97</v>
      </c>
      <c r="G22" s="621">
        <v>97</v>
      </c>
      <c r="H22" s="621">
        <v>97</v>
      </c>
    </row>
    <row r="23" spans="1:8" ht="30" customHeight="1" x14ac:dyDescent="0.25">
      <c r="A23" s="594">
        <v>13</v>
      </c>
      <c r="B23" s="601" t="s">
        <v>774</v>
      </c>
      <c r="C23" s="602" t="s">
        <v>775</v>
      </c>
      <c r="D23" s="617">
        <v>43465</v>
      </c>
      <c r="E23" s="603"/>
      <c r="F23" s="603">
        <v>991</v>
      </c>
      <c r="G23" s="603">
        <v>991</v>
      </c>
      <c r="H23" s="603">
        <v>991</v>
      </c>
    </row>
    <row r="24" spans="1:8" ht="33" customHeight="1" x14ac:dyDescent="0.25">
      <c r="A24" s="594">
        <v>14</v>
      </c>
      <c r="B24" s="601" t="s">
        <v>776</v>
      </c>
      <c r="C24" s="602" t="s">
        <v>777</v>
      </c>
      <c r="D24" s="617" t="s">
        <v>332</v>
      </c>
      <c r="E24" s="603"/>
      <c r="F24" s="603">
        <v>515</v>
      </c>
      <c r="G24" s="603">
        <v>515</v>
      </c>
      <c r="H24" s="603">
        <v>515</v>
      </c>
    </row>
    <row r="25" spans="1:8" ht="15" x14ac:dyDescent="0.25">
      <c r="A25" s="594">
        <v>17</v>
      </c>
      <c r="B25" s="606" t="s">
        <v>778</v>
      </c>
      <c r="C25" s="606" t="s">
        <v>779</v>
      </c>
      <c r="D25" s="622">
        <v>43009</v>
      </c>
      <c r="E25" s="607"/>
      <c r="F25" s="608">
        <v>3500</v>
      </c>
      <c r="G25" s="608">
        <v>3500</v>
      </c>
      <c r="H25" s="608">
        <v>3500</v>
      </c>
    </row>
    <row r="26" spans="1:8" ht="15" x14ac:dyDescent="0.25">
      <c r="A26" s="594">
        <v>22</v>
      </c>
      <c r="B26" s="606" t="s">
        <v>780</v>
      </c>
      <c r="C26" s="606" t="s">
        <v>781</v>
      </c>
      <c r="D26" s="622" t="s">
        <v>332</v>
      </c>
      <c r="E26" s="609"/>
      <c r="F26" s="608">
        <v>248</v>
      </c>
      <c r="G26" s="608">
        <v>248</v>
      </c>
      <c r="H26" s="608">
        <v>248</v>
      </c>
    </row>
    <row r="27" spans="1:8" ht="15.75" x14ac:dyDescent="0.25">
      <c r="A27" s="594">
        <v>23</v>
      </c>
      <c r="B27" s="606" t="s">
        <v>782</v>
      </c>
      <c r="C27" s="606" t="s">
        <v>783</v>
      </c>
      <c r="D27" s="611" t="s">
        <v>332</v>
      </c>
      <c r="E27" s="610"/>
      <c r="F27" s="608">
        <v>168</v>
      </c>
      <c r="G27" s="608">
        <v>168</v>
      </c>
      <c r="H27" s="608">
        <v>168</v>
      </c>
    </row>
    <row r="28" spans="1:8" ht="15.75" x14ac:dyDescent="0.25">
      <c r="A28" s="623">
        <v>24</v>
      </c>
      <c r="B28" s="606" t="s">
        <v>784</v>
      </c>
      <c r="C28" s="606" t="s">
        <v>785</v>
      </c>
      <c r="D28" s="611" t="s">
        <v>332</v>
      </c>
      <c r="E28" s="610"/>
      <c r="F28" s="608">
        <v>76</v>
      </c>
      <c r="G28" s="608">
        <v>76</v>
      </c>
      <c r="H28" s="608">
        <v>76</v>
      </c>
    </row>
    <row r="29" spans="1:8" ht="15.75" x14ac:dyDescent="0.25">
      <c r="A29" s="594">
        <v>25</v>
      </c>
      <c r="B29" s="610"/>
      <c r="C29" s="606" t="s">
        <v>786</v>
      </c>
      <c r="D29" s="611" t="s">
        <v>332</v>
      </c>
      <c r="E29" s="610"/>
      <c r="F29" s="605">
        <v>127</v>
      </c>
      <c r="G29" s="605">
        <v>127</v>
      </c>
      <c r="H29" s="605">
        <v>127</v>
      </c>
    </row>
    <row r="30" spans="1:8" ht="15" x14ac:dyDescent="0.25">
      <c r="A30" s="594">
        <v>26</v>
      </c>
      <c r="B30" s="606" t="s">
        <v>787</v>
      </c>
      <c r="C30" s="606" t="s">
        <v>788</v>
      </c>
      <c r="D30" s="622">
        <v>42855</v>
      </c>
      <c r="E30" s="609"/>
      <c r="F30" s="608">
        <v>1531</v>
      </c>
      <c r="G30" s="608">
        <v>1531</v>
      </c>
      <c r="H30" s="608">
        <v>1531</v>
      </c>
    </row>
    <row r="31" spans="1:8" ht="15" x14ac:dyDescent="0.25">
      <c r="A31" s="594">
        <v>27</v>
      </c>
      <c r="B31" s="606" t="s">
        <v>745</v>
      </c>
      <c r="C31" s="606" t="s">
        <v>789</v>
      </c>
      <c r="D31" s="622">
        <v>42855</v>
      </c>
      <c r="E31" s="609"/>
      <c r="F31" s="608">
        <v>3446</v>
      </c>
      <c r="G31" s="608">
        <v>3446</v>
      </c>
      <c r="H31" s="608">
        <v>3446</v>
      </c>
    </row>
    <row r="32" spans="1:8" ht="15" x14ac:dyDescent="0.25">
      <c r="A32" s="594">
        <v>28</v>
      </c>
      <c r="B32" s="606" t="s">
        <v>744</v>
      </c>
      <c r="C32" s="606" t="s">
        <v>790</v>
      </c>
      <c r="D32" s="622">
        <v>42825</v>
      </c>
      <c r="E32" s="609"/>
      <c r="F32" s="608">
        <v>1727</v>
      </c>
      <c r="G32" s="608">
        <v>1727</v>
      </c>
      <c r="H32" s="608">
        <v>1727</v>
      </c>
    </row>
    <row r="33" spans="1:8" ht="15" x14ac:dyDescent="0.25">
      <c r="A33" s="594">
        <v>29</v>
      </c>
      <c r="B33" s="606" t="s">
        <v>791</v>
      </c>
      <c r="C33" s="606" t="s">
        <v>792</v>
      </c>
      <c r="D33" s="622">
        <v>42916</v>
      </c>
      <c r="E33" s="607"/>
      <c r="F33" s="608">
        <v>1270</v>
      </c>
      <c r="G33" s="608">
        <v>1270</v>
      </c>
      <c r="H33" s="608">
        <v>1270</v>
      </c>
    </row>
    <row r="34" spans="1:8" ht="15" x14ac:dyDescent="0.25">
      <c r="A34" s="594">
        <v>30</v>
      </c>
      <c r="B34" s="606"/>
      <c r="C34" s="606" t="s">
        <v>793</v>
      </c>
      <c r="D34" s="622" t="s">
        <v>332</v>
      </c>
      <c r="E34" s="607"/>
      <c r="F34" s="608">
        <v>355</v>
      </c>
      <c r="G34" s="608">
        <v>355</v>
      </c>
      <c r="H34" s="608">
        <v>355</v>
      </c>
    </row>
    <row r="35" spans="1:8" ht="15" x14ac:dyDescent="0.25">
      <c r="A35" s="594">
        <v>31</v>
      </c>
      <c r="B35" s="606"/>
      <c r="C35" s="606" t="s">
        <v>794</v>
      </c>
      <c r="D35" s="622" t="s">
        <v>332</v>
      </c>
      <c r="E35" s="607"/>
      <c r="F35" s="608">
        <v>321</v>
      </c>
      <c r="G35" s="608">
        <v>321</v>
      </c>
      <c r="H35" s="608">
        <v>321</v>
      </c>
    </row>
    <row r="36" spans="1:8" ht="15" x14ac:dyDescent="0.25">
      <c r="A36" s="594">
        <v>32</v>
      </c>
      <c r="B36" s="606"/>
      <c r="C36" s="606" t="s">
        <v>795</v>
      </c>
      <c r="D36" s="622" t="s">
        <v>332</v>
      </c>
      <c r="E36" s="607"/>
      <c r="F36" s="608">
        <v>458</v>
      </c>
      <c r="G36" s="608">
        <v>458</v>
      </c>
      <c r="H36" s="608">
        <v>458</v>
      </c>
    </row>
    <row r="37" spans="1:8" ht="15" x14ac:dyDescent="0.25">
      <c r="A37" s="594">
        <v>33</v>
      </c>
      <c r="B37" s="606" t="s">
        <v>869</v>
      </c>
      <c r="C37" s="606" t="s">
        <v>870</v>
      </c>
      <c r="D37" s="622" t="s">
        <v>332</v>
      </c>
      <c r="E37" s="607"/>
      <c r="F37" s="608">
        <v>131</v>
      </c>
      <c r="G37" s="608">
        <v>131</v>
      </c>
      <c r="H37" s="608">
        <v>131</v>
      </c>
    </row>
    <row r="38" spans="1:8" ht="30" x14ac:dyDescent="0.25">
      <c r="A38" s="594">
        <v>34</v>
      </c>
      <c r="B38" s="606" t="s">
        <v>871</v>
      </c>
      <c r="C38" s="674" t="s">
        <v>872</v>
      </c>
      <c r="D38" s="622" t="s">
        <v>332</v>
      </c>
      <c r="E38" s="607"/>
      <c r="F38" s="608">
        <v>686</v>
      </c>
      <c r="G38" s="608">
        <v>686</v>
      </c>
      <c r="H38" s="608">
        <v>686</v>
      </c>
    </row>
    <row r="39" spans="1:8" ht="15" x14ac:dyDescent="0.25">
      <c r="A39" s="594"/>
      <c r="B39" s="606"/>
      <c r="C39" s="674" t="s">
        <v>873</v>
      </c>
      <c r="D39" s="622" t="s">
        <v>332</v>
      </c>
      <c r="E39" s="607"/>
      <c r="F39" s="608">
        <v>550</v>
      </c>
      <c r="G39" s="608">
        <v>550</v>
      </c>
      <c r="H39" s="608">
        <v>550</v>
      </c>
    </row>
    <row r="40" spans="1:8" ht="15" x14ac:dyDescent="0.25">
      <c r="A40" s="594"/>
      <c r="B40" s="606"/>
      <c r="C40" s="674" t="s">
        <v>868</v>
      </c>
      <c r="D40" s="622" t="s">
        <v>332</v>
      </c>
      <c r="E40" s="607"/>
      <c r="F40" s="608">
        <v>4000</v>
      </c>
      <c r="G40" s="608">
        <v>4000</v>
      </c>
      <c r="H40" s="608">
        <v>4000</v>
      </c>
    </row>
    <row r="41" spans="1:8" ht="15.75" x14ac:dyDescent="0.25">
      <c r="E41" s="624">
        <v>5934</v>
      </c>
      <c r="F41" s="624">
        <f>SUM(F11:F40)</f>
        <v>27136</v>
      </c>
      <c r="G41" s="624">
        <f>SUM(G11:G40)</f>
        <v>27136</v>
      </c>
      <c r="H41" s="624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100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42578125" customWidth="1"/>
    <col min="4" max="4" width="16.5703125" customWidth="1"/>
    <col min="6" max="6" width="10.140625" bestFit="1" customWidth="1"/>
    <col min="7" max="8" width="10.42578125" bestFit="1" customWidth="1"/>
  </cols>
  <sheetData>
    <row r="1" spans="1:9" ht="15" x14ac:dyDescent="0.25">
      <c r="A1" s="2118" t="s">
        <v>2082</v>
      </c>
      <c r="B1" s="2118"/>
      <c r="C1" s="2118"/>
      <c r="D1" s="2118"/>
      <c r="E1" s="2118"/>
      <c r="F1" s="2118"/>
      <c r="G1" s="2118"/>
      <c r="H1" s="2118"/>
    </row>
    <row r="2" spans="1:9" x14ac:dyDescent="0.2">
      <c r="A2" s="736"/>
      <c r="B2" s="736"/>
      <c r="C2" s="736"/>
      <c r="D2" s="1758"/>
      <c r="E2" s="736"/>
      <c r="F2" s="736"/>
      <c r="G2" s="736"/>
      <c r="H2" s="736"/>
    </row>
    <row r="3" spans="1:9" x14ac:dyDescent="0.2">
      <c r="A3" s="2119" t="s">
        <v>77</v>
      </c>
      <c r="B3" s="2119"/>
      <c r="C3" s="2119"/>
      <c r="D3" s="2119"/>
      <c r="E3" s="2119"/>
      <c r="F3" s="2119"/>
      <c r="G3" s="2119"/>
      <c r="H3" s="2119"/>
    </row>
    <row r="4" spans="1:9" ht="14.25" x14ac:dyDescent="0.2">
      <c r="A4" s="2107" t="s">
        <v>316</v>
      </c>
      <c r="B4" s="2107"/>
      <c r="C4" s="2107"/>
      <c r="D4" s="2107"/>
      <c r="E4" s="2107"/>
      <c r="F4" s="2107"/>
      <c r="G4" s="2107"/>
      <c r="H4" s="2107"/>
    </row>
    <row r="5" spans="1:9" ht="14.25" x14ac:dyDescent="0.2">
      <c r="A5" s="2107" t="s">
        <v>1034</v>
      </c>
      <c r="B5" s="2107"/>
      <c r="C5" s="2107"/>
      <c r="D5" s="2107"/>
      <c r="E5" s="2107"/>
      <c r="F5" s="2107"/>
      <c r="G5" s="2107"/>
      <c r="H5" s="2107"/>
    </row>
    <row r="6" spans="1:9" ht="14.25" x14ac:dyDescent="0.2">
      <c r="A6" s="2108" t="s">
        <v>55</v>
      </c>
      <c r="B6" s="2108"/>
      <c r="C6" s="2108"/>
      <c r="D6" s="2108"/>
      <c r="E6" s="2108"/>
      <c r="F6" s="2108"/>
      <c r="G6" s="2108"/>
      <c r="H6" s="2108"/>
    </row>
    <row r="7" spans="1:9" ht="15" x14ac:dyDescent="0.25">
      <c r="A7" s="1757"/>
      <c r="B7" s="1759"/>
      <c r="C7" s="1759"/>
      <c r="D7" s="1759"/>
      <c r="E7" s="1759"/>
      <c r="F7" s="736"/>
      <c r="G7" s="736"/>
      <c r="H7" s="736"/>
    </row>
    <row r="8" spans="1:9" ht="14.25" customHeight="1" x14ac:dyDescent="0.2">
      <c r="A8" s="2115"/>
      <c r="B8" s="1760" t="s">
        <v>57</v>
      </c>
      <c r="C8" s="1760" t="s">
        <v>58</v>
      </c>
      <c r="D8" s="1760" t="s">
        <v>59</v>
      </c>
      <c r="E8" s="1760" t="s">
        <v>60</v>
      </c>
      <c r="F8" s="904" t="s">
        <v>469</v>
      </c>
      <c r="G8" s="904" t="s">
        <v>470</v>
      </c>
      <c r="H8" s="904" t="s">
        <v>471</v>
      </c>
    </row>
    <row r="9" spans="1:9" ht="14.25" customHeight="1" x14ac:dyDescent="0.2">
      <c r="A9" s="2115"/>
      <c r="B9" s="2116" t="s">
        <v>318</v>
      </c>
      <c r="C9" s="2117" t="s">
        <v>319</v>
      </c>
      <c r="D9" s="2117" t="s">
        <v>320</v>
      </c>
      <c r="E9" s="905"/>
      <c r="F9" s="906"/>
      <c r="G9" s="907"/>
      <c r="H9" s="1811"/>
    </row>
    <row r="10" spans="1:9" ht="14.25" customHeight="1" x14ac:dyDescent="0.2">
      <c r="A10" s="2115"/>
      <c r="B10" s="2116"/>
      <c r="C10" s="2117"/>
      <c r="D10" s="2117"/>
      <c r="E10" s="908" t="s">
        <v>913</v>
      </c>
      <c r="F10" s="909" t="s">
        <v>1211</v>
      </c>
      <c r="G10" s="909" t="s">
        <v>1035</v>
      </c>
      <c r="H10" s="909" t="s">
        <v>1208</v>
      </c>
      <c r="I10" s="1810"/>
    </row>
    <row r="11" spans="1:9" ht="15" x14ac:dyDescent="0.25">
      <c r="A11" s="375"/>
      <c r="B11" s="411" t="s">
        <v>326</v>
      </c>
      <c r="C11" s="412"/>
      <c r="D11" s="412"/>
      <c r="E11" s="736"/>
      <c r="F11" s="736"/>
      <c r="G11" s="736"/>
    </row>
    <row r="12" spans="1:9" ht="15" x14ac:dyDescent="0.25">
      <c r="A12" s="910">
        <v>1</v>
      </c>
      <c r="B12" s="911" t="s">
        <v>330</v>
      </c>
      <c r="C12" s="912" t="s">
        <v>329</v>
      </c>
      <c r="D12" s="913" t="s">
        <v>332</v>
      </c>
      <c r="E12" s="914">
        <v>300</v>
      </c>
      <c r="F12" s="914">
        <v>300</v>
      </c>
      <c r="G12" s="914">
        <v>300</v>
      </c>
      <c r="H12" s="914">
        <v>300</v>
      </c>
      <c r="I12" s="1773"/>
    </row>
    <row r="13" spans="1:9" ht="15" x14ac:dyDescent="0.25">
      <c r="A13" s="910">
        <v>2</v>
      </c>
      <c r="B13" s="915" t="s">
        <v>333</v>
      </c>
      <c r="C13" s="916" t="s">
        <v>334</v>
      </c>
      <c r="D13" s="913" t="s">
        <v>332</v>
      </c>
      <c r="E13" s="917">
        <v>100</v>
      </c>
      <c r="F13" s="917">
        <v>100</v>
      </c>
      <c r="G13" s="917">
        <v>100</v>
      </c>
      <c r="H13" s="917">
        <v>100</v>
      </c>
      <c r="I13" s="1773"/>
    </row>
    <row r="14" spans="1:9" ht="15" x14ac:dyDescent="0.25">
      <c r="A14" s="910">
        <v>3</v>
      </c>
      <c r="B14" s="915" t="s">
        <v>337</v>
      </c>
      <c r="C14" s="916" t="s">
        <v>712</v>
      </c>
      <c r="D14" s="913" t="s">
        <v>332</v>
      </c>
      <c r="E14" s="917">
        <v>24241</v>
      </c>
      <c r="F14" s="917">
        <v>24241</v>
      </c>
      <c r="G14" s="917">
        <v>24241</v>
      </c>
      <c r="H14" s="917">
        <v>24241</v>
      </c>
      <c r="I14" s="1773"/>
    </row>
    <row r="15" spans="1:9" ht="15" x14ac:dyDescent="0.25">
      <c r="A15" s="910">
        <v>4</v>
      </c>
      <c r="B15" s="915" t="s">
        <v>337</v>
      </c>
      <c r="C15" s="916" t="s">
        <v>713</v>
      </c>
      <c r="D15" s="913" t="s">
        <v>332</v>
      </c>
      <c r="E15" s="917">
        <v>27321</v>
      </c>
      <c r="F15" s="917">
        <v>27321</v>
      </c>
      <c r="G15" s="917">
        <v>27321</v>
      </c>
      <c r="H15" s="917">
        <v>27321</v>
      </c>
      <c r="I15" s="1773"/>
    </row>
    <row r="16" spans="1:9" ht="15" x14ac:dyDescent="0.25">
      <c r="A16" s="910">
        <v>5</v>
      </c>
      <c r="B16" s="915" t="s">
        <v>345</v>
      </c>
      <c r="C16" s="916" t="s">
        <v>346</v>
      </c>
      <c r="D16" s="913" t="s">
        <v>332</v>
      </c>
      <c r="E16" s="917">
        <v>10</v>
      </c>
      <c r="F16" s="917">
        <v>10</v>
      </c>
      <c r="G16" s="917">
        <v>10</v>
      </c>
      <c r="H16" s="917">
        <v>10</v>
      </c>
      <c r="I16" s="1773"/>
    </row>
    <row r="17" spans="1:19" ht="15" x14ac:dyDescent="0.25">
      <c r="A17" s="910">
        <v>6</v>
      </c>
      <c r="B17" s="1774"/>
      <c r="C17" s="1775"/>
      <c r="D17" s="918"/>
      <c r="E17" s="1776"/>
      <c r="F17" s="917"/>
      <c r="G17" s="917"/>
      <c r="H17" s="917"/>
    </row>
    <row r="18" spans="1:19" ht="15" x14ac:dyDescent="0.25">
      <c r="A18" s="910">
        <v>7</v>
      </c>
      <c r="B18" s="915" t="s">
        <v>714</v>
      </c>
      <c r="C18" s="916" t="s">
        <v>715</v>
      </c>
      <c r="D18" s="918" t="s">
        <v>332</v>
      </c>
      <c r="E18" s="917">
        <v>900</v>
      </c>
      <c r="F18" s="917">
        <v>900</v>
      </c>
      <c r="G18" s="917">
        <v>900</v>
      </c>
      <c r="H18" s="917">
        <v>900</v>
      </c>
    </row>
    <row r="19" spans="1:19" ht="15" x14ac:dyDescent="0.25">
      <c r="A19" s="910">
        <v>8</v>
      </c>
      <c r="B19" s="915" t="s">
        <v>716</v>
      </c>
      <c r="C19" s="916" t="s">
        <v>717</v>
      </c>
      <c r="D19" s="918" t="s">
        <v>332</v>
      </c>
      <c r="E19" s="917">
        <v>1190</v>
      </c>
      <c r="F19" s="917">
        <v>1190</v>
      </c>
      <c r="G19" s="917">
        <v>1190</v>
      </c>
      <c r="H19" s="917">
        <v>1190</v>
      </c>
    </row>
    <row r="20" spans="1:19" ht="15" x14ac:dyDescent="0.25">
      <c r="A20" s="910">
        <v>9</v>
      </c>
      <c r="B20" s="915" t="s">
        <v>357</v>
      </c>
      <c r="C20" s="916" t="s">
        <v>1377</v>
      </c>
      <c r="D20" s="918" t="s">
        <v>332</v>
      </c>
      <c r="E20" s="917">
        <v>1600</v>
      </c>
      <c r="F20" s="917">
        <v>1600</v>
      </c>
      <c r="G20" s="917">
        <v>1600</v>
      </c>
      <c r="H20" s="917">
        <v>1600</v>
      </c>
    </row>
    <row r="21" spans="1:19" ht="31.5" customHeight="1" x14ac:dyDescent="0.25">
      <c r="A21" s="910">
        <v>10</v>
      </c>
      <c r="B21" s="919" t="s">
        <v>1998</v>
      </c>
      <c r="C21" s="920" t="s">
        <v>718</v>
      </c>
      <c r="D21" s="921" t="s">
        <v>332</v>
      </c>
      <c r="E21" s="922">
        <v>35</v>
      </c>
      <c r="F21" s="922">
        <v>35</v>
      </c>
      <c r="G21" s="922">
        <v>35</v>
      </c>
      <c r="H21" s="922">
        <v>35</v>
      </c>
    </row>
    <row r="22" spans="1:19" ht="15" x14ac:dyDescent="0.25">
      <c r="A22" s="910">
        <f>A21+1</f>
        <v>11</v>
      </c>
      <c r="B22" s="916"/>
      <c r="C22" s="916" t="s">
        <v>719</v>
      </c>
      <c r="D22" s="913"/>
      <c r="E22" s="917">
        <v>1844</v>
      </c>
      <c r="F22" s="917">
        <v>1844</v>
      </c>
      <c r="G22" s="917">
        <v>1844</v>
      </c>
      <c r="H22" s="917">
        <v>1844</v>
      </c>
    </row>
    <row r="23" spans="1:19" ht="15" x14ac:dyDescent="0.25">
      <c r="A23" s="910">
        <v>12</v>
      </c>
      <c r="B23" s="915" t="s">
        <v>1999</v>
      </c>
      <c r="C23" s="916" t="s">
        <v>930</v>
      </c>
      <c r="D23" s="918">
        <v>44196</v>
      </c>
      <c r="E23" s="917">
        <v>1143</v>
      </c>
      <c r="F23" s="917">
        <v>1143</v>
      </c>
      <c r="G23" s="917">
        <v>1143</v>
      </c>
      <c r="H23" s="917">
        <v>1143</v>
      </c>
    </row>
    <row r="24" spans="1:19" ht="31.5" customHeight="1" x14ac:dyDescent="0.25">
      <c r="A24" s="910">
        <f t="shared" ref="A24:A66" si="0">A23+1</f>
        <v>13</v>
      </c>
      <c r="B24" s="606" t="s">
        <v>381</v>
      </c>
      <c r="C24" s="923" t="s">
        <v>382</v>
      </c>
      <c r="D24" s="924" t="s">
        <v>332</v>
      </c>
      <c r="E24" s="925">
        <v>40</v>
      </c>
      <c r="F24" s="925">
        <v>40</v>
      </c>
      <c r="G24" s="925">
        <v>40</v>
      </c>
      <c r="H24" s="925">
        <v>40</v>
      </c>
    </row>
    <row r="25" spans="1:19" ht="30" customHeight="1" x14ac:dyDescent="0.25">
      <c r="A25" s="910">
        <f t="shared" si="0"/>
        <v>14</v>
      </c>
      <c r="B25" s="606" t="s">
        <v>385</v>
      </c>
      <c r="C25" s="923" t="s">
        <v>720</v>
      </c>
      <c r="D25" s="924" t="s">
        <v>332</v>
      </c>
      <c r="E25" s="926">
        <v>210</v>
      </c>
      <c r="F25" s="926">
        <v>210</v>
      </c>
      <c r="G25" s="926">
        <v>210</v>
      </c>
      <c r="H25" s="926">
        <v>210</v>
      </c>
    </row>
    <row r="26" spans="1:19" ht="27" customHeight="1" x14ac:dyDescent="0.25">
      <c r="A26" s="910">
        <f t="shared" si="0"/>
        <v>15</v>
      </c>
      <c r="B26" s="919" t="s">
        <v>387</v>
      </c>
      <c r="C26" s="920" t="s">
        <v>721</v>
      </c>
      <c r="D26" s="921" t="s">
        <v>332</v>
      </c>
      <c r="E26" s="922">
        <v>199</v>
      </c>
      <c r="F26" s="922">
        <v>199</v>
      </c>
      <c r="G26" s="922">
        <v>199</v>
      </c>
      <c r="H26" s="922">
        <v>199</v>
      </c>
    </row>
    <row r="27" spans="1:19" ht="26.25" customHeight="1" x14ac:dyDescent="0.25">
      <c r="A27" s="910">
        <f t="shared" si="0"/>
        <v>16</v>
      </c>
      <c r="B27" s="919" t="s">
        <v>389</v>
      </c>
      <c r="C27" s="920" t="s">
        <v>390</v>
      </c>
      <c r="D27" s="921" t="s">
        <v>332</v>
      </c>
      <c r="E27" s="922">
        <v>1863</v>
      </c>
      <c r="F27" s="922">
        <v>1863</v>
      </c>
      <c r="G27" s="922">
        <v>1863</v>
      </c>
      <c r="H27" s="922">
        <v>1863</v>
      </c>
    </row>
    <row r="28" spans="1:19" s="928" customFormat="1" ht="30" customHeight="1" x14ac:dyDescent="0.25">
      <c r="A28" s="910">
        <f t="shared" si="0"/>
        <v>17</v>
      </c>
      <c r="B28" s="606" t="s">
        <v>1036</v>
      </c>
      <c r="C28" s="927" t="s">
        <v>2000</v>
      </c>
      <c r="D28" s="924" t="s">
        <v>332</v>
      </c>
      <c r="E28" s="609">
        <v>5985</v>
      </c>
      <c r="F28" s="609">
        <v>5985</v>
      </c>
      <c r="G28" s="609">
        <v>5985</v>
      </c>
      <c r="H28" s="609">
        <v>5985</v>
      </c>
      <c r="I28" s="610"/>
      <c r="J28" s="610"/>
      <c r="K28" s="610"/>
      <c r="L28" s="610"/>
      <c r="M28" s="610"/>
      <c r="N28" s="610"/>
      <c r="O28" s="610"/>
      <c r="P28" s="610"/>
      <c r="Q28" s="610"/>
      <c r="R28" s="610"/>
      <c r="S28" s="610"/>
    </row>
    <row r="29" spans="1:19" ht="15" x14ac:dyDescent="0.25">
      <c r="A29" s="910">
        <f t="shared" si="0"/>
        <v>18</v>
      </c>
      <c r="B29" s="916" t="s">
        <v>397</v>
      </c>
      <c r="C29" s="916" t="s">
        <v>722</v>
      </c>
      <c r="D29" s="913" t="s">
        <v>332</v>
      </c>
      <c r="E29" s="917">
        <v>36</v>
      </c>
      <c r="F29" s="917">
        <v>36</v>
      </c>
      <c r="G29" s="917">
        <v>36</v>
      </c>
      <c r="H29" s="917">
        <v>36</v>
      </c>
    </row>
    <row r="30" spans="1:19" ht="27" customHeight="1" x14ac:dyDescent="0.25">
      <c r="A30" s="910">
        <f t="shared" si="0"/>
        <v>19</v>
      </c>
      <c r="B30" s="674"/>
      <c r="C30" s="927" t="s">
        <v>723</v>
      </c>
      <c r="D30" s="924" t="s">
        <v>332</v>
      </c>
      <c r="E30" s="926">
        <v>15</v>
      </c>
      <c r="F30" s="926">
        <v>15</v>
      </c>
      <c r="G30" s="926">
        <v>15</v>
      </c>
      <c r="H30" s="926">
        <v>15</v>
      </c>
    </row>
    <row r="31" spans="1:19" ht="35.25" customHeight="1" x14ac:dyDescent="0.25">
      <c r="A31" s="910">
        <f>A30+1</f>
        <v>20</v>
      </c>
      <c r="B31" s="674" t="s">
        <v>2001</v>
      </c>
      <c r="C31" s="927" t="s">
        <v>2002</v>
      </c>
      <c r="D31" s="924">
        <v>47150</v>
      </c>
      <c r="E31" s="609">
        <v>3755</v>
      </c>
      <c r="F31" s="609">
        <v>3755</v>
      </c>
      <c r="G31" s="609">
        <v>3755</v>
      </c>
      <c r="H31" s="609">
        <v>3755</v>
      </c>
    </row>
    <row r="32" spans="1:19" ht="30.75" customHeight="1" x14ac:dyDescent="0.25">
      <c r="A32" s="910">
        <f t="shared" si="0"/>
        <v>21</v>
      </c>
      <c r="B32" s="606" t="s">
        <v>2003</v>
      </c>
      <c r="C32" s="927" t="s">
        <v>1037</v>
      </c>
      <c r="D32" s="924" t="s">
        <v>332</v>
      </c>
      <c r="E32" s="609">
        <v>1800</v>
      </c>
      <c r="F32" s="609">
        <v>1800</v>
      </c>
      <c r="G32" s="609">
        <v>1800</v>
      </c>
      <c r="H32" s="609">
        <v>1800</v>
      </c>
    </row>
    <row r="33" spans="1:19" s="928" customFormat="1" ht="27.75" customHeight="1" x14ac:dyDescent="0.25">
      <c r="A33" s="910">
        <f t="shared" si="0"/>
        <v>22</v>
      </c>
      <c r="B33" s="606" t="s">
        <v>2004</v>
      </c>
      <c r="C33" s="927" t="s">
        <v>2005</v>
      </c>
      <c r="D33" s="924" t="s">
        <v>332</v>
      </c>
      <c r="E33" s="609">
        <v>1500</v>
      </c>
      <c r="F33" s="609">
        <v>1500</v>
      </c>
      <c r="G33" s="609">
        <v>1500</v>
      </c>
      <c r="H33" s="609">
        <v>1500</v>
      </c>
      <c r="I33" s="610"/>
      <c r="J33" s="610"/>
      <c r="K33" s="610"/>
      <c r="L33" s="610"/>
      <c r="M33" s="610"/>
      <c r="N33" s="610"/>
      <c r="O33" s="610"/>
      <c r="P33" s="610"/>
      <c r="Q33" s="610"/>
      <c r="R33" s="610"/>
      <c r="S33" s="610"/>
    </row>
    <row r="34" spans="1:19" ht="27.75" customHeight="1" x14ac:dyDescent="0.25">
      <c r="A34" s="910">
        <f t="shared" si="0"/>
        <v>23</v>
      </c>
      <c r="B34" s="606" t="s">
        <v>724</v>
      </c>
      <c r="C34" s="927" t="s">
        <v>725</v>
      </c>
      <c r="D34" s="924" t="s">
        <v>332</v>
      </c>
      <c r="E34" s="609">
        <v>30</v>
      </c>
      <c r="F34" s="609">
        <v>30</v>
      </c>
      <c r="G34" s="609">
        <v>30</v>
      </c>
      <c r="H34" s="609">
        <v>30</v>
      </c>
    </row>
    <row r="35" spans="1:19" ht="21.75" customHeight="1" x14ac:dyDescent="0.25">
      <c r="A35" s="910">
        <f t="shared" si="0"/>
        <v>24</v>
      </c>
      <c r="B35" s="606" t="s">
        <v>726</v>
      </c>
      <c r="C35" s="927" t="s">
        <v>727</v>
      </c>
      <c r="D35" s="924">
        <v>44196</v>
      </c>
      <c r="E35" s="609">
        <v>153</v>
      </c>
      <c r="F35" s="609">
        <v>153</v>
      </c>
      <c r="G35" s="609">
        <v>153</v>
      </c>
      <c r="H35" s="609">
        <v>153</v>
      </c>
    </row>
    <row r="36" spans="1:19" ht="24.75" customHeight="1" x14ac:dyDescent="0.25">
      <c r="A36" s="910">
        <f t="shared" si="0"/>
        <v>25</v>
      </c>
      <c r="B36" s="606" t="s">
        <v>728</v>
      </c>
      <c r="C36" s="927" t="s">
        <v>729</v>
      </c>
      <c r="D36" s="924" t="s">
        <v>332</v>
      </c>
      <c r="E36" s="609">
        <v>457</v>
      </c>
      <c r="F36" s="609">
        <v>457</v>
      </c>
      <c r="G36" s="609">
        <v>457</v>
      </c>
      <c r="H36" s="609">
        <v>457</v>
      </c>
    </row>
    <row r="37" spans="1:19" ht="28.5" customHeight="1" x14ac:dyDescent="0.25">
      <c r="A37" s="910">
        <f t="shared" si="0"/>
        <v>26</v>
      </c>
      <c r="B37" s="606" t="s">
        <v>730</v>
      </c>
      <c r="C37" s="927" t="s">
        <v>912</v>
      </c>
      <c r="D37" s="924" t="s">
        <v>332</v>
      </c>
      <c r="E37" s="609">
        <v>198</v>
      </c>
      <c r="F37" s="609">
        <v>198</v>
      </c>
      <c r="G37" s="609">
        <v>198</v>
      </c>
      <c r="H37" s="609">
        <v>198</v>
      </c>
    </row>
    <row r="38" spans="1:19" ht="36" customHeight="1" x14ac:dyDescent="0.25">
      <c r="A38" s="910">
        <f t="shared" si="0"/>
        <v>27</v>
      </c>
      <c r="B38" s="606" t="s">
        <v>731</v>
      </c>
      <c r="C38" s="927" t="s">
        <v>732</v>
      </c>
      <c r="D38" s="924" t="s">
        <v>332</v>
      </c>
      <c r="E38" s="609">
        <v>217</v>
      </c>
      <c r="F38" s="609">
        <v>217</v>
      </c>
      <c r="G38" s="609">
        <v>217</v>
      </c>
      <c r="H38" s="609">
        <v>217</v>
      </c>
    </row>
    <row r="39" spans="1:19" ht="26.25" customHeight="1" x14ac:dyDescent="0.25">
      <c r="A39" s="910">
        <f t="shared" si="0"/>
        <v>28</v>
      </c>
      <c r="B39" s="606" t="s">
        <v>2006</v>
      </c>
      <c r="C39" s="927" t="s">
        <v>733</v>
      </c>
      <c r="D39" s="924" t="s">
        <v>332</v>
      </c>
      <c r="E39" s="609">
        <v>1320</v>
      </c>
      <c r="F39" s="609">
        <v>1320</v>
      </c>
      <c r="G39" s="609">
        <v>1320</v>
      </c>
      <c r="H39" s="609">
        <v>1320</v>
      </c>
    </row>
    <row r="40" spans="1:19" ht="30.75" customHeight="1" x14ac:dyDescent="0.25">
      <c r="A40" s="910">
        <f t="shared" si="0"/>
        <v>29</v>
      </c>
      <c r="B40" s="606" t="s">
        <v>2007</v>
      </c>
      <c r="C40" s="927" t="s">
        <v>734</v>
      </c>
      <c r="D40" s="924">
        <v>45536</v>
      </c>
      <c r="E40" s="609">
        <v>2896</v>
      </c>
      <c r="F40" s="609">
        <v>3810</v>
      </c>
      <c r="G40" s="609">
        <v>3810</v>
      </c>
      <c r="H40" s="609">
        <v>3810</v>
      </c>
    </row>
    <row r="41" spans="1:19" ht="36" customHeight="1" x14ac:dyDescent="0.25">
      <c r="A41" s="910">
        <f t="shared" si="0"/>
        <v>30</v>
      </c>
      <c r="B41" s="929" t="s">
        <v>2008</v>
      </c>
      <c r="C41" s="927" t="s">
        <v>2009</v>
      </c>
      <c r="D41" s="924" t="s">
        <v>332</v>
      </c>
      <c r="E41" s="608">
        <v>2134</v>
      </c>
      <c r="F41" s="608">
        <v>2134</v>
      </c>
      <c r="G41" s="608">
        <v>2134</v>
      </c>
      <c r="H41" s="608">
        <v>2134</v>
      </c>
    </row>
    <row r="42" spans="1:19" ht="30" customHeight="1" x14ac:dyDescent="0.25">
      <c r="A42" s="910">
        <f t="shared" si="0"/>
        <v>31</v>
      </c>
      <c r="B42" s="929"/>
      <c r="C42" s="927" t="s">
        <v>735</v>
      </c>
      <c r="D42" s="924" t="s">
        <v>332</v>
      </c>
      <c r="E42" s="608">
        <v>230</v>
      </c>
      <c r="F42" s="608">
        <v>230</v>
      </c>
      <c r="G42" s="608">
        <v>230</v>
      </c>
      <c r="H42" s="608">
        <v>230</v>
      </c>
    </row>
    <row r="43" spans="1:19" ht="15" x14ac:dyDescent="0.25">
      <c r="A43" s="910">
        <v>32</v>
      </c>
      <c r="B43" s="606"/>
      <c r="C43" s="606"/>
      <c r="D43" s="1777"/>
      <c r="E43" s="1778"/>
      <c r="F43" s="1778"/>
      <c r="G43" s="1778"/>
      <c r="H43" s="1778"/>
      <c r="J43" s="1779"/>
    </row>
    <row r="44" spans="1:19" ht="15" x14ac:dyDescent="0.25">
      <c r="A44" s="910">
        <v>33</v>
      </c>
      <c r="B44" s="606" t="s">
        <v>2010</v>
      </c>
      <c r="C44" s="606" t="s">
        <v>736</v>
      </c>
      <c r="D44" s="924" t="s">
        <v>1038</v>
      </c>
      <c r="E44" s="608">
        <v>11117</v>
      </c>
      <c r="F44" s="608">
        <v>11117</v>
      </c>
      <c r="G44" s="608">
        <v>0</v>
      </c>
      <c r="H44" s="608">
        <v>0</v>
      </c>
    </row>
    <row r="45" spans="1:19" ht="15" x14ac:dyDescent="0.25">
      <c r="A45" s="910">
        <f t="shared" si="0"/>
        <v>34</v>
      </c>
      <c r="B45" s="606" t="s">
        <v>737</v>
      </c>
      <c r="C45" s="606" t="s">
        <v>738</v>
      </c>
      <c r="D45" s="924" t="s">
        <v>332</v>
      </c>
      <c r="E45" s="608">
        <v>5760</v>
      </c>
      <c r="F45" s="608">
        <v>5760</v>
      </c>
      <c r="G45" s="608">
        <v>5760</v>
      </c>
      <c r="H45" s="608">
        <v>5760</v>
      </c>
    </row>
    <row r="46" spans="1:19" ht="15" x14ac:dyDescent="0.25">
      <c r="A46" s="910">
        <f t="shared" si="0"/>
        <v>35</v>
      </c>
      <c r="B46" s="606"/>
      <c r="C46" s="1780"/>
      <c r="D46" s="924"/>
      <c r="E46" s="608"/>
      <c r="F46" s="608"/>
      <c r="G46" s="608"/>
      <c r="H46" s="608"/>
    </row>
    <row r="47" spans="1:19" ht="15" x14ac:dyDescent="0.25">
      <c r="A47" s="910">
        <f t="shared" si="0"/>
        <v>36</v>
      </c>
      <c r="B47" s="606" t="s">
        <v>2011</v>
      </c>
      <c r="C47" s="606" t="s">
        <v>739</v>
      </c>
      <c r="D47" s="924" t="s">
        <v>332</v>
      </c>
      <c r="E47" s="608">
        <v>188</v>
      </c>
      <c r="F47" s="608">
        <v>0</v>
      </c>
      <c r="G47" s="608">
        <v>0</v>
      </c>
      <c r="H47" s="608">
        <v>0</v>
      </c>
    </row>
    <row r="48" spans="1:19" ht="15" x14ac:dyDescent="0.25">
      <c r="A48" s="910">
        <f t="shared" si="0"/>
        <v>37</v>
      </c>
      <c r="B48" s="606" t="s">
        <v>740</v>
      </c>
      <c r="C48" s="606" t="s">
        <v>741</v>
      </c>
      <c r="D48" s="924" t="s">
        <v>332</v>
      </c>
      <c r="E48" s="608">
        <v>993</v>
      </c>
      <c r="F48" s="608">
        <v>993</v>
      </c>
      <c r="G48" s="608">
        <v>993</v>
      </c>
      <c r="H48" s="608">
        <v>993</v>
      </c>
    </row>
    <row r="49" spans="1:11" ht="30" x14ac:dyDescent="0.25">
      <c r="A49" s="910">
        <f t="shared" si="0"/>
        <v>38</v>
      </c>
      <c r="B49" s="929" t="s">
        <v>742</v>
      </c>
      <c r="C49" s="927" t="s">
        <v>743</v>
      </c>
      <c r="D49" s="924" t="s">
        <v>332</v>
      </c>
      <c r="E49" s="608">
        <v>38</v>
      </c>
      <c r="F49" s="608">
        <v>38</v>
      </c>
      <c r="G49" s="608">
        <v>38</v>
      </c>
      <c r="H49" s="608">
        <v>38</v>
      </c>
    </row>
    <row r="50" spans="1:11" ht="15" customHeight="1" x14ac:dyDescent="0.25">
      <c r="A50" s="910">
        <f t="shared" si="0"/>
        <v>39</v>
      </c>
      <c r="B50" s="606">
        <v>42794</v>
      </c>
      <c r="C50" s="606" t="s">
        <v>2012</v>
      </c>
      <c r="D50" s="924" t="s">
        <v>332</v>
      </c>
      <c r="E50" s="608">
        <v>212</v>
      </c>
      <c r="F50" s="608">
        <v>212</v>
      </c>
      <c r="G50" s="608">
        <v>212</v>
      </c>
      <c r="H50" s="608">
        <v>212</v>
      </c>
    </row>
    <row r="51" spans="1:11" ht="30" x14ac:dyDescent="0.25">
      <c r="A51" s="910">
        <v>40</v>
      </c>
      <c r="B51" s="606" t="s">
        <v>2013</v>
      </c>
      <c r="C51" s="674" t="s">
        <v>2014</v>
      </c>
      <c r="D51" s="924" t="s">
        <v>332</v>
      </c>
      <c r="E51" s="608">
        <v>711200</v>
      </c>
      <c r="F51" s="608">
        <v>711200</v>
      </c>
      <c r="G51" s="608">
        <v>711200</v>
      </c>
      <c r="H51" s="608">
        <v>711200</v>
      </c>
    </row>
    <row r="52" spans="1:11" ht="15" x14ac:dyDescent="0.25">
      <c r="A52" s="1781">
        <v>41</v>
      </c>
      <c r="B52" s="606"/>
      <c r="C52" s="674"/>
      <c r="D52" s="924"/>
      <c r="E52" s="608"/>
      <c r="F52" s="608"/>
      <c r="G52" s="608"/>
      <c r="H52" s="608"/>
    </row>
    <row r="53" spans="1:11" ht="15" x14ac:dyDescent="0.25">
      <c r="A53" s="910">
        <v>42</v>
      </c>
      <c r="B53" s="606" t="s">
        <v>2015</v>
      </c>
      <c r="C53" s="606" t="s">
        <v>746</v>
      </c>
      <c r="D53" s="924" t="s">
        <v>332</v>
      </c>
      <c r="E53" s="608">
        <v>486</v>
      </c>
      <c r="F53" s="608">
        <v>486</v>
      </c>
      <c r="G53" s="608">
        <v>486</v>
      </c>
      <c r="H53" s="608">
        <v>486</v>
      </c>
    </row>
    <row r="54" spans="1:11" ht="15.75" x14ac:dyDescent="0.25">
      <c r="A54" s="910">
        <v>43</v>
      </c>
      <c r="B54" s="606"/>
      <c r="C54" s="606" t="s">
        <v>747</v>
      </c>
      <c r="D54" s="931" t="s">
        <v>332</v>
      </c>
      <c r="E54" s="608">
        <v>175</v>
      </c>
      <c r="F54" s="608">
        <v>175</v>
      </c>
      <c r="G54" s="608">
        <v>175</v>
      </c>
      <c r="H54" s="608">
        <v>175</v>
      </c>
    </row>
    <row r="55" spans="1:11" ht="15.75" x14ac:dyDescent="0.25">
      <c r="A55" s="910">
        <f t="shared" si="0"/>
        <v>44</v>
      </c>
      <c r="B55" s="930"/>
      <c r="C55" s="606" t="s">
        <v>748</v>
      </c>
      <c r="D55" s="931" t="s">
        <v>332</v>
      </c>
      <c r="E55" s="608">
        <v>55</v>
      </c>
      <c r="F55" s="608">
        <v>55</v>
      </c>
      <c r="G55" s="608">
        <v>55</v>
      </c>
      <c r="H55" s="608">
        <v>55</v>
      </c>
    </row>
    <row r="56" spans="1:11" ht="15" x14ac:dyDescent="0.25">
      <c r="A56" s="910">
        <f t="shared" si="0"/>
        <v>45</v>
      </c>
      <c r="B56" s="930"/>
      <c r="C56" s="606" t="s">
        <v>749</v>
      </c>
      <c r="D56" s="932">
        <v>45291</v>
      </c>
      <c r="E56" s="608">
        <v>19500</v>
      </c>
      <c r="F56" s="608">
        <v>19500</v>
      </c>
      <c r="G56" s="608">
        <v>19500</v>
      </c>
      <c r="H56" s="608">
        <v>19500</v>
      </c>
    </row>
    <row r="57" spans="1:11" ht="15.75" x14ac:dyDescent="0.25">
      <c r="A57" s="910">
        <f t="shared" si="0"/>
        <v>46</v>
      </c>
      <c r="B57" s="930"/>
      <c r="C57" s="606" t="s">
        <v>750</v>
      </c>
      <c r="D57" s="931" t="s">
        <v>332</v>
      </c>
      <c r="E57" s="608">
        <v>37</v>
      </c>
      <c r="F57" s="608">
        <v>37</v>
      </c>
      <c r="G57" s="608">
        <v>37</v>
      </c>
      <c r="H57" s="608">
        <v>37</v>
      </c>
    </row>
    <row r="58" spans="1:11" ht="15.75" x14ac:dyDescent="0.25">
      <c r="A58" s="910">
        <f t="shared" si="0"/>
        <v>47</v>
      </c>
      <c r="B58" s="930"/>
      <c r="C58" s="606" t="s">
        <v>751</v>
      </c>
      <c r="D58" s="931" t="s">
        <v>332</v>
      </c>
      <c r="E58" s="608">
        <v>53</v>
      </c>
      <c r="F58" s="608">
        <v>53</v>
      </c>
      <c r="G58" s="608">
        <v>53</v>
      </c>
      <c r="H58" s="608">
        <v>53</v>
      </c>
      <c r="K58" s="608"/>
    </row>
    <row r="59" spans="1:11" ht="15.75" x14ac:dyDescent="0.25">
      <c r="A59" s="910">
        <f t="shared" si="0"/>
        <v>48</v>
      </c>
      <c r="B59" s="930"/>
      <c r="C59" s="606" t="s">
        <v>752</v>
      </c>
      <c r="D59" s="931" t="s">
        <v>332</v>
      </c>
      <c r="E59" s="608">
        <v>104</v>
      </c>
      <c r="F59" s="608">
        <v>104</v>
      </c>
      <c r="G59" s="608">
        <v>104</v>
      </c>
      <c r="H59" s="608">
        <v>104</v>
      </c>
    </row>
    <row r="60" spans="1:11" ht="15.75" x14ac:dyDescent="0.25">
      <c r="A60" s="910">
        <f t="shared" si="0"/>
        <v>49</v>
      </c>
      <c r="B60" s="935"/>
      <c r="C60" s="606" t="s">
        <v>753</v>
      </c>
      <c r="D60" s="931" t="s">
        <v>332</v>
      </c>
      <c r="E60" s="608">
        <v>192</v>
      </c>
      <c r="F60" s="608">
        <v>192</v>
      </c>
      <c r="G60" s="608">
        <v>192</v>
      </c>
      <c r="H60" s="608">
        <v>192</v>
      </c>
      <c r="I60" s="936"/>
    </row>
    <row r="61" spans="1:11" ht="15.75" x14ac:dyDescent="0.25">
      <c r="A61" s="910">
        <f t="shared" si="0"/>
        <v>50</v>
      </c>
      <c r="B61" s="935"/>
      <c r="C61" s="606" t="s">
        <v>754</v>
      </c>
      <c r="D61" s="931" t="s">
        <v>332</v>
      </c>
      <c r="E61" s="608">
        <v>134</v>
      </c>
      <c r="F61" s="608">
        <v>134</v>
      </c>
      <c r="G61" s="608">
        <v>134</v>
      </c>
      <c r="H61" s="608">
        <v>134</v>
      </c>
      <c r="I61" s="936"/>
    </row>
    <row r="62" spans="1:11" ht="30" x14ac:dyDescent="0.25">
      <c r="A62" s="1782">
        <f t="shared" si="0"/>
        <v>51</v>
      </c>
      <c r="B62" s="1783"/>
      <c r="C62" s="674" t="s">
        <v>755</v>
      </c>
      <c r="D62" s="1784" t="s">
        <v>332</v>
      </c>
      <c r="E62" s="1785">
        <v>159</v>
      </c>
      <c r="F62" s="1785">
        <v>159</v>
      </c>
      <c r="G62" s="1785">
        <v>159</v>
      </c>
      <c r="H62" s="1785">
        <v>159</v>
      </c>
      <c r="I62" s="1786"/>
    </row>
    <row r="63" spans="1:11" ht="15" x14ac:dyDescent="0.25">
      <c r="A63" s="910">
        <f t="shared" si="0"/>
        <v>52</v>
      </c>
      <c r="B63" s="1787">
        <v>68360</v>
      </c>
      <c r="C63" s="606" t="s">
        <v>914</v>
      </c>
      <c r="D63" s="933" t="s">
        <v>332</v>
      </c>
      <c r="E63" s="608">
        <v>1844</v>
      </c>
      <c r="F63" s="608">
        <v>1844</v>
      </c>
      <c r="G63" s="608">
        <v>1844</v>
      </c>
      <c r="H63" s="608">
        <v>1844</v>
      </c>
      <c r="I63" s="936"/>
    </row>
    <row r="64" spans="1:11" ht="30" x14ac:dyDescent="0.25">
      <c r="A64" s="1782">
        <f t="shared" si="0"/>
        <v>53</v>
      </c>
      <c r="B64" s="1788" t="s">
        <v>2016</v>
      </c>
      <c r="C64" s="674" t="s">
        <v>865</v>
      </c>
      <c r="D64" s="1789">
        <v>43830</v>
      </c>
      <c r="E64" s="1785">
        <v>25000</v>
      </c>
      <c r="F64" s="1785">
        <v>25000</v>
      </c>
      <c r="G64" s="1785">
        <v>25000</v>
      </c>
      <c r="H64" s="1785">
        <v>25000</v>
      </c>
      <c r="I64" s="936"/>
    </row>
    <row r="65" spans="1:11" ht="15" x14ac:dyDescent="0.25">
      <c r="A65" s="910">
        <f t="shared" si="0"/>
        <v>54</v>
      </c>
      <c r="B65" s="934" t="s">
        <v>866</v>
      </c>
      <c r="C65" s="606" t="s">
        <v>867</v>
      </c>
      <c r="D65" s="933" t="s">
        <v>332</v>
      </c>
      <c r="E65" s="608">
        <v>31000</v>
      </c>
      <c r="F65" s="608">
        <v>31000</v>
      </c>
      <c r="G65" s="608">
        <v>31000</v>
      </c>
      <c r="H65" s="608">
        <v>31000</v>
      </c>
      <c r="I65" s="936"/>
    </row>
    <row r="66" spans="1:11" ht="15" x14ac:dyDescent="0.25">
      <c r="A66" s="910">
        <f t="shared" si="0"/>
        <v>55</v>
      </c>
      <c r="B66" s="935"/>
      <c r="C66" s="606" t="s">
        <v>868</v>
      </c>
      <c r="D66" s="933" t="s">
        <v>332</v>
      </c>
      <c r="E66" s="608">
        <v>732</v>
      </c>
      <c r="F66" s="608">
        <v>732</v>
      </c>
      <c r="G66" s="608">
        <v>732</v>
      </c>
      <c r="H66" s="608">
        <v>732</v>
      </c>
      <c r="I66" s="936"/>
    </row>
    <row r="67" spans="1:11" ht="30" x14ac:dyDescent="0.25">
      <c r="A67" s="1782">
        <v>56</v>
      </c>
      <c r="B67" s="1788" t="s">
        <v>931</v>
      </c>
      <c r="C67" s="674" t="s">
        <v>932</v>
      </c>
      <c r="D67" s="1790" t="s">
        <v>332</v>
      </c>
      <c r="E67" s="1785">
        <v>3277</v>
      </c>
      <c r="F67" s="1785">
        <v>3277</v>
      </c>
      <c r="G67" s="1785">
        <v>3277</v>
      </c>
      <c r="H67" s="1785">
        <v>3277</v>
      </c>
      <c r="I67" s="936"/>
    </row>
    <row r="68" spans="1:11" ht="30" x14ac:dyDescent="0.25">
      <c r="A68" s="910">
        <v>57</v>
      </c>
      <c r="B68" s="934" t="s">
        <v>1039</v>
      </c>
      <c r="C68" s="674" t="s">
        <v>1040</v>
      </c>
      <c r="D68" s="933" t="s">
        <v>332</v>
      </c>
      <c r="E68" s="608">
        <v>600</v>
      </c>
      <c r="F68" s="608">
        <v>600</v>
      </c>
      <c r="G68" s="608">
        <v>600</v>
      </c>
      <c r="H68" s="608">
        <v>600</v>
      </c>
      <c r="I68" s="936"/>
      <c r="J68" s="736"/>
      <c r="K68" s="736"/>
    </row>
    <row r="69" spans="1:11" ht="15" x14ac:dyDescent="0.25">
      <c r="A69" s="910">
        <v>58</v>
      </c>
      <c r="B69" s="1791">
        <v>42928</v>
      </c>
      <c r="C69" s="606" t="s">
        <v>2017</v>
      </c>
      <c r="D69" s="933" t="s">
        <v>332</v>
      </c>
      <c r="E69" s="608">
        <v>283</v>
      </c>
      <c r="F69" s="608">
        <v>283</v>
      </c>
      <c r="G69" s="608">
        <v>283</v>
      </c>
      <c r="H69" s="608">
        <v>283</v>
      </c>
      <c r="I69" s="936"/>
      <c r="J69" s="936"/>
      <c r="K69" s="936"/>
    </row>
    <row r="70" spans="1:11" ht="15.75" x14ac:dyDescent="0.25">
      <c r="A70" s="910">
        <v>59</v>
      </c>
      <c r="B70" s="934" t="s">
        <v>1041</v>
      </c>
      <c r="C70" s="1792" t="s">
        <v>1042</v>
      </c>
      <c r="D70" s="932">
        <v>46727</v>
      </c>
      <c r="E70" s="608"/>
      <c r="F70" s="608">
        <v>155395</v>
      </c>
      <c r="G70" s="608">
        <v>155395</v>
      </c>
      <c r="H70" s="608">
        <v>155395</v>
      </c>
      <c r="I70" s="936"/>
      <c r="J70" s="936"/>
      <c r="K70" s="936"/>
    </row>
    <row r="71" spans="1:11" ht="15.75" x14ac:dyDescent="0.25">
      <c r="A71" s="910">
        <v>60</v>
      </c>
      <c r="B71" s="934" t="s">
        <v>2018</v>
      </c>
      <c r="C71" s="1792" t="s">
        <v>1043</v>
      </c>
      <c r="D71" s="1793" t="s">
        <v>332</v>
      </c>
      <c r="E71" s="608">
        <v>7747</v>
      </c>
      <c r="F71" s="608">
        <v>8534</v>
      </c>
      <c r="G71" s="608">
        <v>8534</v>
      </c>
      <c r="H71" s="608">
        <v>8534</v>
      </c>
      <c r="I71" s="1794"/>
      <c r="J71" s="936"/>
      <c r="K71" s="936"/>
    </row>
    <row r="72" spans="1:11" ht="15.75" x14ac:dyDescent="0.25">
      <c r="A72" s="910">
        <v>61</v>
      </c>
      <c r="B72" s="934" t="s">
        <v>2019</v>
      </c>
      <c r="C72" s="1792" t="s">
        <v>1044</v>
      </c>
      <c r="D72" s="932">
        <v>44105</v>
      </c>
      <c r="E72" s="608">
        <v>350</v>
      </c>
      <c r="F72" s="608">
        <v>263</v>
      </c>
      <c r="G72" s="608">
        <v>0</v>
      </c>
      <c r="H72" s="608">
        <v>0</v>
      </c>
      <c r="I72" s="1794"/>
      <c r="J72" s="1795"/>
      <c r="K72" s="1795"/>
    </row>
    <row r="73" spans="1:11" ht="15.75" x14ac:dyDescent="0.25">
      <c r="A73" s="910">
        <v>62</v>
      </c>
      <c r="B73" s="934" t="s">
        <v>2020</v>
      </c>
      <c r="C73" s="1792" t="s">
        <v>2021</v>
      </c>
      <c r="D73" s="931" t="s">
        <v>332</v>
      </c>
      <c r="E73" s="608">
        <v>900</v>
      </c>
      <c r="F73" s="608">
        <v>900</v>
      </c>
      <c r="G73" s="608">
        <v>900</v>
      </c>
      <c r="H73" s="608">
        <v>900</v>
      </c>
      <c r="I73" s="1794"/>
    </row>
    <row r="74" spans="1:11" ht="15.75" x14ac:dyDescent="0.25">
      <c r="A74" s="910">
        <v>63</v>
      </c>
      <c r="B74" s="934" t="s">
        <v>2022</v>
      </c>
      <c r="C74" s="1792" t="s">
        <v>2023</v>
      </c>
      <c r="D74" s="1793" t="s">
        <v>332</v>
      </c>
      <c r="E74" s="1796">
        <v>5760</v>
      </c>
      <c r="F74" s="1796">
        <v>5760</v>
      </c>
      <c r="G74" s="1796">
        <v>5760</v>
      </c>
      <c r="H74" s="1796">
        <v>5760</v>
      </c>
      <c r="I74" s="1794"/>
    </row>
    <row r="75" spans="1:11" ht="15.75" x14ac:dyDescent="0.25">
      <c r="A75" s="1797">
        <v>64</v>
      </c>
      <c r="B75" s="1794" t="s">
        <v>2024</v>
      </c>
      <c r="C75" s="1792" t="s">
        <v>2025</v>
      </c>
      <c r="D75" s="21" t="s">
        <v>332</v>
      </c>
      <c r="E75" s="1794">
        <v>217</v>
      </c>
      <c r="F75" s="1794">
        <v>217</v>
      </c>
      <c r="G75" s="1794">
        <v>217</v>
      </c>
      <c r="H75" s="1794">
        <v>217</v>
      </c>
      <c r="I75" s="1794"/>
      <c r="J75" s="4"/>
    </row>
    <row r="76" spans="1:11" ht="31.5" x14ac:dyDescent="0.25">
      <c r="A76" s="1797">
        <v>65</v>
      </c>
      <c r="B76" s="1798" t="s">
        <v>2026</v>
      </c>
      <c r="C76" s="1799" t="s">
        <v>2027</v>
      </c>
      <c r="D76" s="1800" t="s">
        <v>332</v>
      </c>
      <c r="E76" s="1801">
        <v>1524</v>
      </c>
      <c r="F76" s="1801">
        <v>1524</v>
      </c>
      <c r="G76" s="1801">
        <v>1524</v>
      </c>
      <c r="H76" s="1801">
        <v>1524</v>
      </c>
      <c r="I76" s="1794"/>
      <c r="J76" s="4"/>
    </row>
    <row r="77" spans="1:11" ht="15.75" x14ac:dyDescent="0.25">
      <c r="A77" s="1797">
        <v>66</v>
      </c>
      <c r="B77" s="1794" t="s">
        <v>2028</v>
      </c>
      <c r="C77" s="32" t="s">
        <v>2029</v>
      </c>
      <c r="D77" s="21" t="s">
        <v>332</v>
      </c>
      <c r="E77" s="1794">
        <v>671</v>
      </c>
      <c r="F77" s="1794">
        <v>671</v>
      </c>
      <c r="G77" s="1794">
        <v>671</v>
      </c>
      <c r="H77" s="1794">
        <v>671</v>
      </c>
      <c r="I77" s="1794"/>
      <c r="J77" s="4"/>
    </row>
    <row r="78" spans="1:11" ht="31.5" x14ac:dyDescent="0.25">
      <c r="A78" s="1797">
        <v>67</v>
      </c>
      <c r="B78" s="1798" t="s">
        <v>737</v>
      </c>
      <c r="C78" s="1799" t="s">
        <v>738</v>
      </c>
      <c r="D78" s="1800" t="s">
        <v>332</v>
      </c>
      <c r="E78" s="1785">
        <v>5760</v>
      </c>
      <c r="F78" s="1785">
        <v>5760</v>
      </c>
      <c r="G78" s="1785">
        <v>5760</v>
      </c>
      <c r="H78" s="1785">
        <v>5760</v>
      </c>
      <c r="I78" s="1794"/>
      <c r="J78" s="4"/>
    </row>
    <row r="79" spans="1:11" ht="30" x14ac:dyDescent="0.25">
      <c r="A79" s="1802">
        <v>68</v>
      </c>
      <c r="B79" s="1798" t="s">
        <v>2030</v>
      </c>
      <c r="C79" s="1798" t="s">
        <v>2031</v>
      </c>
      <c r="D79" s="1802" t="s">
        <v>332</v>
      </c>
      <c r="E79" s="1798">
        <v>200</v>
      </c>
      <c r="F79" s="1798">
        <v>200</v>
      </c>
      <c r="G79" s="1798">
        <v>200</v>
      </c>
      <c r="H79" s="1798">
        <v>200</v>
      </c>
      <c r="I79" s="1798"/>
    </row>
    <row r="80" spans="1:11" ht="15" x14ac:dyDescent="0.25">
      <c r="A80" s="1797">
        <v>69</v>
      </c>
      <c r="B80" s="1794" t="s">
        <v>2032</v>
      </c>
      <c r="C80" s="1794" t="s">
        <v>2033</v>
      </c>
      <c r="D80" s="1797" t="s">
        <v>332</v>
      </c>
      <c r="E80" s="1794">
        <v>55</v>
      </c>
      <c r="F80" s="1794">
        <v>55</v>
      </c>
      <c r="G80" s="1794">
        <v>55</v>
      </c>
      <c r="H80" s="1794">
        <v>55</v>
      </c>
      <c r="I80" s="1794"/>
    </row>
    <row r="81" spans="1:10" ht="30" x14ac:dyDescent="0.25">
      <c r="A81" s="1802">
        <v>70</v>
      </c>
      <c r="B81" s="1798" t="s">
        <v>2034</v>
      </c>
      <c r="C81" s="1798" t="s">
        <v>2035</v>
      </c>
      <c r="D81" s="1802" t="s">
        <v>332</v>
      </c>
      <c r="E81" s="1798">
        <v>31</v>
      </c>
      <c r="F81" s="1798">
        <v>31</v>
      </c>
      <c r="G81" s="1798">
        <v>31</v>
      </c>
      <c r="H81" s="1798">
        <v>31</v>
      </c>
      <c r="I81" s="1794"/>
    </row>
    <row r="82" spans="1:10" ht="15" x14ac:dyDescent="0.25">
      <c r="A82" s="1797">
        <v>71</v>
      </c>
      <c r="B82" s="1794" t="s">
        <v>2036</v>
      </c>
      <c r="C82" s="1794" t="s">
        <v>2037</v>
      </c>
      <c r="D82" s="1803">
        <v>44196</v>
      </c>
      <c r="E82" s="1794">
        <v>381</v>
      </c>
      <c r="F82" s="1794">
        <v>381</v>
      </c>
      <c r="G82" s="1794">
        <v>381</v>
      </c>
      <c r="H82" s="1794">
        <v>381</v>
      </c>
      <c r="I82" s="1794"/>
    </row>
    <row r="83" spans="1:10" ht="15" x14ac:dyDescent="0.25">
      <c r="A83" s="1797">
        <v>72</v>
      </c>
      <c r="B83" s="1794" t="s">
        <v>2038</v>
      </c>
      <c r="C83" s="1794" t="s">
        <v>2039</v>
      </c>
      <c r="D83" s="1803">
        <v>43982</v>
      </c>
      <c r="E83" s="608">
        <v>965</v>
      </c>
      <c r="F83" s="608">
        <v>991</v>
      </c>
      <c r="G83" s="608">
        <v>991</v>
      </c>
      <c r="H83" s="608">
        <v>991</v>
      </c>
      <c r="I83" s="1794"/>
    </row>
    <row r="84" spans="1:10" ht="15" x14ac:dyDescent="0.25">
      <c r="A84" s="1797">
        <v>72</v>
      </c>
      <c r="B84" s="1794" t="s">
        <v>2040</v>
      </c>
      <c r="C84" s="1794" t="s">
        <v>2041</v>
      </c>
      <c r="D84" s="1803">
        <v>44074</v>
      </c>
      <c r="E84" s="608">
        <v>2485</v>
      </c>
      <c r="F84" s="608">
        <v>2552</v>
      </c>
      <c r="G84" s="608">
        <v>2552</v>
      </c>
      <c r="H84" s="608">
        <v>2552</v>
      </c>
      <c r="I84" s="1794"/>
    </row>
    <row r="85" spans="1:10" ht="15" x14ac:dyDescent="0.25">
      <c r="A85" s="1797">
        <v>73</v>
      </c>
      <c r="B85" s="1794" t="s">
        <v>2042</v>
      </c>
      <c r="C85" s="1794" t="s">
        <v>2043</v>
      </c>
      <c r="D85" s="1803">
        <v>43830</v>
      </c>
      <c r="E85" s="1796">
        <v>2188</v>
      </c>
      <c r="F85" s="1796">
        <v>2188</v>
      </c>
      <c r="G85" s="1796">
        <v>2188</v>
      </c>
      <c r="H85" s="1796">
        <v>2188</v>
      </c>
      <c r="I85" s="1794"/>
    </row>
    <row r="86" spans="1:10" ht="15" x14ac:dyDescent="0.25">
      <c r="A86" s="1797">
        <v>74</v>
      </c>
      <c r="B86" s="1794" t="s">
        <v>2044</v>
      </c>
      <c r="C86" s="1794" t="s">
        <v>2045</v>
      </c>
      <c r="D86" s="1797" t="s">
        <v>332</v>
      </c>
      <c r="E86" s="1796">
        <v>1067</v>
      </c>
      <c r="F86" s="1796">
        <v>1067</v>
      </c>
      <c r="G86" s="1796">
        <v>1067</v>
      </c>
      <c r="H86" s="1796">
        <v>1067</v>
      </c>
      <c r="I86" s="1794"/>
    </row>
    <row r="87" spans="1:10" ht="15" x14ac:dyDescent="0.25">
      <c r="A87" s="1797">
        <v>75</v>
      </c>
      <c r="B87" s="1794" t="s">
        <v>2046</v>
      </c>
      <c r="C87" s="1794" t="s">
        <v>2047</v>
      </c>
      <c r="D87" s="1797" t="s">
        <v>332</v>
      </c>
      <c r="E87" s="1796">
        <v>3048</v>
      </c>
      <c r="F87" s="1796">
        <v>3048</v>
      </c>
      <c r="G87" s="1796">
        <v>3048</v>
      </c>
      <c r="H87" s="1796">
        <v>3048</v>
      </c>
      <c r="I87" s="1794"/>
    </row>
    <row r="88" spans="1:10" ht="30" x14ac:dyDescent="0.25">
      <c r="A88" s="1797">
        <v>76</v>
      </c>
      <c r="B88" s="1794" t="s">
        <v>2048</v>
      </c>
      <c r="C88" s="1798" t="s">
        <v>2049</v>
      </c>
      <c r="D88" s="1803">
        <v>44196</v>
      </c>
      <c r="E88" s="1796">
        <v>873</v>
      </c>
      <c r="F88" s="1796">
        <v>873</v>
      </c>
      <c r="G88" s="1794">
        <v>873</v>
      </c>
      <c r="H88" s="1794">
        <v>873</v>
      </c>
      <c r="I88" s="1794"/>
    </row>
    <row r="89" spans="1:10" ht="15" x14ac:dyDescent="0.25">
      <c r="A89" s="1797">
        <v>77</v>
      </c>
      <c r="B89" s="1794" t="s">
        <v>2050</v>
      </c>
      <c r="C89" s="1794" t="s">
        <v>2051</v>
      </c>
      <c r="D89" s="1803">
        <v>44196</v>
      </c>
      <c r="E89" s="608">
        <v>873</v>
      </c>
      <c r="F89" s="608">
        <v>873</v>
      </c>
      <c r="G89" s="608">
        <v>873</v>
      </c>
      <c r="H89" s="608">
        <v>873</v>
      </c>
    </row>
    <row r="90" spans="1:10" ht="30" x14ac:dyDescent="0.25">
      <c r="A90" s="1797">
        <v>78</v>
      </c>
      <c r="B90" s="1794" t="s">
        <v>2052</v>
      </c>
      <c r="C90" s="1798" t="s">
        <v>2053</v>
      </c>
      <c r="D90" s="1803">
        <v>44196</v>
      </c>
      <c r="E90" s="608">
        <v>873</v>
      </c>
      <c r="F90" s="608">
        <v>873</v>
      </c>
      <c r="G90" s="608">
        <v>873</v>
      </c>
      <c r="H90" s="608">
        <v>873</v>
      </c>
    </row>
    <row r="91" spans="1:10" ht="15" x14ac:dyDescent="0.25">
      <c r="A91" s="910">
        <v>67</v>
      </c>
      <c r="B91" s="934" t="s">
        <v>2054</v>
      </c>
      <c r="C91" s="606" t="s">
        <v>2055</v>
      </c>
      <c r="D91" s="932" t="s">
        <v>332</v>
      </c>
      <c r="E91" s="608">
        <v>0</v>
      </c>
      <c r="F91" s="608">
        <v>800</v>
      </c>
      <c r="G91" s="608">
        <v>2400</v>
      </c>
      <c r="H91" s="608">
        <v>2400</v>
      </c>
    </row>
    <row r="92" spans="1:10" ht="47.25" x14ac:dyDescent="0.25">
      <c r="A92" s="910">
        <v>68</v>
      </c>
      <c r="B92" s="1804" t="s">
        <v>2056</v>
      </c>
      <c r="C92" s="32" t="s">
        <v>2057</v>
      </c>
      <c r="D92" s="1799" t="s">
        <v>2058</v>
      </c>
      <c r="E92" s="1801">
        <v>2280</v>
      </c>
      <c r="F92" s="1801">
        <v>2280</v>
      </c>
      <c r="G92" s="1796">
        <v>2280</v>
      </c>
      <c r="H92" s="1796">
        <v>2280</v>
      </c>
      <c r="I92" s="32"/>
      <c r="J92" s="1805"/>
    </row>
    <row r="93" spans="1:10" ht="15.75" x14ac:dyDescent="0.25">
      <c r="A93" s="910">
        <v>69</v>
      </c>
      <c r="B93" s="934" t="s">
        <v>2059</v>
      </c>
      <c r="C93" s="1794" t="s">
        <v>2060</v>
      </c>
      <c r="D93" s="1806">
        <v>44561</v>
      </c>
      <c r="E93" s="1801">
        <v>254</v>
      </c>
      <c r="F93" s="1801">
        <v>254</v>
      </c>
      <c r="G93" s="1796">
        <v>297</v>
      </c>
      <c r="H93" s="1796">
        <v>0</v>
      </c>
      <c r="I93" s="32"/>
      <c r="J93" s="1805"/>
    </row>
    <row r="94" spans="1:10" ht="15.75" x14ac:dyDescent="0.25">
      <c r="A94" s="910"/>
      <c r="B94" s="1804"/>
      <c r="C94" s="32"/>
      <c r="D94" s="1799"/>
      <c r="E94" s="1807"/>
      <c r="F94" s="1807"/>
      <c r="G94" s="35"/>
      <c r="H94" s="35"/>
      <c r="I94" s="32"/>
      <c r="J94" s="1805"/>
    </row>
    <row r="95" spans="1:10" ht="15.75" x14ac:dyDescent="0.25">
      <c r="A95" s="910"/>
      <c r="B95" s="1804"/>
      <c r="C95" s="32"/>
      <c r="D95" s="1799"/>
      <c r="E95" s="1807"/>
      <c r="F95" s="1807"/>
      <c r="G95" s="35"/>
      <c r="H95" s="35"/>
      <c r="I95" s="32"/>
      <c r="J95" s="1805"/>
    </row>
    <row r="96" spans="1:10" ht="15.75" x14ac:dyDescent="0.25">
      <c r="A96" s="910"/>
      <c r="B96" s="1804"/>
      <c r="C96" s="32"/>
      <c r="D96" s="1799"/>
      <c r="E96" s="1807"/>
      <c r="F96" s="1807"/>
      <c r="G96" s="35"/>
      <c r="H96" s="35"/>
      <c r="I96" s="32"/>
      <c r="J96" s="1805"/>
    </row>
    <row r="97" spans="1:10" ht="15.75" x14ac:dyDescent="0.25">
      <c r="A97" s="910"/>
      <c r="B97" s="1804"/>
      <c r="C97" s="32"/>
      <c r="D97" s="1799"/>
      <c r="E97" s="1807"/>
      <c r="F97" s="1807"/>
      <c r="G97" s="35"/>
      <c r="H97" s="35"/>
      <c r="I97" s="32"/>
      <c r="J97" s="1805"/>
    </row>
    <row r="98" spans="1:10" ht="15.75" x14ac:dyDescent="0.25">
      <c r="A98" s="910"/>
      <c r="B98" s="1804"/>
      <c r="C98" s="32"/>
      <c r="D98" s="1799"/>
      <c r="E98" s="1807"/>
      <c r="F98" s="1807"/>
      <c r="G98" s="35"/>
      <c r="H98" s="35"/>
      <c r="I98" s="32"/>
      <c r="J98" s="1805"/>
    </row>
    <row r="99" spans="1:10" ht="15.75" x14ac:dyDescent="0.25">
      <c r="B99" s="1804"/>
      <c r="D99" s="1794"/>
      <c r="E99" s="1808">
        <f>SUM(E12:E93)</f>
        <v>933363</v>
      </c>
      <c r="F99" s="937">
        <f>SUM(F12:F98)</f>
        <v>1091077</v>
      </c>
      <c r="G99" s="1808">
        <f>SUM(G12:G93)</f>
        <v>1081340</v>
      </c>
      <c r="H99" s="1808">
        <f>SUM(H12:H93)</f>
        <v>1081043</v>
      </c>
    </row>
    <row r="100" spans="1:10" ht="14.25" x14ac:dyDescent="0.2">
      <c r="E100" s="1809"/>
      <c r="F100" s="937"/>
      <c r="G100" s="1808"/>
      <c r="H100" s="1808"/>
    </row>
  </sheetData>
  <mergeCells count="9">
    <mergeCell ref="A8:A10"/>
    <mergeCell ref="B9:B10"/>
    <mergeCell ref="C9:C10"/>
    <mergeCell ref="D9:D10"/>
    <mergeCell ref="A1:H1"/>
    <mergeCell ref="A5:H5"/>
    <mergeCell ref="A6:H6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65" customWidth="1"/>
    <col min="2" max="2" width="27.7109375" style="377" customWidth="1"/>
    <col min="3" max="3" width="47.85546875" style="377" customWidth="1"/>
    <col min="4" max="4" width="9.140625" style="366"/>
    <col min="5" max="5" width="8.7109375" style="377" bestFit="1" customWidth="1"/>
    <col min="6" max="6" width="8.42578125" style="377" bestFit="1" customWidth="1"/>
    <col min="7" max="7" width="8.7109375" style="377" customWidth="1"/>
    <col min="8" max="8" width="8.85546875" style="377" customWidth="1"/>
    <col min="9" max="9" width="9.140625" style="377"/>
    <col min="10" max="16384" width="9.140625" style="368"/>
  </cols>
  <sheetData>
    <row r="1" spans="1:11" ht="14.1" customHeight="1" x14ac:dyDescent="0.25">
      <c r="C1" s="2124" t="s">
        <v>159</v>
      </c>
      <c r="D1" s="2124"/>
      <c r="E1" s="2124"/>
      <c r="F1" s="2124"/>
      <c r="G1" s="2124"/>
      <c r="H1" s="2124"/>
    </row>
    <row r="2" spans="1:11" ht="20.100000000000001" customHeight="1" x14ac:dyDescent="0.25">
      <c r="A2" s="2107" t="s">
        <v>316</v>
      </c>
      <c r="B2" s="2125"/>
      <c r="C2" s="2125"/>
      <c r="D2" s="2125"/>
      <c r="E2" s="2125"/>
      <c r="F2" s="2125"/>
      <c r="G2" s="2125"/>
      <c r="H2" s="2125"/>
    </row>
    <row r="3" spans="1:11" ht="14.1" customHeight="1" x14ac:dyDescent="0.25">
      <c r="A3" s="2107" t="s">
        <v>317</v>
      </c>
      <c r="B3" s="2125"/>
      <c r="C3" s="2125"/>
      <c r="D3" s="2125"/>
      <c r="E3" s="2125"/>
      <c r="F3" s="2125"/>
      <c r="G3" s="2125"/>
      <c r="H3" s="2125"/>
    </row>
    <row r="4" spans="1:11" ht="14.1" customHeight="1" x14ac:dyDescent="0.25">
      <c r="A4" s="2108" t="s">
        <v>55</v>
      </c>
      <c r="B4" s="2126"/>
      <c r="C4" s="2126"/>
      <c r="D4" s="2126"/>
      <c r="E4" s="2126"/>
      <c r="F4" s="2126"/>
      <c r="G4" s="2126"/>
      <c r="H4" s="2126"/>
    </row>
    <row r="5" spans="1:11" ht="14.1" customHeight="1" x14ac:dyDescent="0.25">
      <c r="A5" s="364"/>
      <c r="B5" s="365"/>
      <c r="C5" s="365"/>
      <c r="D5" s="365"/>
      <c r="E5" s="365"/>
      <c r="F5" s="365"/>
      <c r="G5" s="365"/>
      <c r="H5" s="365"/>
    </row>
    <row r="6" spans="1:11" ht="14.1" customHeight="1" x14ac:dyDescent="0.25">
      <c r="A6" s="2115"/>
      <c r="B6" s="367" t="s">
        <v>57</v>
      </c>
      <c r="C6" s="367" t="s">
        <v>58</v>
      </c>
      <c r="D6" s="367" t="s">
        <v>59</v>
      </c>
      <c r="E6" s="367" t="s">
        <v>60</v>
      </c>
      <c r="F6" s="367" t="s">
        <v>469</v>
      </c>
      <c r="G6" s="367" t="s">
        <v>470</v>
      </c>
      <c r="H6" s="367" t="s">
        <v>471</v>
      </c>
      <c r="I6" s="367" t="s">
        <v>590</v>
      </c>
    </row>
    <row r="7" spans="1:11" s="407" customFormat="1" ht="13.5" customHeight="1" x14ac:dyDescent="0.25">
      <c r="A7" s="2115"/>
      <c r="B7" s="2123" t="s">
        <v>318</v>
      </c>
      <c r="C7" s="2127" t="s">
        <v>319</v>
      </c>
      <c r="D7" s="2127" t="s">
        <v>320</v>
      </c>
      <c r="E7" s="2121" t="s">
        <v>321</v>
      </c>
      <c r="F7" s="2122"/>
      <c r="G7" s="2122"/>
      <c r="H7" s="2122"/>
      <c r="I7" s="2123"/>
      <c r="J7" s="406"/>
      <c r="K7" s="406"/>
    </row>
    <row r="8" spans="1:11" s="407" customFormat="1" ht="13.5" customHeight="1" x14ac:dyDescent="0.25">
      <c r="A8" s="2115"/>
      <c r="B8" s="2123"/>
      <c r="C8" s="2127"/>
      <c r="D8" s="2127"/>
      <c r="E8" s="408" t="s">
        <v>322</v>
      </c>
      <c r="F8" s="408" t="s">
        <v>323</v>
      </c>
      <c r="G8" s="408" t="s">
        <v>324</v>
      </c>
      <c r="H8" s="409" t="s">
        <v>325</v>
      </c>
      <c r="I8" s="408" t="s">
        <v>156</v>
      </c>
      <c r="J8" s="410"/>
      <c r="K8" s="410"/>
    </row>
    <row r="9" spans="1:11" s="407" customFormat="1" ht="13.5" customHeight="1" x14ac:dyDescent="0.25">
      <c r="A9" s="375" t="s">
        <v>478</v>
      </c>
      <c r="B9" s="411" t="s">
        <v>326</v>
      </c>
      <c r="C9" s="412"/>
      <c r="D9" s="413"/>
      <c r="E9" s="412"/>
      <c r="F9" s="412"/>
      <c r="G9" s="412"/>
      <c r="H9" s="412"/>
      <c r="I9" s="363"/>
    </row>
    <row r="10" spans="1:11" ht="13.5" customHeight="1" x14ac:dyDescent="0.25">
      <c r="A10" s="375" t="s">
        <v>486</v>
      </c>
      <c r="B10" s="414" t="s">
        <v>327</v>
      </c>
    </row>
    <row r="11" spans="1:11" ht="13.5" customHeight="1" x14ac:dyDescent="0.25">
      <c r="A11" s="375" t="s">
        <v>487</v>
      </c>
      <c r="B11" s="397" t="s">
        <v>328</v>
      </c>
      <c r="C11" s="398" t="s">
        <v>329</v>
      </c>
      <c r="D11" s="399"/>
      <c r="E11" s="398"/>
      <c r="F11" s="398"/>
      <c r="G11" s="398"/>
      <c r="H11" s="398"/>
    </row>
    <row r="12" spans="1:11" ht="13.5" customHeight="1" x14ac:dyDescent="0.25">
      <c r="A12" s="375" t="s">
        <v>488</v>
      </c>
      <c r="B12" s="397" t="s">
        <v>330</v>
      </c>
      <c r="C12" s="398" t="s">
        <v>331</v>
      </c>
      <c r="D12" s="366" t="s">
        <v>332</v>
      </c>
      <c r="E12" s="400">
        <v>300</v>
      </c>
      <c r="F12" s="400">
        <v>300</v>
      </c>
      <c r="G12" s="400">
        <v>300</v>
      </c>
      <c r="H12" s="400">
        <v>300</v>
      </c>
    </row>
    <row r="13" spans="1:11" ht="13.5" customHeight="1" x14ac:dyDescent="0.25">
      <c r="A13" s="375" t="s">
        <v>489</v>
      </c>
      <c r="B13" s="376" t="s">
        <v>333</v>
      </c>
      <c r="C13" s="377" t="s">
        <v>334</v>
      </c>
      <c r="D13" s="366" t="s">
        <v>332</v>
      </c>
      <c r="E13" s="374">
        <v>100</v>
      </c>
      <c r="F13" s="374">
        <v>100</v>
      </c>
      <c r="G13" s="374">
        <v>100</v>
      </c>
      <c r="H13" s="374">
        <v>100</v>
      </c>
      <c r="I13" s="377">
        <v>100</v>
      </c>
    </row>
    <row r="14" spans="1:11" ht="13.5" customHeight="1" x14ac:dyDescent="0.25">
      <c r="A14" s="375" t="s">
        <v>490</v>
      </c>
      <c r="B14" s="376" t="s">
        <v>335</v>
      </c>
      <c r="C14" s="377" t="s">
        <v>336</v>
      </c>
      <c r="D14" s="366" t="s">
        <v>332</v>
      </c>
      <c r="E14" s="374">
        <v>24554</v>
      </c>
      <c r="F14" s="374">
        <v>19393</v>
      </c>
      <c r="G14" s="374"/>
      <c r="H14" s="374">
        <v>24241</v>
      </c>
      <c r="I14" s="377">
        <v>24250</v>
      </c>
    </row>
    <row r="15" spans="1:11" ht="13.5" customHeight="1" x14ac:dyDescent="0.25">
      <c r="A15" s="375" t="s">
        <v>491</v>
      </c>
      <c r="B15" s="376" t="s">
        <v>337</v>
      </c>
      <c r="C15" s="377" t="s">
        <v>338</v>
      </c>
      <c r="D15" s="366" t="s">
        <v>332</v>
      </c>
      <c r="E15" s="374"/>
      <c r="F15" s="374"/>
      <c r="G15" s="374"/>
      <c r="H15" s="374"/>
    </row>
    <row r="16" spans="1:11" ht="13.5" customHeight="1" x14ac:dyDescent="0.25">
      <c r="A16" s="375" t="s">
        <v>492</v>
      </c>
      <c r="B16" s="376" t="s">
        <v>339</v>
      </c>
      <c r="C16" s="377" t="s">
        <v>340</v>
      </c>
      <c r="D16" s="366" t="s">
        <v>332</v>
      </c>
      <c r="E16" s="374">
        <v>17280</v>
      </c>
      <c r="F16" s="374">
        <v>17280</v>
      </c>
      <c r="G16" s="374">
        <v>17280</v>
      </c>
      <c r="H16" s="374">
        <v>17280</v>
      </c>
      <c r="I16" s="377">
        <v>17280</v>
      </c>
    </row>
    <row r="17" spans="1:13" ht="13.5" customHeight="1" x14ac:dyDescent="0.25">
      <c r="A17" s="375" t="s">
        <v>493</v>
      </c>
      <c r="B17" s="376" t="s">
        <v>341</v>
      </c>
      <c r="C17" s="377" t="s">
        <v>342</v>
      </c>
      <c r="D17" s="366" t="s">
        <v>332</v>
      </c>
      <c r="E17" s="374">
        <v>32739</v>
      </c>
      <c r="F17" s="374">
        <v>25858</v>
      </c>
      <c r="G17" s="374"/>
      <c r="H17" s="374">
        <v>27321</v>
      </c>
      <c r="I17" s="377">
        <v>27350</v>
      </c>
    </row>
    <row r="18" spans="1:13" ht="13.5" customHeight="1" x14ac:dyDescent="0.25">
      <c r="A18" s="375" t="s">
        <v>529</v>
      </c>
      <c r="B18" s="376"/>
      <c r="C18" s="377" t="s">
        <v>343</v>
      </c>
      <c r="D18" s="366" t="s">
        <v>332</v>
      </c>
      <c r="E18" s="374"/>
      <c r="F18" s="374"/>
      <c r="G18" s="374"/>
      <c r="H18" s="374"/>
    </row>
    <row r="19" spans="1:13" ht="13.5" customHeight="1" x14ac:dyDescent="0.25">
      <c r="A19" s="375" t="s">
        <v>530</v>
      </c>
      <c r="B19" s="376"/>
      <c r="C19" s="377" t="s">
        <v>344</v>
      </c>
      <c r="D19" s="366" t="s">
        <v>332</v>
      </c>
      <c r="E19" s="374">
        <v>23050</v>
      </c>
      <c r="F19" s="374">
        <v>23050</v>
      </c>
      <c r="G19" s="374">
        <v>23050</v>
      </c>
      <c r="H19" s="374">
        <v>23050</v>
      </c>
      <c r="I19" s="377">
        <v>23050</v>
      </c>
    </row>
    <row r="20" spans="1:13" ht="18" customHeight="1" x14ac:dyDescent="0.25">
      <c r="A20" s="375" t="s">
        <v>531</v>
      </c>
      <c r="B20" s="376" t="s">
        <v>345</v>
      </c>
      <c r="C20" s="377" t="s">
        <v>346</v>
      </c>
      <c r="D20" s="366" t="s">
        <v>332</v>
      </c>
      <c r="E20" s="374">
        <v>9</v>
      </c>
      <c r="F20" s="374">
        <v>9</v>
      </c>
      <c r="G20" s="374">
        <v>9</v>
      </c>
      <c r="H20" s="374">
        <v>9</v>
      </c>
      <c r="I20" s="377">
        <v>9</v>
      </c>
    </row>
    <row r="21" spans="1:13" ht="13.5" customHeight="1" x14ac:dyDescent="0.25">
      <c r="A21" s="375" t="s">
        <v>532</v>
      </c>
      <c r="B21" s="376" t="s">
        <v>347</v>
      </c>
      <c r="C21" s="377" t="s">
        <v>348</v>
      </c>
      <c r="D21" s="366" t="s">
        <v>332</v>
      </c>
      <c r="E21" s="374">
        <v>50</v>
      </c>
      <c r="F21" s="374">
        <v>50</v>
      </c>
      <c r="G21" s="374">
        <v>50</v>
      </c>
      <c r="H21" s="374">
        <v>100</v>
      </c>
      <c r="I21" s="377">
        <v>100</v>
      </c>
    </row>
    <row r="22" spans="1:13" ht="21" customHeight="1" x14ac:dyDescent="0.25">
      <c r="A22" s="375" t="s">
        <v>533</v>
      </c>
      <c r="B22" s="376" t="s">
        <v>349</v>
      </c>
      <c r="C22" s="377" t="s">
        <v>350</v>
      </c>
      <c r="D22" s="378" t="s">
        <v>332</v>
      </c>
      <c r="E22" s="374">
        <v>875</v>
      </c>
      <c r="F22" s="374">
        <v>875</v>
      </c>
      <c r="G22" s="374">
        <v>875</v>
      </c>
      <c r="H22" s="374">
        <v>875</v>
      </c>
      <c r="I22" s="377">
        <v>875</v>
      </c>
    </row>
    <row r="23" spans="1:13" s="370" customFormat="1" ht="30" x14ac:dyDescent="0.25">
      <c r="A23" s="375" t="s">
        <v>534</v>
      </c>
      <c r="B23" s="379" t="s">
        <v>351</v>
      </c>
      <c r="C23" s="401" t="s">
        <v>352</v>
      </c>
      <c r="D23" s="381" t="s">
        <v>332</v>
      </c>
      <c r="E23" s="402">
        <v>129</v>
      </c>
      <c r="F23" s="402">
        <v>129</v>
      </c>
      <c r="G23" s="402">
        <v>129</v>
      </c>
      <c r="H23" s="402">
        <v>193</v>
      </c>
      <c r="I23" s="387">
        <v>193</v>
      </c>
      <c r="J23" s="394"/>
      <c r="K23" s="403"/>
      <c r="M23" s="404"/>
    </row>
    <row r="24" spans="1:13" ht="17.25" customHeight="1" x14ac:dyDescent="0.25">
      <c r="A24" s="375" t="s">
        <v>535</v>
      </c>
      <c r="B24" s="376" t="s">
        <v>107</v>
      </c>
      <c r="C24" s="377" t="s">
        <v>353</v>
      </c>
      <c r="D24" s="378" t="s">
        <v>332</v>
      </c>
      <c r="E24" s="374">
        <v>125</v>
      </c>
      <c r="F24" s="374">
        <v>125</v>
      </c>
      <c r="G24" s="374">
        <v>125</v>
      </c>
      <c r="H24" s="374">
        <v>147</v>
      </c>
      <c r="I24" s="377">
        <v>147</v>
      </c>
    </row>
    <row r="25" spans="1:13" ht="15.75" customHeight="1" x14ac:dyDescent="0.25">
      <c r="A25" s="375" t="s">
        <v>536</v>
      </c>
      <c r="B25" s="376"/>
      <c r="C25" s="377" t="s">
        <v>354</v>
      </c>
      <c r="D25" s="378" t="s">
        <v>332</v>
      </c>
      <c r="E25" s="374">
        <v>54</v>
      </c>
      <c r="F25" s="374">
        <v>54</v>
      </c>
      <c r="G25" s="374">
        <v>54</v>
      </c>
      <c r="H25" s="374">
        <v>54</v>
      </c>
      <c r="I25" s="377">
        <v>54</v>
      </c>
    </row>
    <row r="26" spans="1:13" ht="13.5" customHeight="1" x14ac:dyDescent="0.25">
      <c r="A26" s="375" t="s">
        <v>538</v>
      </c>
      <c r="B26" s="376" t="s">
        <v>355</v>
      </c>
      <c r="C26" s="377" t="s">
        <v>356</v>
      </c>
      <c r="D26" s="378" t="s">
        <v>332</v>
      </c>
      <c r="E26" s="374">
        <v>100</v>
      </c>
      <c r="F26" s="374">
        <v>100</v>
      </c>
      <c r="G26" s="374">
        <v>100</v>
      </c>
      <c r="H26" s="374">
        <v>100</v>
      </c>
      <c r="I26" s="377">
        <v>100</v>
      </c>
    </row>
    <row r="27" spans="1:13" ht="13.5" customHeight="1" x14ac:dyDescent="0.25">
      <c r="A27" s="375" t="s">
        <v>539</v>
      </c>
      <c r="B27" s="376" t="s">
        <v>357</v>
      </c>
      <c r="C27" s="377" t="s">
        <v>358</v>
      </c>
      <c r="D27" s="378" t="s">
        <v>332</v>
      </c>
      <c r="E27" s="374">
        <v>1575</v>
      </c>
      <c r="F27" s="374">
        <v>1575</v>
      </c>
      <c r="G27" s="374">
        <v>1575</v>
      </c>
      <c r="H27" s="374">
        <v>1575</v>
      </c>
      <c r="I27" s="377">
        <v>1575</v>
      </c>
    </row>
    <row r="28" spans="1:13" ht="13.5" customHeight="1" x14ac:dyDescent="0.25">
      <c r="A28" s="375" t="s">
        <v>540</v>
      </c>
      <c r="B28" s="376" t="s">
        <v>359</v>
      </c>
      <c r="C28" s="377" t="s">
        <v>360</v>
      </c>
      <c r="D28" s="378" t="s">
        <v>332</v>
      </c>
      <c r="E28" s="374">
        <v>60</v>
      </c>
      <c r="F28" s="374">
        <v>60</v>
      </c>
      <c r="G28" s="374">
        <v>60</v>
      </c>
      <c r="H28" s="374">
        <v>60</v>
      </c>
      <c r="I28" s="377">
        <v>60</v>
      </c>
    </row>
    <row r="29" spans="1:13" ht="13.5" customHeight="1" x14ac:dyDescent="0.25">
      <c r="A29" s="375" t="s">
        <v>541</v>
      </c>
      <c r="B29" s="376" t="s">
        <v>361</v>
      </c>
      <c r="C29" s="377" t="s">
        <v>362</v>
      </c>
      <c r="D29" s="366" t="s">
        <v>332</v>
      </c>
      <c r="E29" s="374">
        <v>2900</v>
      </c>
      <c r="F29" s="374">
        <v>2900</v>
      </c>
      <c r="G29" s="374">
        <v>2900</v>
      </c>
      <c r="H29" s="374">
        <v>2000</v>
      </c>
      <c r="I29" s="377">
        <v>2000</v>
      </c>
    </row>
    <row r="30" spans="1:13" ht="18" customHeight="1" x14ac:dyDescent="0.25">
      <c r="A30" s="375" t="s">
        <v>542</v>
      </c>
      <c r="B30" s="379" t="s">
        <v>363</v>
      </c>
      <c r="C30" s="380" t="s">
        <v>364</v>
      </c>
      <c r="D30" s="381" t="s">
        <v>332</v>
      </c>
      <c r="E30" s="382">
        <v>383</v>
      </c>
      <c r="F30" s="382">
        <v>383</v>
      </c>
      <c r="G30" s="382">
        <v>383</v>
      </c>
      <c r="H30" s="382">
        <v>250</v>
      </c>
      <c r="I30" s="377">
        <v>250</v>
      </c>
    </row>
    <row r="31" spans="1:13" ht="18" customHeight="1" x14ac:dyDescent="0.25">
      <c r="A31" s="375" t="s">
        <v>543</v>
      </c>
      <c r="B31" s="379"/>
      <c r="C31" s="380" t="s">
        <v>108</v>
      </c>
      <c r="D31" s="381"/>
      <c r="E31" s="382"/>
      <c r="F31" s="382"/>
      <c r="G31" s="382"/>
      <c r="H31" s="382">
        <v>2980</v>
      </c>
      <c r="I31" s="377">
        <v>2980</v>
      </c>
    </row>
    <row r="32" spans="1:13" ht="18" customHeight="1" x14ac:dyDescent="0.25">
      <c r="A32" s="375" t="s">
        <v>544</v>
      </c>
      <c r="B32" s="379" t="s">
        <v>109</v>
      </c>
      <c r="C32" s="380" t="s">
        <v>110</v>
      </c>
      <c r="D32" s="381" t="s">
        <v>332</v>
      </c>
      <c r="E32" s="382"/>
      <c r="F32" s="382"/>
      <c r="G32" s="382">
        <v>248</v>
      </c>
      <c r="H32" s="382">
        <v>248</v>
      </c>
      <c r="I32" s="377">
        <v>248</v>
      </c>
    </row>
    <row r="33" spans="1:13" ht="15.75" x14ac:dyDescent="0.25">
      <c r="A33" s="375" t="s">
        <v>545</v>
      </c>
      <c r="B33" s="377" t="s">
        <v>365</v>
      </c>
      <c r="C33" s="377" t="s">
        <v>366</v>
      </c>
      <c r="D33" s="366" t="s">
        <v>367</v>
      </c>
      <c r="E33" s="377">
        <v>1936</v>
      </c>
      <c r="F33" s="377">
        <v>1718</v>
      </c>
      <c r="G33" s="377">
        <v>1718</v>
      </c>
      <c r="H33" s="377">
        <v>1650</v>
      </c>
      <c r="I33" s="377">
        <v>1650</v>
      </c>
    </row>
    <row r="34" spans="1:13" ht="17.25" customHeight="1" x14ac:dyDescent="0.25">
      <c r="A34" s="375" t="s">
        <v>563</v>
      </c>
      <c r="B34" s="376" t="s">
        <v>368</v>
      </c>
      <c r="C34" s="377" t="s">
        <v>369</v>
      </c>
      <c r="D34" s="366" t="s">
        <v>332</v>
      </c>
      <c r="E34" s="374">
        <v>2500</v>
      </c>
      <c r="F34" s="374">
        <v>2500</v>
      </c>
      <c r="G34" s="374">
        <v>2500</v>
      </c>
      <c r="H34" s="374">
        <v>2500</v>
      </c>
      <c r="I34" s="377">
        <v>2500</v>
      </c>
    </row>
    <row r="35" spans="1:13" ht="20.25" customHeight="1" x14ac:dyDescent="0.25">
      <c r="A35" s="375" t="s">
        <v>564</v>
      </c>
      <c r="B35" s="376" t="s">
        <v>370</v>
      </c>
      <c r="C35" s="377" t="s">
        <v>371</v>
      </c>
      <c r="D35" s="378">
        <v>42124</v>
      </c>
      <c r="E35" s="374">
        <v>1250</v>
      </c>
      <c r="F35" s="374">
        <v>1250</v>
      </c>
      <c r="G35" s="390">
        <v>1250</v>
      </c>
      <c r="H35" s="390">
        <v>312</v>
      </c>
    </row>
    <row r="36" spans="1:13" ht="13.5" customHeight="1" x14ac:dyDescent="0.25">
      <c r="A36" s="375" t="s">
        <v>565</v>
      </c>
      <c r="B36" s="376"/>
      <c r="C36" s="377" t="s">
        <v>372</v>
      </c>
      <c r="D36" s="366" t="s">
        <v>332</v>
      </c>
      <c r="E36" s="374">
        <v>200</v>
      </c>
      <c r="F36" s="374">
        <v>200</v>
      </c>
      <c r="G36" s="374">
        <v>258</v>
      </c>
      <c r="H36" s="374">
        <v>258</v>
      </c>
      <c r="I36" s="377">
        <v>258</v>
      </c>
    </row>
    <row r="37" spans="1:13" ht="13.5" customHeight="1" x14ac:dyDescent="0.25">
      <c r="A37" s="375" t="s">
        <v>566</v>
      </c>
      <c r="B37" s="376" t="s">
        <v>373</v>
      </c>
      <c r="C37" s="377" t="s">
        <v>374</v>
      </c>
      <c r="D37" s="366" t="s">
        <v>332</v>
      </c>
      <c r="E37" s="374">
        <v>994</v>
      </c>
      <c r="F37" s="374">
        <v>994</v>
      </c>
      <c r="G37" s="374">
        <v>994</v>
      </c>
      <c r="H37" s="374">
        <v>994</v>
      </c>
      <c r="I37" s="377">
        <v>971</v>
      </c>
    </row>
    <row r="38" spans="1:13" ht="13.5" customHeight="1" x14ac:dyDescent="0.25">
      <c r="A38" s="375" t="s">
        <v>567</v>
      </c>
      <c r="B38" s="376" t="s">
        <v>111</v>
      </c>
      <c r="C38" s="377" t="s">
        <v>112</v>
      </c>
      <c r="D38" s="366" t="s">
        <v>332</v>
      </c>
      <c r="E38" s="374">
        <v>750</v>
      </c>
      <c r="F38" s="374">
        <v>750</v>
      </c>
      <c r="G38" s="374">
        <v>762</v>
      </c>
      <c r="H38" s="374">
        <v>762</v>
      </c>
      <c r="I38" s="377">
        <v>762</v>
      </c>
    </row>
    <row r="39" spans="1:13" ht="15.75" x14ac:dyDescent="0.25">
      <c r="A39" s="375" t="s">
        <v>568</v>
      </c>
      <c r="B39" s="376" t="s">
        <v>375</v>
      </c>
      <c r="C39" s="377" t="s">
        <v>376</v>
      </c>
      <c r="D39" s="378" t="s">
        <v>332</v>
      </c>
      <c r="E39" s="366">
        <v>330</v>
      </c>
      <c r="F39" s="377">
        <v>330</v>
      </c>
      <c r="G39" s="377">
        <v>330</v>
      </c>
      <c r="H39" s="377">
        <v>330</v>
      </c>
      <c r="I39" s="377">
        <v>330</v>
      </c>
      <c r="K39" s="391"/>
      <c r="M39" s="369"/>
    </row>
    <row r="40" spans="1:13" ht="15.75" x14ac:dyDescent="0.25">
      <c r="A40" s="375" t="s">
        <v>569</v>
      </c>
      <c r="B40" s="376" t="s">
        <v>377</v>
      </c>
      <c r="C40" s="377" t="s">
        <v>378</v>
      </c>
      <c r="D40" s="378" t="s">
        <v>332</v>
      </c>
      <c r="E40" s="366">
        <v>930</v>
      </c>
      <c r="F40" s="377">
        <v>930</v>
      </c>
      <c r="G40" s="377">
        <v>930</v>
      </c>
      <c r="H40" s="377">
        <v>930</v>
      </c>
      <c r="I40" s="377">
        <v>930</v>
      </c>
      <c r="K40" s="391"/>
      <c r="M40" s="369"/>
    </row>
    <row r="41" spans="1:13" ht="15.75" x14ac:dyDescent="0.25">
      <c r="A41" s="375" t="s">
        <v>570</v>
      </c>
      <c r="B41" s="376" t="s">
        <v>113</v>
      </c>
      <c r="C41" s="377" t="s">
        <v>114</v>
      </c>
      <c r="D41" s="378" t="s">
        <v>332</v>
      </c>
      <c r="E41" s="366"/>
      <c r="G41" s="377">
        <v>823</v>
      </c>
      <c r="H41" s="377">
        <v>823</v>
      </c>
      <c r="I41" s="377">
        <v>823</v>
      </c>
      <c r="K41" s="391"/>
      <c r="M41" s="369"/>
    </row>
    <row r="42" spans="1:13" ht="14.1" customHeight="1" x14ac:dyDescent="0.25">
      <c r="A42" s="375" t="s">
        <v>571</v>
      </c>
      <c r="B42" s="377" t="s">
        <v>379</v>
      </c>
      <c r="C42" s="377" t="s">
        <v>380</v>
      </c>
      <c r="D42" s="366" t="s">
        <v>332</v>
      </c>
      <c r="E42" s="377">
        <v>16</v>
      </c>
      <c r="F42" s="377">
        <v>16</v>
      </c>
      <c r="G42" s="377">
        <v>16</v>
      </c>
      <c r="H42" s="377">
        <v>16</v>
      </c>
      <c r="I42" s="377">
        <v>16</v>
      </c>
    </row>
    <row r="43" spans="1:13" s="370" customFormat="1" ht="30" x14ac:dyDescent="0.25">
      <c r="A43" s="375" t="s">
        <v>622</v>
      </c>
      <c r="B43" s="383" t="s">
        <v>381</v>
      </c>
      <c r="C43" s="392" t="s">
        <v>382</v>
      </c>
      <c r="D43" s="385" t="s">
        <v>332</v>
      </c>
      <c r="E43" s="393">
        <v>40</v>
      </c>
      <c r="F43" s="393">
        <v>40</v>
      </c>
      <c r="G43" s="393">
        <v>40</v>
      </c>
      <c r="H43" s="393">
        <v>40</v>
      </c>
      <c r="I43" s="387">
        <v>40</v>
      </c>
      <c r="J43" s="394"/>
      <c r="K43" s="395"/>
      <c r="M43" s="371"/>
    </row>
    <row r="44" spans="1:13" s="370" customFormat="1" ht="18" customHeight="1" x14ac:dyDescent="0.25">
      <c r="A44" s="375" t="s">
        <v>623</v>
      </c>
      <c r="B44" s="383" t="s">
        <v>383</v>
      </c>
      <c r="C44" s="392" t="s">
        <v>384</v>
      </c>
      <c r="D44" s="385" t="s">
        <v>332</v>
      </c>
      <c r="E44" s="393">
        <v>994</v>
      </c>
      <c r="F44" s="393">
        <v>994</v>
      </c>
      <c r="G44" s="393">
        <v>994</v>
      </c>
      <c r="H44" s="387">
        <v>994</v>
      </c>
      <c r="I44" s="387">
        <v>994</v>
      </c>
      <c r="J44" s="394"/>
      <c r="K44" s="395"/>
      <c r="M44" s="371"/>
    </row>
    <row r="45" spans="1:13" s="370" customFormat="1" ht="15.75" x14ac:dyDescent="0.25">
      <c r="A45" s="375" t="s">
        <v>624</v>
      </c>
      <c r="B45" s="383" t="s">
        <v>385</v>
      </c>
      <c r="C45" s="392" t="s">
        <v>386</v>
      </c>
      <c r="D45" s="385" t="s">
        <v>332</v>
      </c>
      <c r="E45" s="393">
        <v>176</v>
      </c>
      <c r="F45" s="393">
        <v>176</v>
      </c>
      <c r="G45" s="393">
        <v>176</v>
      </c>
      <c r="H45" s="387">
        <v>176</v>
      </c>
      <c r="I45" s="387">
        <v>176</v>
      </c>
      <c r="J45" s="394"/>
      <c r="K45" s="395"/>
      <c r="M45" s="371"/>
    </row>
    <row r="46" spans="1:13" ht="13.5" customHeight="1" x14ac:dyDescent="0.25">
      <c r="A46" s="375" t="s">
        <v>625</v>
      </c>
      <c r="B46" s="379" t="s">
        <v>387</v>
      </c>
      <c r="C46" s="380" t="s">
        <v>388</v>
      </c>
      <c r="D46" s="381" t="s">
        <v>332</v>
      </c>
      <c r="E46" s="382">
        <v>199</v>
      </c>
      <c r="F46" s="382">
        <v>199</v>
      </c>
      <c r="G46" s="375">
        <v>199</v>
      </c>
      <c r="H46" s="382">
        <v>199</v>
      </c>
      <c r="I46" s="377">
        <v>199</v>
      </c>
    </row>
    <row r="47" spans="1:13" ht="13.5" customHeight="1" x14ac:dyDescent="0.25">
      <c r="A47" s="375" t="s">
        <v>115</v>
      </c>
      <c r="B47" s="379" t="s">
        <v>389</v>
      </c>
      <c r="C47" s="380" t="s">
        <v>390</v>
      </c>
      <c r="D47" s="381" t="s">
        <v>332</v>
      </c>
      <c r="E47" s="382">
        <v>1863</v>
      </c>
      <c r="F47" s="382">
        <v>1863</v>
      </c>
      <c r="G47" s="382">
        <v>1863</v>
      </c>
      <c r="H47" s="382">
        <v>1863</v>
      </c>
      <c r="I47" s="377">
        <v>1900</v>
      </c>
    </row>
    <row r="48" spans="1:13" ht="13.5" customHeight="1" x14ac:dyDescent="0.25">
      <c r="A48" s="375" t="s">
        <v>650</v>
      </c>
      <c r="B48" s="379" t="s">
        <v>116</v>
      </c>
      <c r="C48" s="380" t="s">
        <v>117</v>
      </c>
      <c r="D48" s="381" t="s">
        <v>332</v>
      </c>
      <c r="E48" s="382"/>
      <c r="F48" s="382"/>
      <c r="G48" s="382">
        <v>29600</v>
      </c>
      <c r="H48" s="382">
        <v>29600</v>
      </c>
      <c r="I48" s="377">
        <v>29600</v>
      </c>
    </row>
    <row r="49" spans="1:13" s="370" customFormat="1" ht="15.75" x14ac:dyDescent="0.25">
      <c r="A49" s="375" t="s">
        <v>651</v>
      </c>
      <c r="B49" s="383" t="s">
        <v>391</v>
      </c>
      <c r="C49" s="384" t="s">
        <v>392</v>
      </c>
      <c r="D49" s="385" t="s">
        <v>332</v>
      </c>
      <c r="E49" s="386">
        <v>3600</v>
      </c>
      <c r="F49" s="386">
        <v>3600</v>
      </c>
      <c r="G49" s="386">
        <v>3600</v>
      </c>
      <c r="H49" s="386">
        <v>6553</v>
      </c>
      <c r="I49" s="387">
        <v>6553</v>
      </c>
      <c r="J49" s="394"/>
      <c r="K49" s="395"/>
      <c r="M49" s="371"/>
    </row>
    <row r="50" spans="1:13" s="370" customFormat="1" ht="15.75" x14ac:dyDescent="0.25">
      <c r="A50" s="375" t="s">
        <v>118</v>
      </c>
      <c r="B50" s="383" t="s">
        <v>393</v>
      </c>
      <c r="C50" s="384" t="s">
        <v>394</v>
      </c>
      <c r="D50" s="385" t="s">
        <v>332</v>
      </c>
      <c r="E50" s="386">
        <v>123</v>
      </c>
      <c r="F50" s="386">
        <v>123</v>
      </c>
      <c r="G50" s="386">
        <v>123</v>
      </c>
      <c r="H50" s="386">
        <v>123</v>
      </c>
      <c r="I50" s="387">
        <v>123</v>
      </c>
      <c r="J50" s="394"/>
      <c r="K50" s="395"/>
      <c r="M50" s="371"/>
    </row>
    <row r="51" spans="1:13" ht="14.1" customHeight="1" x14ac:dyDescent="0.25">
      <c r="A51" s="375" t="s">
        <v>119</v>
      </c>
      <c r="B51" s="377" t="s">
        <v>395</v>
      </c>
      <c r="C51" s="377" t="s">
        <v>396</v>
      </c>
      <c r="D51" s="366" t="s">
        <v>332</v>
      </c>
      <c r="E51" s="377">
        <v>225</v>
      </c>
      <c r="F51" s="377">
        <v>225</v>
      </c>
      <c r="G51" s="377">
        <v>225</v>
      </c>
      <c r="H51" s="377">
        <v>241</v>
      </c>
      <c r="I51" s="377">
        <v>241</v>
      </c>
    </row>
    <row r="52" spans="1:13" ht="14.1" customHeight="1" x14ac:dyDescent="0.25">
      <c r="A52" s="375" t="s">
        <v>120</v>
      </c>
      <c r="B52" s="377" t="s">
        <v>121</v>
      </c>
      <c r="C52" s="377" t="s">
        <v>122</v>
      </c>
      <c r="D52" s="366" t="s">
        <v>429</v>
      </c>
      <c r="G52" s="377">
        <v>600</v>
      </c>
      <c r="H52" s="377">
        <v>1200</v>
      </c>
      <c r="I52" s="377">
        <v>1200</v>
      </c>
    </row>
    <row r="53" spans="1:13" ht="14.1" customHeight="1" x14ac:dyDescent="0.25">
      <c r="A53" s="375" t="s">
        <v>123</v>
      </c>
      <c r="B53" s="377" t="s">
        <v>124</v>
      </c>
      <c r="C53" s="377" t="s">
        <v>125</v>
      </c>
      <c r="D53" s="366" t="s">
        <v>332</v>
      </c>
      <c r="H53" s="377">
        <v>243</v>
      </c>
      <c r="I53" s="377">
        <v>243</v>
      </c>
    </row>
    <row r="54" spans="1:13" ht="14.1" customHeight="1" x14ac:dyDescent="0.25">
      <c r="A54" s="375" t="s">
        <v>126</v>
      </c>
      <c r="B54" s="377" t="s">
        <v>397</v>
      </c>
      <c r="C54" s="377" t="s">
        <v>398</v>
      </c>
      <c r="D54" s="366" t="s">
        <v>332</v>
      </c>
      <c r="E54" s="377">
        <v>26</v>
      </c>
      <c r="F54" s="377">
        <v>26</v>
      </c>
      <c r="G54" s="377">
        <v>26</v>
      </c>
      <c r="H54" s="377">
        <v>26</v>
      </c>
      <c r="I54" s="377">
        <v>26</v>
      </c>
    </row>
    <row r="55" spans="1:13" s="370" customFormat="1" ht="15.75" x14ac:dyDescent="0.25">
      <c r="A55" s="375" t="s">
        <v>127</v>
      </c>
      <c r="B55" s="383" t="s">
        <v>399</v>
      </c>
      <c r="C55" s="384" t="s">
        <v>400</v>
      </c>
      <c r="D55" s="385" t="s">
        <v>332</v>
      </c>
      <c r="E55" s="386">
        <v>5</v>
      </c>
      <c r="F55" s="386">
        <v>5</v>
      </c>
      <c r="G55" s="386">
        <v>5</v>
      </c>
      <c r="H55" s="387">
        <v>5</v>
      </c>
      <c r="I55" s="387">
        <v>5</v>
      </c>
      <c r="J55" s="394"/>
      <c r="K55" s="395"/>
      <c r="M55" s="371"/>
    </row>
    <row r="56" spans="1:13" s="372" customFormat="1" ht="13.5" customHeight="1" x14ac:dyDescent="0.25">
      <c r="A56" s="375" t="s">
        <v>128</v>
      </c>
      <c r="B56" s="383" t="s">
        <v>401</v>
      </c>
      <c r="C56" s="384" t="s">
        <v>402</v>
      </c>
      <c r="D56" s="385" t="s">
        <v>332</v>
      </c>
      <c r="E56" s="386">
        <v>250</v>
      </c>
      <c r="F56" s="386">
        <v>250</v>
      </c>
      <c r="G56" s="386">
        <v>250</v>
      </c>
      <c r="H56" s="386">
        <v>250</v>
      </c>
      <c r="I56" s="387">
        <v>250</v>
      </c>
      <c r="J56" s="388"/>
      <c r="K56" s="389"/>
      <c r="M56" s="373"/>
    </row>
    <row r="57" spans="1:13" s="372" customFormat="1" ht="13.5" customHeight="1" x14ac:dyDescent="0.25">
      <c r="A57" s="375" t="s">
        <v>129</v>
      </c>
      <c r="B57" s="383" t="s">
        <v>130</v>
      </c>
      <c r="C57" s="384" t="s">
        <v>131</v>
      </c>
      <c r="D57" s="385" t="s">
        <v>429</v>
      </c>
      <c r="E57" s="386"/>
      <c r="F57" s="386"/>
      <c r="G57" s="386">
        <v>2439</v>
      </c>
      <c r="H57" s="386">
        <v>3658</v>
      </c>
      <c r="I57" s="387">
        <v>3658</v>
      </c>
      <c r="J57" s="388"/>
      <c r="K57" s="389"/>
      <c r="M57" s="373"/>
    </row>
    <row r="58" spans="1:13" s="372" customFormat="1" ht="13.5" customHeight="1" x14ac:dyDescent="0.25">
      <c r="A58" s="375" t="s">
        <v>132</v>
      </c>
      <c r="B58" s="383" t="s">
        <v>133</v>
      </c>
      <c r="C58" s="384" t="s">
        <v>134</v>
      </c>
      <c r="D58" s="385" t="s">
        <v>429</v>
      </c>
      <c r="E58" s="386"/>
      <c r="F58" s="386"/>
      <c r="G58" s="386">
        <v>2438</v>
      </c>
      <c r="H58" s="386">
        <v>2438</v>
      </c>
      <c r="I58" s="387">
        <v>2438</v>
      </c>
      <c r="J58" s="388"/>
      <c r="K58" s="389"/>
      <c r="M58" s="373"/>
    </row>
    <row r="59" spans="1:13" s="372" customFormat="1" ht="13.5" customHeight="1" x14ac:dyDescent="0.25">
      <c r="A59" s="375" t="s">
        <v>135</v>
      </c>
      <c r="B59" s="383" t="s">
        <v>136</v>
      </c>
      <c r="C59" s="384" t="s">
        <v>137</v>
      </c>
      <c r="D59" s="385" t="s">
        <v>332</v>
      </c>
      <c r="E59" s="386"/>
      <c r="F59" s="386"/>
      <c r="G59" s="386">
        <v>610</v>
      </c>
      <c r="H59" s="386">
        <v>610</v>
      </c>
      <c r="I59" s="387">
        <v>610</v>
      </c>
      <c r="J59" s="388"/>
      <c r="K59" s="389"/>
      <c r="M59" s="373"/>
    </row>
    <row r="60" spans="1:13" s="372" customFormat="1" ht="13.5" customHeight="1" x14ac:dyDescent="0.25">
      <c r="A60" s="375" t="s">
        <v>138</v>
      </c>
      <c r="B60" s="383" t="s">
        <v>403</v>
      </c>
      <c r="C60" s="384" t="s">
        <v>404</v>
      </c>
      <c r="D60" s="385">
        <v>43496</v>
      </c>
      <c r="E60" s="386">
        <v>2865</v>
      </c>
      <c r="F60" s="386">
        <v>2865</v>
      </c>
      <c r="G60" s="386">
        <v>2865</v>
      </c>
      <c r="H60" s="386">
        <v>2865</v>
      </c>
      <c r="I60" s="387">
        <v>2865</v>
      </c>
      <c r="J60" s="388"/>
      <c r="K60" s="389"/>
      <c r="M60" s="373"/>
    </row>
    <row r="61" spans="1:13" s="372" customFormat="1" ht="13.5" customHeight="1" x14ac:dyDescent="0.25">
      <c r="A61" s="375" t="s">
        <v>139</v>
      </c>
      <c r="B61" s="383" t="s">
        <v>140</v>
      </c>
      <c r="C61" s="384" t="s">
        <v>141</v>
      </c>
      <c r="D61" s="385"/>
      <c r="E61" s="386">
        <v>175</v>
      </c>
      <c r="F61" s="386">
        <v>175</v>
      </c>
      <c r="G61" s="386">
        <v>175</v>
      </c>
      <c r="H61" s="386">
        <v>175</v>
      </c>
      <c r="I61" s="387">
        <v>175</v>
      </c>
      <c r="J61" s="388"/>
      <c r="K61" s="389"/>
      <c r="M61" s="373"/>
    </row>
    <row r="62" spans="1:13" s="372" customFormat="1" ht="13.5" customHeight="1" x14ac:dyDescent="0.25">
      <c r="A62" s="375" t="s">
        <v>142</v>
      </c>
      <c r="B62" s="383" t="s">
        <v>405</v>
      </c>
      <c r="C62" s="384" t="s">
        <v>406</v>
      </c>
      <c r="D62" s="385" t="s">
        <v>332</v>
      </c>
      <c r="E62" s="386">
        <v>217</v>
      </c>
      <c r="F62" s="386">
        <v>217</v>
      </c>
      <c r="G62" s="386">
        <v>217</v>
      </c>
      <c r="H62" s="386">
        <v>217</v>
      </c>
      <c r="I62" s="387">
        <v>217</v>
      </c>
      <c r="J62" s="388"/>
      <c r="K62" s="389"/>
      <c r="M62" s="373"/>
    </row>
    <row r="63" spans="1:13" s="372" customFormat="1" ht="13.5" customHeight="1" x14ac:dyDescent="0.25">
      <c r="A63" s="375" t="s">
        <v>143</v>
      </c>
      <c r="B63" s="376" t="s">
        <v>407</v>
      </c>
      <c r="C63" s="396" t="s">
        <v>408</v>
      </c>
      <c r="D63" s="385" t="s">
        <v>332</v>
      </c>
      <c r="E63" s="405">
        <v>15</v>
      </c>
      <c r="F63" s="405">
        <v>15</v>
      </c>
      <c r="G63" s="386">
        <v>15</v>
      </c>
      <c r="H63" s="386">
        <v>15</v>
      </c>
      <c r="I63" s="387">
        <v>15</v>
      </c>
      <c r="J63" s="388"/>
      <c r="K63" s="389"/>
      <c r="M63" s="373"/>
    </row>
    <row r="64" spans="1:13" s="372" customFormat="1" ht="13.5" customHeight="1" x14ac:dyDescent="0.25">
      <c r="A64" s="375" t="s">
        <v>144</v>
      </c>
      <c r="B64" s="376" t="s">
        <v>407</v>
      </c>
      <c r="C64" s="396" t="s">
        <v>409</v>
      </c>
      <c r="D64" s="385" t="s">
        <v>332</v>
      </c>
      <c r="E64" s="405">
        <v>150</v>
      </c>
      <c r="F64" s="405">
        <v>150</v>
      </c>
      <c r="G64" s="386">
        <v>150</v>
      </c>
      <c r="H64" s="386">
        <v>226</v>
      </c>
      <c r="I64" s="387">
        <v>226</v>
      </c>
      <c r="J64" s="388"/>
      <c r="K64" s="389"/>
      <c r="M64" s="373"/>
    </row>
    <row r="65" spans="1:13" s="372" customFormat="1" ht="13.5" customHeight="1" x14ac:dyDescent="0.25">
      <c r="A65" s="375" t="s">
        <v>145</v>
      </c>
      <c r="B65" s="376" t="s">
        <v>410</v>
      </c>
      <c r="C65" s="396" t="s">
        <v>411</v>
      </c>
      <c r="D65" s="385" t="s">
        <v>332</v>
      </c>
      <c r="E65" s="405">
        <v>75</v>
      </c>
      <c r="F65" s="405">
        <v>75</v>
      </c>
      <c r="G65" s="386">
        <v>75</v>
      </c>
      <c r="H65" s="386">
        <v>45</v>
      </c>
      <c r="I65" s="387">
        <v>45</v>
      </c>
      <c r="J65" s="388"/>
      <c r="K65" s="389"/>
      <c r="M65" s="373"/>
    </row>
    <row r="66" spans="1:13" s="372" customFormat="1" ht="13.5" customHeight="1" x14ac:dyDescent="0.25">
      <c r="A66" s="375" t="s">
        <v>146</v>
      </c>
      <c r="B66" s="383"/>
      <c r="C66" s="384" t="s">
        <v>147</v>
      </c>
      <c r="D66" s="385" t="s">
        <v>429</v>
      </c>
      <c r="E66" s="386"/>
      <c r="F66" s="386"/>
      <c r="G66" s="386">
        <v>347</v>
      </c>
      <c r="H66" s="386">
        <v>347</v>
      </c>
      <c r="I66" s="387">
        <v>347</v>
      </c>
      <c r="J66" s="388"/>
      <c r="K66" s="389"/>
      <c r="M66" s="373"/>
    </row>
    <row r="67" spans="1:13" s="372" customFormat="1" ht="13.5" customHeight="1" x14ac:dyDescent="0.25">
      <c r="A67" s="375" t="s">
        <v>148</v>
      </c>
      <c r="B67" s="383" t="s">
        <v>149</v>
      </c>
      <c r="C67" s="384" t="s">
        <v>150</v>
      </c>
      <c r="D67" s="385" t="s">
        <v>429</v>
      </c>
      <c r="E67" s="386"/>
      <c r="F67" s="386"/>
      <c r="G67" s="386">
        <v>54</v>
      </c>
      <c r="H67" s="386">
        <v>216</v>
      </c>
      <c r="I67" s="387">
        <v>216</v>
      </c>
      <c r="J67" s="388"/>
      <c r="K67" s="389"/>
      <c r="M67" s="373"/>
    </row>
    <row r="68" spans="1:13" s="372" customFormat="1" ht="13.5" customHeight="1" x14ac:dyDescent="0.25">
      <c r="A68" s="375" t="s">
        <v>151</v>
      </c>
      <c r="B68" s="383"/>
      <c r="C68" s="384" t="s">
        <v>152</v>
      </c>
      <c r="D68" s="385" t="s">
        <v>429</v>
      </c>
      <c r="E68" s="386"/>
      <c r="F68" s="386"/>
      <c r="G68" s="386">
        <v>380</v>
      </c>
      <c r="H68" s="386">
        <v>380</v>
      </c>
      <c r="I68" s="387">
        <v>380</v>
      </c>
      <c r="J68" s="388"/>
      <c r="K68" s="389"/>
      <c r="M68" s="373"/>
    </row>
    <row r="69" spans="1:13" s="372" customFormat="1" ht="13.5" customHeight="1" x14ac:dyDescent="0.25">
      <c r="A69" s="375" t="s">
        <v>153</v>
      </c>
      <c r="B69" s="383" t="s">
        <v>412</v>
      </c>
      <c r="C69" s="384" t="s">
        <v>413</v>
      </c>
      <c r="D69" s="385" t="s">
        <v>332</v>
      </c>
      <c r="E69" s="386">
        <v>1800</v>
      </c>
      <c r="F69" s="386">
        <v>1800</v>
      </c>
      <c r="G69" s="386">
        <v>1800</v>
      </c>
      <c r="H69" s="386">
        <v>1500</v>
      </c>
      <c r="I69" s="387">
        <v>1500</v>
      </c>
      <c r="J69" s="388"/>
      <c r="K69" s="389"/>
      <c r="M69" s="373"/>
    </row>
    <row r="70" spans="1:13" s="372" customFormat="1" ht="13.5" customHeight="1" x14ac:dyDescent="0.25">
      <c r="A70" s="375" t="s">
        <v>154</v>
      </c>
      <c r="B70" s="383" t="s">
        <v>414</v>
      </c>
      <c r="C70" s="384" t="s">
        <v>415</v>
      </c>
      <c r="D70" s="385" t="s">
        <v>332</v>
      </c>
      <c r="E70" s="386">
        <v>1875</v>
      </c>
      <c r="F70" s="386">
        <v>2000</v>
      </c>
      <c r="G70" s="386">
        <v>2000</v>
      </c>
      <c r="H70" s="386">
        <v>1700</v>
      </c>
      <c r="I70" s="387">
        <v>1700</v>
      </c>
      <c r="J70" s="388"/>
      <c r="K70" s="389"/>
      <c r="M70" s="373"/>
    </row>
    <row r="71" spans="1:13" ht="13.5" customHeight="1" x14ac:dyDescent="0.25">
      <c r="A71" s="375" t="s">
        <v>155</v>
      </c>
      <c r="B71" s="2120" t="s">
        <v>416</v>
      </c>
      <c r="C71" s="2120"/>
      <c r="E71" s="415">
        <f>SUM(E12:E70)</f>
        <v>127862</v>
      </c>
      <c r="F71" s="415">
        <f>SUM(F12:F70)</f>
        <v>115727</v>
      </c>
      <c r="G71" s="415">
        <f>SUM(G12:G70)</f>
        <v>108085</v>
      </c>
      <c r="H71" s="415">
        <f>SUM(H12:H70)</f>
        <v>165363</v>
      </c>
      <c r="I71" s="415">
        <f>SUM(I12:I70)</f>
        <v>164803</v>
      </c>
    </row>
    <row r="72" spans="1:13" ht="9.75" customHeight="1" x14ac:dyDescent="0.25">
      <c r="A72" s="375"/>
      <c r="B72" s="363"/>
      <c r="C72" s="376"/>
      <c r="E72" s="374"/>
      <c r="F72" s="374"/>
      <c r="G72" s="374"/>
      <c r="H72" s="374"/>
    </row>
    <row r="73" spans="1:13" ht="6.75" customHeight="1" x14ac:dyDescent="0.25">
      <c r="E73" s="374"/>
      <c r="F73" s="374"/>
      <c r="G73" s="374"/>
      <c r="H73" s="374"/>
    </row>
    <row r="74" spans="1:13" ht="13.5" customHeight="1" x14ac:dyDescent="0.25">
      <c r="E74" s="374"/>
      <c r="F74" s="374"/>
      <c r="G74" s="374"/>
      <c r="H74" s="374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D30"/>
  <sheetViews>
    <sheetView workbookViewId="0">
      <selection activeCell="B2" sqref="B2:D2"/>
    </sheetView>
  </sheetViews>
  <sheetFormatPr defaultColWidth="9.140625" defaultRowHeight="20.100000000000001" customHeight="1" x14ac:dyDescent="0.25"/>
  <cols>
    <col min="1" max="1" width="5.5703125" style="353" customWidth="1"/>
    <col min="2" max="2" width="71.7109375" style="353" customWidth="1"/>
    <col min="3" max="3" width="13.5703125" style="353" customWidth="1"/>
    <col min="4" max="4" width="12.28515625" style="342" customWidth="1"/>
    <col min="5" max="16384" width="9.140625" style="343"/>
  </cols>
  <sheetData>
    <row r="2" spans="1:4" ht="16.5" customHeight="1" x14ac:dyDescent="0.25">
      <c r="A2" s="343"/>
      <c r="B2" s="2129" t="s">
        <v>2083</v>
      </c>
      <c r="C2" s="2129"/>
      <c r="D2" s="2129"/>
    </row>
    <row r="3" spans="1:4" ht="20.100000000000001" customHeight="1" x14ac:dyDescent="0.25">
      <c r="A3" s="343"/>
      <c r="B3" s="429"/>
      <c r="C3" s="429"/>
    </row>
    <row r="4" spans="1:4" ht="20.100000000000001" customHeight="1" x14ac:dyDescent="0.25">
      <c r="A4" s="343"/>
      <c r="B4" s="2128" t="s">
        <v>77</v>
      </c>
      <c r="C4" s="2128"/>
      <c r="D4" s="2128"/>
    </row>
    <row r="5" spans="1:4" ht="20.100000000000001" customHeight="1" x14ac:dyDescent="0.25">
      <c r="A5" s="343"/>
      <c r="B5" s="2128" t="s">
        <v>1362</v>
      </c>
      <c r="C5" s="2128"/>
      <c r="D5" s="2128"/>
    </row>
    <row r="6" spans="1:4" ht="20.100000000000001" customHeight="1" x14ac:dyDescent="0.25">
      <c r="A6" s="343"/>
      <c r="B6" s="2128" t="s">
        <v>1225</v>
      </c>
      <c r="C6" s="2128"/>
      <c r="D6" s="2128"/>
    </row>
    <row r="7" spans="1:4" s="345" customFormat="1" ht="20.100000000000001" customHeight="1" x14ac:dyDescent="0.25">
      <c r="B7" s="2128"/>
      <c r="C7" s="2128"/>
      <c r="D7" s="344"/>
    </row>
    <row r="8" spans="1:4" s="345" customFormat="1" ht="20.100000000000001" customHeight="1" x14ac:dyDescent="0.25">
      <c r="B8" s="1405"/>
      <c r="C8" s="1405"/>
      <c r="D8" s="344"/>
    </row>
    <row r="9" spans="1:4" s="346" customFormat="1" ht="20.100000000000001" customHeight="1" thickBot="1" x14ac:dyDescent="0.3">
      <c r="B9" s="2132" t="s">
        <v>314</v>
      </c>
      <c r="C9" s="2132"/>
      <c r="D9" s="2132"/>
    </row>
    <row r="10" spans="1:4" ht="20.100000000000001" customHeight="1" thickBot="1" x14ac:dyDescent="0.3">
      <c r="A10" s="2130"/>
      <c r="B10" s="1423" t="s">
        <v>57</v>
      </c>
      <c r="C10" s="2131" t="s">
        <v>58</v>
      </c>
      <c r="D10" s="2131"/>
    </row>
    <row r="11" spans="1:4" s="346" customFormat="1" ht="30.75" customHeight="1" thickBot="1" x14ac:dyDescent="0.3">
      <c r="A11" s="2130"/>
      <c r="B11" s="1424" t="s">
        <v>85</v>
      </c>
      <c r="C11" s="1425" t="s">
        <v>1164</v>
      </c>
      <c r="D11" s="1426" t="s">
        <v>1367</v>
      </c>
    </row>
    <row r="12" spans="1:4" ht="22.5" customHeight="1" x14ac:dyDescent="0.25">
      <c r="A12" s="430"/>
      <c r="B12" s="345" t="s">
        <v>1226</v>
      </c>
      <c r="C12" s="343"/>
    </row>
    <row r="13" spans="1:4" ht="69" customHeight="1" x14ac:dyDescent="0.25">
      <c r="A13" s="431" t="s">
        <v>478</v>
      </c>
      <c r="B13" s="1088" t="s">
        <v>1399</v>
      </c>
      <c r="C13" s="686">
        <v>178673</v>
      </c>
      <c r="D13" s="1506">
        <v>180168</v>
      </c>
    </row>
    <row r="14" spans="1:4" ht="20.100000000000001" customHeight="1" x14ac:dyDescent="0.25">
      <c r="A14" s="430"/>
      <c r="B14" s="343"/>
      <c r="C14" s="687"/>
      <c r="D14" s="1507"/>
    </row>
    <row r="15" spans="1:4" ht="35.25" customHeight="1" x14ac:dyDescent="0.25">
      <c r="A15" s="431" t="s">
        <v>486</v>
      </c>
      <c r="B15" s="432" t="s">
        <v>1255</v>
      </c>
      <c r="C15" s="686">
        <v>328</v>
      </c>
      <c r="D15" s="1508">
        <v>926</v>
      </c>
    </row>
    <row r="16" spans="1:4" ht="29.25" customHeight="1" x14ac:dyDescent="0.25">
      <c r="A16" s="430"/>
      <c r="B16" s="432" t="s">
        <v>1256</v>
      </c>
      <c r="C16" s="688">
        <v>1072</v>
      </c>
      <c r="D16" s="1508">
        <v>1019</v>
      </c>
    </row>
    <row r="17" spans="1:4" ht="19.5" customHeight="1" x14ac:dyDescent="0.25">
      <c r="A17" s="430"/>
      <c r="B17" s="432"/>
      <c r="C17" s="687"/>
      <c r="D17" s="1507"/>
    </row>
    <row r="18" spans="1:4" ht="36" customHeight="1" x14ac:dyDescent="0.25">
      <c r="A18" s="431" t="s">
        <v>487</v>
      </c>
      <c r="B18" s="432" t="s">
        <v>1232</v>
      </c>
      <c r="C18" s="688">
        <v>0</v>
      </c>
      <c r="D18" s="688">
        <v>19332</v>
      </c>
    </row>
    <row r="19" spans="1:4" ht="20.100000000000001" customHeight="1" x14ac:dyDescent="0.25">
      <c r="A19" s="430"/>
      <c r="B19" s="433"/>
      <c r="C19" s="687"/>
      <c r="D19" s="1507"/>
    </row>
    <row r="20" spans="1:4" s="345" customFormat="1" ht="20.100000000000001" customHeight="1" x14ac:dyDescent="0.25">
      <c r="A20" s="430" t="s">
        <v>488</v>
      </c>
      <c r="B20" s="345" t="s">
        <v>1230</v>
      </c>
      <c r="C20" s="689">
        <f>SUM(C13:C19)</f>
        <v>180073</v>
      </c>
      <c r="D20" s="689">
        <f>SUM(D13:D19)</f>
        <v>201445</v>
      </c>
    </row>
    <row r="21" spans="1:4" ht="20.100000000000001" customHeight="1" x14ac:dyDescent="0.25">
      <c r="A21" s="343"/>
      <c r="B21" s="343"/>
      <c r="C21" s="687"/>
      <c r="D21" s="1507"/>
    </row>
    <row r="22" spans="1:4" ht="20.100000000000001" customHeight="1" x14ac:dyDescent="0.25">
      <c r="C22" s="354"/>
      <c r="D22" s="1507"/>
    </row>
    <row r="23" spans="1:4" ht="20.100000000000001" customHeight="1" x14ac:dyDescent="0.25">
      <c r="B23" s="345" t="s">
        <v>1224</v>
      </c>
      <c r="C23" s="687"/>
      <c r="D23" s="1507"/>
    </row>
    <row r="24" spans="1:4" ht="20.100000000000001" customHeight="1" x14ac:dyDescent="0.25">
      <c r="B24" s="343" t="s">
        <v>1228</v>
      </c>
      <c r="C24" s="687">
        <v>1031</v>
      </c>
      <c r="D24" s="1507">
        <v>1668</v>
      </c>
    </row>
    <row r="25" spans="1:4" ht="20.100000000000001" customHeight="1" x14ac:dyDescent="0.25">
      <c r="B25" s="343"/>
      <c r="C25" s="687"/>
      <c r="D25" s="1507"/>
    </row>
    <row r="26" spans="1:4" ht="33" customHeight="1" x14ac:dyDescent="0.25">
      <c r="B26" s="432" t="s">
        <v>1227</v>
      </c>
      <c r="C26" s="343">
        <v>1707</v>
      </c>
      <c r="D26" s="1507">
        <v>1711</v>
      </c>
    </row>
    <row r="27" spans="1:4" ht="33" customHeight="1" x14ac:dyDescent="0.25">
      <c r="B27" s="432"/>
      <c r="C27" s="343"/>
      <c r="D27" s="1507"/>
    </row>
    <row r="28" spans="1:4" ht="20.100000000000001" customHeight="1" x14ac:dyDescent="0.25">
      <c r="B28" s="345" t="s">
        <v>1229</v>
      </c>
      <c r="C28" s="689">
        <f>SUM(C24:C26)</f>
        <v>2738</v>
      </c>
      <c r="D28" s="689">
        <f>SUM(D24:D26)</f>
        <v>3379</v>
      </c>
    </row>
    <row r="29" spans="1:4" ht="20.100000000000001" customHeight="1" x14ac:dyDescent="0.25">
      <c r="B29" s="343"/>
      <c r="C29" s="343"/>
      <c r="D29" s="1507"/>
    </row>
    <row r="30" spans="1:4" ht="20.100000000000001" customHeight="1" x14ac:dyDescent="0.25">
      <c r="B30" s="345" t="s">
        <v>1231</v>
      </c>
      <c r="C30" s="689">
        <f>C20+C28</f>
        <v>182811</v>
      </c>
      <c r="D30" s="689">
        <f>D20+D28</f>
        <v>204824</v>
      </c>
    </row>
  </sheetData>
  <mergeCells count="8">
    <mergeCell ref="B5:D5"/>
    <mergeCell ref="B4:D4"/>
    <mergeCell ref="B2:D2"/>
    <mergeCell ref="A10:A11"/>
    <mergeCell ref="B7:C7"/>
    <mergeCell ref="C10:D10"/>
    <mergeCell ref="B9:D9"/>
    <mergeCell ref="B6:D6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W29"/>
  <sheetViews>
    <sheetView workbookViewId="0">
      <selection activeCell="C1" sqref="C1:E1"/>
    </sheetView>
  </sheetViews>
  <sheetFormatPr defaultRowHeight="12.75" x14ac:dyDescent="0.2"/>
  <cols>
    <col min="1" max="1" width="2.140625" style="300" customWidth="1"/>
    <col min="2" max="2" width="3.85546875" style="300" bestFit="1" customWidth="1"/>
    <col min="3" max="3" width="51.42578125" style="300" customWidth="1"/>
    <col min="4" max="4" width="29.7109375" style="300" customWidth="1"/>
    <col min="5" max="5" width="9.7109375" style="300" customWidth="1"/>
    <col min="6" max="257" width="9.140625" style="300"/>
    <col min="258" max="258" width="3.85546875" style="300" bestFit="1" customWidth="1"/>
    <col min="259" max="259" width="51.42578125" style="300" customWidth="1"/>
    <col min="260" max="260" width="29.7109375" style="300" customWidth="1"/>
    <col min="261" max="261" width="9.7109375" style="300" customWidth="1"/>
    <col min="262" max="513" width="9.140625" style="300"/>
    <col min="514" max="514" width="3.85546875" style="300" bestFit="1" customWidth="1"/>
    <col min="515" max="515" width="51.42578125" style="300" customWidth="1"/>
    <col min="516" max="516" width="29.7109375" style="300" customWidth="1"/>
    <col min="517" max="517" width="9.7109375" style="300" customWidth="1"/>
    <col min="518" max="769" width="9.140625" style="300"/>
    <col min="770" max="770" width="3.85546875" style="300" bestFit="1" customWidth="1"/>
    <col min="771" max="771" width="51.42578125" style="300" customWidth="1"/>
    <col min="772" max="772" width="29.7109375" style="300" customWidth="1"/>
    <col min="773" max="773" width="9.7109375" style="300" customWidth="1"/>
    <col min="774" max="1025" width="9.140625" style="300"/>
    <col min="1026" max="1026" width="3.85546875" style="300" bestFit="1" customWidth="1"/>
    <col min="1027" max="1027" width="51.42578125" style="300" customWidth="1"/>
    <col min="1028" max="1028" width="29.7109375" style="300" customWidth="1"/>
    <col min="1029" max="1029" width="9.7109375" style="300" customWidth="1"/>
    <col min="1030" max="1281" width="9.140625" style="300"/>
    <col min="1282" max="1282" width="3.85546875" style="300" bestFit="1" customWidth="1"/>
    <col min="1283" max="1283" width="51.42578125" style="300" customWidth="1"/>
    <col min="1284" max="1284" width="29.7109375" style="300" customWidth="1"/>
    <col min="1285" max="1285" width="9.7109375" style="300" customWidth="1"/>
    <col min="1286" max="1537" width="9.140625" style="300"/>
    <col min="1538" max="1538" width="3.85546875" style="300" bestFit="1" customWidth="1"/>
    <col min="1539" max="1539" width="51.42578125" style="300" customWidth="1"/>
    <col min="1540" max="1540" width="29.7109375" style="300" customWidth="1"/>
    <col min="1541" max="1541" width="9.7109375" style="300" customWidth="1"/>
    <col min="1542" max="1793" width="9.140625" style="300"/>
    <col min="1794" max="1794" width="3.85546875" style="300" bestFit="1" customWidth="1"/>
    <col min="1795" max="1795" width="51.42578125" style="300" customWidth="1"/>
    <col min="1796" max="1796" width="29.7109375" style="300" customWidth="1"/>
    <col min="1797" max="1797" width="9.7109375" style="300" customWidth="1"/>
    <col min="1798" max="2049" width="9.140625" style="300"/>
    <col min="2050" max="2050" width="3.85546875" style="300" bestFit="1" customWidth="1"/>
    <col min="2051" max="2051" width="51.42578125" style="300" customWidth="1"/>
    <col min="2052" max="2052" width="29.7109375" style="300" customWidth="1"/>
    <col min="2053" max="2053" width="9.7109375" style="300" customWidth="1"/>
    <col min="2054" max="2305" width="9.140625" style="300"/>
    <col min="2306" max="2306" width="3.85546875" style="300" bestFit="1" customWidth="1"/>
    <col min="2307" max="2307" width="51.42578125" style="300" customWidth="1"/>
    <col min="2308" max="2308" width="29.7109375" style="300" customWidth="1"/>
    <col min="2309" max="2309" width="9.7109375" style="300" customWidth="1"/>
    <col min="2310" max="2561" width="9.140625" style="300"/>
    <col min="2562" max="2562" width="3.85546875" style="300" bestFit="1" customWidth="1"/>
    <col min="2563" max="2563" width="51.42578125" style="300" customWidth="1"/>
    <col min="2564" max="2564" width="29.7109375" style="300" customWidth="1"/>
    <col min="2565" max="2565" width="9.7109375" style="300" customWidth="1"/>
    <col min="2566" max="2817" width="9.140625" style="300"/>
    <col min="2818" max="2818" width="3.85546875" style="300" bestFit="1" customWidth="1"/>
    <col min="2819" max="2819" width="51.42578125" style="300" customWidth="1"/>
    <col min="2820" max="2820" width="29.7109375" style="300" customWidth="1"/>
    <col min="2821" max="2821" width="9.7109375" style="300" customWidth="1"/>
    <col min="2822" max="3073" width="9.140625" style="300"/>
    <col min="3074" max="3074" width="3.85546875" style="300" bestFit="1" customWidth="1"/>
    <col min="3075" max="3075" width="51.42578125" style="300" customWidth="1"/>
    <col min="3076" max="3076" width="29.7109375" style="300" customWidth="1"/>
    <col min="3077" max="3077" width="9.7109375" style="300" customWidth="1"/>
    <col min="3078" max="3329" width="9.140625" style="300"/>
    <col min="3330" max="3330" width="3.85546875" style="300" bestFit="1" customWidth="1"/>
    <col min="3331" max="3331" width="51.42578125" style="300" customWidth="1"/>
    <col min="3332" max="3332" width="29.7109375" style="300" customWidth="1"/>
    <col min="3333" max="3333" width="9.7109375" style="300" customWidth="1"/>
    <col min="3334" max="3585" width="9.140625" style="300"/>
    <col min="3586" max="3586" width="3.85546875" style="300" bestFit="1" customWidth="1"/>
    <col min="3587" max="3587" width="51.42578125" style="300" customWidth="1"/>
    <col min="3588" max="3588" width="29.7109375" style="300" customWidth="1"/>
    <col min="3589" max="3589" width="9.7109375" style="300" customWidth="1"/>
    <col min="3590" max="3841" width="9.140625" style="300"/>
    <col min="3842" max="3842" width="3.85546875" style="300" bestFit="1" customWidth="1"/>
    <col min="3843" max="3843" width="51.42578125" style="300" customWidth="1"/>
    <col min="3844" max="3844" width="29.7109375" style="300" customWidth="1"/>
    <col min="3845" max="3845" width="9.7109375" style="300" customWidth="1"/>
    <col min="3846" max="4097" width="9.140625" style="300"/>
    <col min="4098" max="4098" width="3.85546875" style="300" bestFit="1" customWidth="1"/>
    <col min="4099" max="4099" width="51.42578125" style="300" customWidth="1"/>
    <col min="4100" max="4100" width="29.7109375" style="300" customWidth="1"/>
    <col min="4101" max="4101" width="9.7109375" style="300" customWidth="1"/>
    <col min="4102" max="4353" width="9.140625" style="300"/>
    <col min="4354" max="4354" width="3.85546875" style="300" bestFit="1" customWidth="1"/>
    <col min="4355" max="4355" width="51.42578125" style="300" customWidth="1"/>
    <col min="4356" max="4356" width="29.7109375" style="300" customWidth="1"/>
    <col min="4357" max="4357" width="9.7109375" style="300" customWidth="1"/>
    <col min="4358" max="4609" width="9.140625" style="300"/>
    <col min="4610" max="4610" width="3.85546875" style="300" bestFit="1" customWidth="1"/>
    <col min="4611" max="4611" width="51.42578125" style="300" customWidth="1"/>
    <col min="4612" max="4612" width="29.7109375" style="300" customWidth="1"/>
    <col min="4613" max="4613" width="9.7109375" style="300" customWidth="1"/>
    <col min="4614" max="4865" width="9.140625" style="300"/>
    <col min="4866" max="4866" width="3.85546875" style="300" bestFit="1" customWidth="1"/>
    <col min="4867" max="4867" width="51.42578125" style="300" customWidth="1"/>
    <col min="4868" max="4868" width="29.7109375" style="300" customWidth="1"/>
    <col min="4869" max="4869" width="9.7109375" style="300" customWidth="1"/>
    <col min="4870" max="5121" width="9.140625" style="300"/>
    <col min="5122" max="5122" width="3.85546875" style="300" bestFit="1" customWidth="1"/>
    <col min="5123" max="5123" width="51.42578125" style="300" customWidth="1"/>
    <col min="5124" max="5124" width="29.7109375" style="300" customWidth="1"/>
    <col min="5125" max="5125" width="9.7109375" style="300" customWidth="1"/>
    <col min="5126" max="5377" width="9.140625" style="300"/>
    <col min="5378" max="5378" width="3.85546875" style="300" bestFit="1" customWidth="1"/>
    <col min="5379" max="5379" width="51.42578125" style="300" customWidth="1"/>
    <col min="5380" max="5380" width="29.7109375" style="300" customWidth="1"/>
    <col min="5381" max="5381" width="9.7109375" style="300" customWidth="1"/>
    <col min="5382" max="5633" width="9.140625" style="300"/>
    <col min="5634" max="5634" width="3.85546875" style="300" bestFit="1" customWidth="1"/>
    <col min="5635" max="5635" width="51.42578125" style="300" customWidth="1"/>
    <col min="5636" max="5636" width="29.7109375" style="300" customWidth="1"/>
    <col min="5637" max="5637" width="9.7109375" style="300" customWidth="1"/>
    <col min="5638" max="5889" width="9.140625" style="300"/>
    <col min="5890" max="5890" width="3.85546875" style="300" bestFit="1" customWidth="1"/>
    <col min="5891" max="5891" width="51.42578125" style="300" customWidth="1"/>
    <col min="5892" max="5892" width="29.7109375" style="300" customWidth="1"/>
    <col min="5893" max="5893" width="9.7109375" style="300" customWidth="1"/>
    <col min="5894" max="6145" width="9.140625" style="300"/>
    <col min="6146" max="6146" width="3.85546875" style="300" bestFit="1" customWidth="1"/>
    <col min="6147" max="6147" width="51.42578125" style="300" customWidth="1"/>
    <col min="6148" max="6148" width="29.7109375" style="300" customWidth="1"/>
    <col min="6149" max="6149" width="9.7109375" style="300" customWidth="1"/>
    <col min="6150" max="6401" width="9.140625" style="300"/>
    <col min="6402" max="6402" width="3.85546875" style="300" bestFit="1" customWidth="1"/>
    <col min="6403" max="6403" width="51.42578125" style="300" customWidth="1"/>
    <col min="6404" max="6404" width="29.7109375" style="300" customWidth="1"/>
    <col min="6405" max="6405" width="9.7109375" style="300" customWidth="1"/>
    <col min="6406" max="6657" width="9.140625" style="300"/>
    <col min="6658" max="6658" width="3.85546875" style="300" bestFit="1" customWidth="1"/>
    <col min="6659" max="6659" width="51.42578125" style="300" customWidth="1"/>
    <col min="6660" max="6660" width="29.7109375" style="300" customWidth="1"/>
    <col min="6661" max="6661" width="9.7109375" style="300" customWidth="1"/>
    <col min="6662" max="6913" width="9.140625" style="300"/>
    <col min="6914" max="6914" width="3.85546875" style="300" bestFit="1" customWidth="1"/>
    <col min="6915" max="6915" width="51.42578125" style="300" customWidth="1"/>
    <col min="6916" max="6916" width="29.7109375" style="300" customWidth="1"/>
    <col min="6917" max="6917" width="9.7109375" style="300" customWidth="1"/>
    <col min="6918" max="7169" width="9.140625" style="300"/>
    <col min="7170" max="7170" width="3.85546875" style="300" bestFit="1" customWidth="1"/>
    <col min="7171" max="7171" width="51.42578125" style="300" customWidth="1"/>
    <col min="7172" max="7172" width="29.7109375" style="300" customWidth="1"/>
    <col min="7173" max="7173" width="9.7109375" style="300" customWidth="1"/>
    <col min="7174" max="7425" width="9.140625" style="300"/>
    <col min="7426" max="7426" width="3.85546875" style="300" bestFit="1" customWidth="1"/>
    <col min="7427" max="7427" width="51.42578125" style="300" customWidth="1"/>
    <col min="7428" max="7428" width="29.7109375" style="300" customWidth="1"/>
    <col min="7429" max="7429" width="9.7109375" style="300" customWidth="1"/>
    <col min="7430" max="7681" width="9.140625" style="300"/>
    <col min="7682" max="7682" width="3.85546875" style="300" bestFit="1" customWidth="1"/>
    <col min="7683" max="7683" width="51.42578125" style="300" customWidth="1"/>
    <col min="7684" max="7684" width="29.7109375" style="300" customWidth="1"/>
    <col min="7685" max="7685" width="9.7109375" style="300" customWidth="1"/>
    <col min="7686" max="7937" width="9.140625" style="300"/>
    <col min="7938" max="7938" width="3.85546875" style="300" bestFit="1" customWidth="1"/>
    <col min="7939" max="7939" width="51.42578125" style="300" customWidth="1"/>
    <col min="7940" max="7940" width="29.7109375" style="300" customWidth="1"/>
    <col min="7941" max="7941" width="9.7109375" style="300" customWidth="1"/>
    <col min="7942" max="8193" width="9.140625" style="300"/>
    <col min="8194" max="8194" width="3.85546875" style="300" bestFit="1" customWidth="1"/>
    <col min="8195" max="8195" width="51.42578125" style="300" customWidth="1"/>
    <col min="8196" max="8196" width="29.7109375" style="300" customWidth="1"/>
    <col min="8197" max="8197" width="9.7109375" style="300" customWidth="1"/>
    <col min="8198" max="8449" width="9.140625" style="300"/>
    <col min="8450" max="8450" width="3.85546875" style="300" bestFit="1" customWidth="1"/>
    <col min="8451" max="8451" width="51.42578125" style="300" customWidth="1"/>
    <col min="8452" max="8452" width="29.7109375" style="300" customWidth="1"/>
    <col min="8453" max="8453" width="9.7109375" style="300" customWidth="1"/>
    <col min="8454" max="8705" width="9.140625" style="300"/>
    <col min="8706" max="8706" width="3.85546875" style="300" bestFit="1" customWidth="1"/>
    <col min="8707" max="8707" width="51.42578125" style="300" customWidth="1"/>
    <col min="8708" max="8708" width="29.7109375" style="300" customWidth="1"/>
    <col min="8709" max="8709" width="9.7109375" style="300" customWidth="1"/>
    <col min="8710" max="8961" width="9.140625" style="300"/>
    <col min="8962" max="8962" width="3.85546875" style="300" bestFit="1" customWidth="1"/>
    <col min="8963" max="8963" width="51.42578125" style="300" customWidth="1"/>
    <col min="8964" max="8964" width="29.7109375" style="300" customWidth="1"/>
    <col min="8965" max="8965" width="9.7109375" style="300" customWidth="1"/>
    <col min="8966" max="9217" width="9.140625" style="300"/>
    <col min="9218" max="9218" width="3.85546875" style="300" bestFit="1" customWidth="1"/>
    <col min="9219" max="9219" width="51.42578125" style="300" customWidth="1"/>
    <col min="9220" max="9220" width="29.7109375" style="300" customWidth="1"/>
    <col min="9221" max="9221" width="9.7109375" style="300" customWidth="1"/>
    <col min="9222" max="9473" width="9.140625" style="300"/>
    <col min="9474" max="9474" width="3.85546875" style="300" bestFit="1" customWidth="1"/>
    <col min="9475" max="9475" width="51.42578125" style="300" customWidth="1"/>
    <col min="9476" max="9476" width="29.7109375" style="300" customWidth="1"/>
    <col min="9477" max="9477" width="9.7109375" style="300" customWidth="1"/>
    <col min="9478" max="9729" width="9.140625" style="300"/>
    <col min="9730" max="9730" width="3.85546875" style="300" bestFit="1" customWidth="1"/>
    <col min="9731" max="9731" width="51.42578125" style="300" customWidth="1"/>
    <col min="9732" max="9732" width="29.7109375" style="300" customWidth="1"/>
    <col min="9733" max="9733" width="9.7109375" style="300" customWidth="1"/>
    <col min="9734" max="9985" width="9.140625" style="300"/>
    <col min="9986" max="9986" width="3.85546875" style="300" bestFit="1" customWidth="1"/>
    <col min="9987" max="9987" width="51.42578125" style="300" customWidth="1"/>
    <col min="9988" max="9988" width="29.7109375" style="300" customWidth="1"/>
    <col min="9989" max="9989" width="9.7109375" style="300" customWidth="1"/>
    <col min="9990" max="10241" width="9.140625" style="300"/>
    <col min="10242" max="10242" width="3.85546875" style="300" bestFit="1" customWidth="1"/>
    <col min="10243" max="10243" width="51.42578125" style="300" customWidth="1"/>
    <col min="10244" max="10244" width="29.7109375" style="300" customWidth="1"/>
    <col min="10245" max="10245" width="9.7109375" style="300" customWidth="1"/>
    <col min="10246" max="10497" width="9.140625" style="300"/>
    <col min="10498" max="10498" width="3.85546875" style="300" bestFit="1" customWidth="1"/>
    <col min="10499" max="10499" width="51.42578125" style="300" customWidth="1"/>
    <col min="10500" max="10500" width="29.7109375" style="300" customWidth="1"/>
    <col min="10501" max="10501" width="9.7109375" style="300" customWidth="1"/>
    <col min="10502" max="10753" width="9.140625" style="300"/>
    <col min="10754" max="10754" width="3.85546875" style="300" bestFit="1" customWidth="1"/>
    <col min="10755" max="10755" width="51.42578125" style="300" customWidth="1"/>
    <col min="10756" max="10756" width="29.7109375" style="300" customWidth="1"/>
    <col min="10757" max="10757" width="9.7109375" style="300" customWidth="1"/>
    <col min="10758" max="11009" width="9.140625" style="300"/>
    <col min="11010" max="11010" width="3.85546875" style="300" bestFit="1" customWidth="1"/>
    <col min="11011" max="11011" width="51.42578125" style="300" customWidth="1"/>
    <col min="11012" max="11012" width="29.7109375" style="300" customWidth="1"/>
    <col min="11013" max="11013" width="9.7109375" style="300" customWidth="1"/>
    <col min="11014" max="11265" width="9.140625" style="300"/>
    <col min="11266" max="11266" width="3.85546875" style="300" bestFit="1" customWidth="1"/>
    <col min="11267" max="11267" width="51.42578125" style="300" customWidth="1"/>
    <col min="11268" max="11268" width="29.7109375" style="300" customWidth="1"/>
    <col min="11269" max="11269" width="9.7109375" style="300" customWidth="1"/>
    <col min="11270" max="11521" width="9.140625" style="300"/>
    <col min="11522" max="11522" width="3.85546875" style="300" bestFit="1" customWidth="1"/>
    <col min="11523" max="11523" width="51.42578125" style="300" customWidth="1"/>
    <col min="11524" max="11524" width="29.7109375" style="300" customWidth="1"/>
    <col min="11525" max="11525" width="9.7109375" style="300" customWidth="1"/>
    <col min="11526" max="11777" width="9.140625" style="300"/>
    <col min="11778" max="11778" width="3.85546875" style="300" bestFit="1" customWidth="1"/>
    <col min="11779" max="11779" width="51.42578125" style="300" customWidth="1"/>
    <col min="11780" max="11780" width="29.7109375" style="300" customWidth="1"/>
    <col min="11781" max="11781" width="9.7109375" style="300" customWidth="1"/>
    <col min="11782" max="12033" width="9.140625" style="300"/>
    <col min="12034" max="12034" width="3.85546875" style="300" bestFit="1" customWidth="1"/>
    <col min="12035" max="12035" width="51.42578125" style="300" customWidth="1"/>
    <col min="12036" max="12036" width="29.7109375" style="300" customWidth="1"/>
    <col min="12037" max="12037" width="9.7109375" style="300" customWidth="1"/>
    <col min="12038" max="12289" width="9.140625" style="300"/>
    <col min="12290" max="12290" width="3.85546875" style="300" bestFit="1" customWidth="1"/>
    <col min="12291" max="12291" width="51.42578125" style="300" customWidth="1"/>
    <col min="12292" max="12292" width="29.7109375" style="300" customWidth="1"/>
    <col min="12293" max="12293" width="9.7109375" style="300" customWidth="1"/>
    <col min="12294" max="12545" width="9.140625" style="300"/>
    <col min="12546" max="12546" width="3.85546875" style="300" bestFit="1" customWidth="1"/>
    <col min="12547" max="12547" width="51.42578125" style="300" customWidth="1"/>
    <col min="12548" max="12548" width="29.7109375" style="300" customWidth="1"/>
    <col min="12549" max="12549" width="9.7109375" style="300" customWidth="1"/>
    <col min="12550" max="12801" width="9.140625" style="300"/>
    <col min="12802" max="12802" width="3.85546875" style="300" bestFit="1" customWidth="1"/>
    <col min="12803" max="12803" width="51.42578125" style="300" customWidth="1"/>
    <col min="12804" max="12804" width="29.7109375" style="300" customWidth="1"/>
    <col min="12805" max="12805" width="9.7109375" style="300" customWidth="1"/>
    <col min="12806" max="13057" width="9.140625" style="300"/>
    <col min="13058" max="13058" width="3.85546875" style="300" bestFit="1" customWidth="1"/>
    <col min="13059" max="13059" width="51.42578125" style="300" customWidth="1"/>
    <col min="13060" max="13060" width="29.7109375" style="300" customWidth="1"/>
    <col min="13061" max="13061" width="9.7109375" style="300" customWidth="1"/>
    <col min="13062" max="13313" width="9.140625" style="300"/>
    <col min="13314" max="13314" width="3.85546875" style="300" bestFit="1" customWidth="1"/>
    <col min="13315" max="13315" width="51.42578125" style="300" customWidth="1"/>
    <col min="13316" max="13316" width="29.7109375" style="300" customWidth="1"/>
    <col min="13317" max="13317" width="9.7109375" style="300" customWidth="1"/>
    <col min="13318" max="13569" width="9.140625" style="300"/>
    <col min="13570" max="13570" width="3.85546875" style="300" bestFit="1" customWidth="1"/>
    <col min="13571" max="13571" width="51.42578125" style="300" customWidth="1"/>
    <col min="13572" max="13572" width="29.7109375" style="300" customWidth="1"/>
    <col min="13573" max="13573" width="9.7109375" style="300" customWidth="1"/>
    <col min="13574" max="13825" width="9.140625" style="300"/>
    <col min="13826" max="13826" width="3.85546875" style="300" bestFit="1" customWidth="1"/>
    <col min="13827" max="13827" width="51.42578125" style="300" customWidth="1"/>
    <col min="13828" max="13828" width="29.7109375" style="300" customWidth="1"/>
    <col min="13829" max="13829" width="9.7109375" style="300" customWidth="1"/>
    <col min="13830" max="14081" width="9.140625" style="300"/>
    <col min="14082" max="14082" width="3.85546875" style="300" bestFit="1" customWidth="1"/>
    <col min="14083" max="14083" width="51.42578125" style="300" customWidth="1"/>
    <col min="14084" max="14084" width="29.7109375" style="300" customWidth="1"/>
    <col min="14085" max="14085" width="9.7109375" style="300" customWidth="1"/>
    <col min="14086" max="14337" width="9.140625" style="300"/>
    <col min="14338" max="14338" width="3.85546875" style="300" bestFit="1" customWidth="1"/>
    <col min="14339" max="14339" width="51.42578125" style="300" customWidth="1"/>
    <col min="14340" max="14340" width="29.7109375" style="300" customWidth="1"/>
    <col min="14341" max="14341" width="9.7109375" style="300" customWidth="1"/>
    <col min="14342" max="14593" width="9.140625" style="300"/>
    <col min="14594" max="14594" width="3.85546875" style="300" bestFit="1" customWidth="1"/>
    <col min="14595" max="14595" width="51.42578125" style="300" customWidth="1"/>
    <col min="14596" max="14596" width="29.7109375" style="300" customWidth="1"/>
    <col min="14597" max="14597" width="9.7109375" style="300" customWidth="1"/>
    <col min="14598" max="14849" width="9.140625" style="300"/>
    <col min="14850" max="14850" width="3.85546875" style="300" bestFit="1" customWidth="1"/>
    <col min="14851" max="14851" width="51.42578125" style="300" customWidth="1"/>
    <col min="14852" max="14852" width="29.7109375" style="300" customWidth="1"/>
    <col min="14853" max="14853" width="9.7109375" style="300" customWidth="1"/>
    <col min="14854" max="15105" width="9.140625" style="300"/>
    <col min="15106" max="15106" width="3.85546875" style="300" bestFit="1" customWidth="1"/>
    <col min="15107" max="15107" width="51.42578125" style="300" customWidth="1"/>
    <col min="15108" max="15108" width="29.7109375" style="300" customWidth="1"/>
    <col min="15109" max="15109" width="9.7109375" style="300" customWidth="1"/>
    <col min="15110" max="15361" width="9.140625" style="300"/>
    <col min="15362" max="15362" width="3.85546875" style="300" bestFit="1" customWidth="1"/>
    <col min="15363" max="15363" width="51.42578125" style="300" customWidth="1"/>
    <col min="15364" max="15364" width="29.7109375" style="300" customWidth="1"/>
    <col min="15365" max="15365" width="9.7109375" style="300" customWidth="1"/>
    <col min="15366" max="15617" width="9.140625" style="300"/>
    <col min="15618" max="15618" width="3.85546875" style="300" bestFit="1" customWidth="1"/>
    <col min="15619" max="15619" width="51.42578125" style="300" customWidth="1"/>
    <col min="15620" max="15620" width="29.7109375" style="300" customWidth="1"/>
    <col min="15621" max="15621" width="9.7109375" style="300" customWidth="1"/>
    <col min="15622" max="15873" width="9.140625" style="300"/>
    <col min="15874" max="15874" width="3.85546875" style="300" bestFit="1" customWidth="1"/>
    <col min="15875" max="15875" width="51.42578125" style="300" customWidth="1"/>
    <col min="15876" max="15876" width="29.7109375" style="300" customWidth="1"/>
    <col min="15877" max="15877" width="9.7109375" style="300" customWidth="1"/>
    <col min="15878" max="16129" width="9.140625" style="300"/>
    <col min="16130" max="16130" width="3.85546875" style="300" bestFit="1" customWidth="1"/>
    <col min="16131" max="16131" width="51.42578125" style="300" customWidth="1"/>
    <col min="16132" max="16132" width="29.7109375" style="300" customWidth="1"/>
    <col min="16133" max="16133" width="9.7109375" style="300" customWidth="1"/>
    <col min="16134" max="16384" width="9.140625" style="300"/>
  </cols>
  <sheetData>
    <row r="1" spans="1:257" x14ac:dyDescent="0.2">
      <c r="C1" s="2135" t="s">
        <v>2084</v>
      </c>
      <c r="D1" s="2135"/>
      <c r="E1" s="2135"/>
      <c r="F1" s="1427"/>
      <c r="G1" s="1427"/>
      <c r="H1" s="1427"/>
      <c r="I1" s="1427"/>
    </row>
    <row r="2" spans="1:257" x14ac:dyDescent="0.2">
      <c r="B2" s="1885" t="s">
        <v>77</v>
      </c>
      <c r="C2" s="1885"/>
      <c r="D2" s="1885"/>
      <c r="E2" s="1885"/>
    </row>
    <row r="3" spans="1:257" x14ac:dyDescent="0.2">
      <c r="B3" s="1885" t="s">
        <v>1362</v>
      </c>
      <c r="C3" s="1885"/>
      <c r="D3" s="1885"/>
      <c r="E3" s="1885"/>
    </row>
    <row r="4" spans="1:257" x14ac:dyDescent="0.2">
      <c r="B4" s="1885" t="s">
        <v>1368</v>
      </c>
      <c r="C4" s="1885"/>
      <c r="D4" s="1885"/>
      <c r="E4" s="1885"/>
    </row>
    <row r="5" spans="1:257" x14ac:dyDescent="0.2">
      <c r="B5" s="1885" t="s">
        <v>1369</v>
      </c>
      <c r="C5" s="1885"/>
      <c r="D5" s="1885"/>
      <c r="E5" s="1885"/>
    </row>
    <row r="6" spans="1:257" ht="13.5" x14ac:dyDescent="0.25">
      <c r="B6" s="4"/>
      <c r="C6" s="1428"/>
      <c r="D6" s="1428"/>
      <c r="E6" s="1428"/>
    </row>
    <row r="7" spans="1:257" x14ac:dyDescent="0.2">
      <c r="B7" s="4"/>
      <c r="C7" s="1429" t="s">
        <v>1370</v>
      </c>
      <c r="D7" s="1429"/>
      <c r="E7" s="1430">
        <v>5000</v>
      </c>
    </row>
    <row r="8" spans="1:257" x14ac:dyDescent="0.2">
      <c r="B8" s="140"/>
      <c r="C8" s="1429" t="s">
        <v>1371</v>
      </c>
      <c r="D8" s="1431"/>
      <c r="E8" s="1430">
        <v>2531</v>
      </c>
      <c r="F8" s="1432"/>
      <c r="G8" s="1432"/>
      <c r="H8" s="1432"/>
      <c r="I8" s="1432"/>
      <c r="J8" s="1432"/>
      <c r="K8" s="1432"/>
      <c r="L8" s="1432"/>
      <c r="M8" s="1432"/>
      <c r="N8" s="1432"/>
      <c r="O8" s="1432"/>
      <c r="P8" s="1432"/>
      <c r="Q8" s="1432"/>
      <c r="R8" s="1432"/>
      <c r="S8" s="1432"/>
      <c r="T8" s="1432"/>
      <c r="U8" s="1432"/>
      <c r="V8" s="1432"/>
      <c r="W8" s="1432"/>
      <c r="X8" s="1432"/>
      <c r="Y8" s="1432"/>
      <c r="Z8" s="1432"/>
      <c r="AA8" s="1432"/>
      <c r="AB8" s="1432"/>
      <c r="AC8" s="1432"/>
      <c r="AD8" s="1432"/>
      <c r="AE8" s="1432"/>
      <c r="AF8" s="1432"/>
      <c r="AG8" s="1432"/>
      <c r="AH8" s="1432"/>
      <c r="AI8" s="1432"/>
      <c r="AJ8" s="1432"/>
      <c r="AK8" s="1432"/>
      <c r="AL8" s="1432"/>
      <c r="AM8" s="1432"/>
      <c r="AN8" s="1432"/>
      <c r="AO8" s="1432"/>
      <c r="AP8" s="1432"/>
      <c r="AQ8" s="1432"/>
      <c r="AR8" s="1432"/>
      <c r="AS8" s="1432"/>
      <c r="AT8" s="1432"/>
      <c r="AU8" s="1432"/>
      <c r="AV8" s="1432"/>
      <c r="AW8" s="1432"/>
      <c r="AX8" s="1432"/>
      <c r="AY8" s="1432"/>
      <c r="AZ8" s="1432"/>
      <c r="BA8" s="1432"/>
      <c r="BB8" s="1432"/>
      <c r="BC8" s="1432"/>
      <c r="BD8" s="1432"/>
      <c r="BE8" s="1432"/>
      <c r="BF8" s="1432"/>
      <c r="BG8" s="1432"/>
      <c r="BH8" s="1432"/>
      <c r="BI8" s="1432"/>
      <c r="BJ8" s="1432"/>
      <c r="BK8" s="1432"/>
      <c r="BL8" s="1432"/>
      <c r="BM8" s="1432"/>
      <c r="BN8" s="1432"/>
      <c r="BO8" s="1432"/>
      <c r="BP8" s="1432"/>
      <c r="BQ8" s="1432"/>
      <c r="BR8" s="1432"/>
      <c r="BS8" s="1432"/>
      <c r="BT8" s="1432"/>
      <c r="BU8" s="1432"/>
      <c r="BV8" s="1432"/>
      <c r="BW8" s="1432"/>
      <c r="BX8" s="1432"/>
      <c r="BY8" s="1432"/>
      <c r="BZ8" s="1432"/>
      <c r="CA8" s="1432"/>
      <c r="CB8" s="1432"/>
      <c r="CC8" s="1432"/>
      <c r="CD8" s="1432"/>
      <c r="CE8" s="1432"/>
      <c r="CF8" s="1432"/>
      <c r="CG8" s="1432"/>
      <c r="CH8" s="1432"/>
      <c r="CI8" s="1432"/>
      <c r="CJ8" s="1432"/>
      <c r="CK8" s="1432"/>
      <c r="CL8" s="1432"/>
      <c r="CM8" s="1432"/>
      <c r="CN8" s="1432"/>
      <c r="CO8" s="1432"/>
      <c r="CP8" s="1432"/>
      <c r="CQ8" s="1432"/>
      <c r="CR8" s="1432"/>
      <c r="CS8" s="1432"/>
      <c r="CT8" s="1432"/>
      <c r="CU8" s="1432"/>
      <c r="CV8" s="1432"/>
      <c r="CW8" s="1432"/>
      <c r="CX8" s="1432"/>
      <c r="CY8" s="1432"/>
      <c r="CZ8" s="1432"/>
      <c r="DA8" s="1432"/>
      <c r="DB8" s="1432"/>
      <c r="DC8" s="1432"/>
      <c r="DD8" s="1432"/>
      <c r="DE8" s="1432"/>
      <c r="DF8" s="1432"/>
      <c r="DG8" s="1432"/>
      <c r="DH8" s="1432"/>
      <c r="DI8" s="1432"/>
      <c r="DJ8" s="1432"/>
      <c r="DK8" s="1432"/>
      <c r="DL8" s="1432"/>
      <c r="DM8" s="1432"/>
      <c r="DN8" s="1432"/>
      <c r="DO8" s="1432"/>
      <c r="DP8" s="1432"/>
      <c r="DQ8" s="1432"/>
      <c r="DR8" s="1432"/>
      <c r="DS8" s="1432"/>
      <c r="DT8" s="1432"/>
      <c r="DU8" s="1432"/>
      <c r="DV8" s="1432"/>
      <c r="DW8" s="1432"/>
      <c r="DX8" s="1432"/>
      <c r="DY8" s="1432"/>
      <c r="DZ8" s="1432"/>
      <c r="EA8" s="1432"/>
      <c r="EB8" s="1432"/>
      <c r="EC8" s="1432"/>
      <c r="ED8" s="1432"/>
      <c r="EE8" s="1432"/>
      <c r="EF8" s="1432"/>
      <c r="EG8" s="1432"/>
      <c r="EH8" s="1432"/>
      <c r="EI8" s="1432"/>
      <c r="EJ8" s="1432"/>
      <c r="EK8" s="1432"/>
      <c r="EL8" s="1432"/>
      <c r="EM8" s="1432"/>
      <c r="EN8" s="1432"/>
      <c r="EO8" s="1432"/>
      <c r="EP8" s="1432"/>
      <c r="EQ8" s="1432"/>
      <c r="ER8" s="1432"/>
      <c r="ES8" s="1432"/>
      <c r="ET8" s="1432"/>
      <c r="EU8" s="1432"/>
      <c r="EV8" s="1432"/>
      <c r="EW8" s="1432"/>
      <c r="EX8" s="1432"/>
      <c r="EY8" s="1432"/>
      <c r="EZ8" s="1432"/>
      <c r="FA8" s="1432"/>
      <c r="FB8" s="1432"/>
      <c r="FC8" s="1432"/>
      <c r="FD8" s="1432"/>
      <c r="FE8" s="1432"/>
      <c r="FF8" s="1432"/>
      <c r="FG8" s="1432"/>
      <c r="FH8" s="1432"/>
      <c r="FI8" s="1432"/>
      <c r="FJ8" s="1432"/>
      <c r="FK8" s="1432"/>
      <c r="FL8" s="1432"/>
      <c r="FM8" s="1432"/>
      <c r="FN8" s="1432"/>
      <c r="FO8" s="1432"/>
      <c r="FP8" s="1432"/>
      <c r="FQ8" s="1432"/>
      <c r="FR8" s="1432"/>
      <c r="FS8" s="1432"/>
      <c r="FT8" s="1432"/>
      <c r="FU8" s="1432"/>
      <c r="FV8" s="1432"/>
      <c r="FW8" s="1432"/>
      <c r="FX8" s="1432"/>
      <c r="FY8" s="1432"/>
      <c r="FZ8" s="1432"/>
      <c r="GA8" s="1432"/>
      <c r="GB8" s="1432"/>
      <c r="GC8" s="1432"/>
      <c r="GD8" s="1432"/>
      <c r="GE8" s="1432"/>
      <c r="GF8" s="1432"/>
      <c r="GG8" s="1432"/>
      <c r="GH8" s="1432"/>
      <c r="GI8" s="1432"/>
      <c r="GJ8" s="1432"/>
      <c r="GK8" s="1432"/>
      <c r="GL8" s="1432"/>
      <c r="GM8" s="1432"/>
      <c r="GN8" s="1432"/>
      <c r="GO8" s="1432"/>
      <c r="GP8" s="1432"/>
      <c r="GQ8" s="1432"/>
      <c r="GR8" s="1432"/>
      <c r="GS8" s="1432"/>
      <c r="GT8" s="1432"/>
      <c r="GU8" s="1432"/>
      <c r="GV8" s="1432"/>
      <c r="GW8" s="1432"/>
      <c r="GX8" s="1432"/>
      <c r="GY8" s="1432"/>
      <c r="GZ8" s="1432"/>
      <c r="HA8" s="1432"/>
      <c r="HB8" s="1432"/>
      <c r="HC8" s="1432"/>
      <c r="HD8" s="1432"/>
      <c r="HE8" s="1432"/>
      <c r="HF8" s="1432"/>
      <c r="HG8" s="1432"/>
      <c r="HH8" s="1432"/>
      <c r="HI8" s="1432"/>
      <c r="HJ8" s="1432"/>
      <c r="HK8" s="1432"/>
      <c r="HL8" s="1432"/>
      <c r="HM8" s="1432"/>
      <c r="HN8" s="1432"/>
      <c r="HO8" s="1432"/>
      <c r="HP8" s="1432"/>
      <c r="HQ8" s="1432"/>
      <c r="HR8" s="1432"/>
      <c r="HS8" s="1432"/>
      <c r="HT8" s="1432"/>
      <c r="HU8" s="1432"/>
      <c r="HV8" s="1432"/>
      <c r="HW8" s="1432"/>
      <c r="HX8" s="1432"/>
      <c r="HY8" s="1432"/>
      <c r="HZ8" s="1432"/>
      <c r="IA8" s="1432"/>
      <c r="IB8" s="1432"/>
      <c r="IC8" s="1432"/>
      <c r="ID8" s="1432"/>
      <c r="IE8" s="1432"/>
      <c r="IF8" s="1432"/>
      <c r="IG8" s="1432"/>
      <c r="IH8" s="1432"/>
      <c r="II8" s="1432"/>
      <c r="IJ8" s="1432"/>
      <c r="IK8" s="1432"/>
      <c r="IL8" s="1432"/>
      <c r="IM8" s="1432"/>
      <c r="IN8" s="1432"/>
      <c r="IO8" s="1432"/>
      <c r="IP8" s="1432"/>
      <c r="IQ8" s="1432"/>
      <c r="IR8" s="1432"/>
      <c r="IS8" s="1432"/>
      <c r="IT8" s="1432"/>
      <c r="IU8" s="1432"/>
      <c r="IV8" s="1432"/>
      <c r="IW8" s="1432"/>
    </row>
    <row r="9" spans="1:257" x14ac:dyDescent="0.2">
      <c r="B9" s="4"/>
      <c r="C9" s="1429" t="s">
        <v>1372</v>
      </c>
      <c r="D9" s="1429"/>
      <c r="E9" s="1430">
        <f>E7-E8</f>
        <v>2469</v>
      </c>
    </row>
    <row r="10" spans="1:257" x14ac:dyDescent="0.2">
      <c r="B10" s="4"/>
      <c r="C10" s="1433"/>
      <c r="D10" s="1433"/>
      <c r="E10" s="1434"/>
    </row>
    <row r="11" spans="1:257" x14ac:dyDescent="0.2">
      <c r="B11" s="2133" t="s">
        <v>468</v>
      </c>
      <c r="C11" s="1435" t="s">
        <v>57</v>
      </c>
      <c r="D11" s="1435" t="s">
        <v>58</v>
      </c>
      <c r="E11" s="1435" t="s">
        <v>59</v>
      </c>
      <c r="F11" s="4"/>
    </row>
    <row r="12" spans="1:257" ht="25.5" x14ac:dyDescent="0.2">
      <c r="A12" s="1436"/>
      <c r="B12" s="2134"/>
      <c r="C12" s="1403" t="s">
        <v>1373</v>
      </c>
      <c r="D12" s="1437" t="s">
        <v>1374</v>
      </c>
      <c r="E12" s="1403" t="s">
        <v>1375</v>
      </c>
      <c r="F12" s="4"/>
    </row>
    <row r="13" spans="1:257" ht="25.5" x14ac:dyDescent="0.2">
      <c r="A13" s="1436"/>
      <c r="B13" s="1438" t="s">
        <v>478</v>
      </c>
      <c r="C13" s="1439" t="s">
        <v>1380</v>
      </c>
      <c r="D13" s="1440" t="s">
        <v>1381</v>
      </c>
      <c r="E13" s="1441">
        <v>633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spans="1:257" ht="51" x14ac:dyDescent="0.2">
      <c r="A14" s="1436"/>
      <c r="B14" s="1442" t="s">
        <v>486</v>
      </c>
      <c r="C14" s="1443" t="s">
        <v>1398</v>
      </c>
      <c r="D14" s="1440" t="s">
        <v>1382</v>
      </c>
      <c r="E14" s="1444">
        <v>18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spans="1:257" ht="51" x14ac:dyDescent="0.2">
      <c r="A15" s="1436"/>
      <c r="B15" s="1445" t="s">
        <v>487</v>
      </c>
      <c r="C15" s="1443" t="s">
        <v>1398</v>
      </c>
      <c r="D15" s="1440" t="s">
        <v>1383</v>
      </c>
      <c r="E15" s="1444">
        <v>31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spans="1:257" ht="63.75" x14ac:dyDescent="0.2">
      <c r="A16" s="1436"/>
      <c r="B16" s="1445" t="s">
        <v>488</v>
      </c>
      <c r="C16" s="1443" t="s">
        <v>1398</v>
      </c>
      <c r="D16" s="1440" t="s">
        <v>1384</v>
      </c>
      <c r="E16" s="1444">
        <v>30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spans="1:257" ht="51" x14ac:dyDescent="0.2">
      <c r="A17" s="1436"/>
      <c r="B17" s="1445" t="s">
        <v>489</v>
      </c>
      <c r="C17" s="1443" t="s">
        <v>1385</v>
      </c>
      <c r="D17" s="1440" t="s">
        <v>1386</v>
      </c>
      <c r="E17" s="1444">
        <v>200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spans="1:257" x14ac:dyDescent="0.2">
      <c r="A18" s="1436"/>
      <c r="B18" s="1445" t="s">
        <v>490</v>
      </c>
      <c r="C18" s="1443" t="s">
        <v>1385</v>
      </c>
      <c r="D18" s="1440" t="s">
        <v>1387</v>
      </c>
      <c r="E18" s="1444">
        <v>200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spans="1:257" ht="51" x14ac:dyDescent="0.2">
      <c r="A19" s="1436"/>
      <c r="B19" s="1445" t="s">
        <v>491</v>
      </c>
      <c r="C19" s="1443" t="s">
        <v>1260</v>
      </c>
      <c r="D19" s="1440" t="s">
        <v>1388</v>
      </c>
      <c r="E19" s="1444">
        <v>50</v>
      </c>
    </row>
    <row r="20" spans="1:257" ht="51" x14ac:dyDescent="0.2">
      <c r="A20" s="1436"/>
      <c r="B20" s="1445" t="s">
        <v>492</v>
      </c>
      <c r="C20" s="1443" t="s">
        <v>1389</v>
      </c>
      <c r="D20" s="1440" t="s">
        <v>1390</v>
      </c>
      <c r="E20" s="1444">
        <v>48</v>
      </c>
    </row>
    <row r="21" spans="1:257" ht="51" x14ac:dyDescent="0.2">
      <c r="A21" s="1436"/>
      <c r="B21" s="1445" t="s">
        <v>493</v>
      </c>
      <c r="C21" s="1443" t="s">
        <v>1254</v>
      </c>
      <c r="D21" s="1440" t="s">
        <v>1391</v>
      </c>
      <c r="E21" s="1444">
        <v>200</v>
      </c>
    </row>
    <row r="22" spans="1:257" ht="51" x14ac:dyDescent="0.2">
      <c r="A22" s="1436"/>
      <c r="B22" s="1445" t="s">
        <v>529</v>
      </c>
      <c r="C22" s="1443" t="s">
        <v>1254</v>
      </c>
      <c r="D22" s="1440" t="s">
        <v>1392</v>
      </c>
      <c r="E22" s="1444">
        <v>500</v>
      </c>
    </row>
    <row r="23" spans="1:257" ht="45" customHeight="1" x14ac:dyDescent="0.2">
      <c r="A23" s="1436"/>
      <c r="B23" s="1445" t="s">
        <v>530</v>
      </c>
      <c r="C23" s="1443" t="s">
        <v>1393</v>
      </c>
      <c r="D23" s="1440" t="s">
        <v>1394</v>
      </c>
      <c r="E23" s="1444">
        <v>50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spans="1:257" ht="38.25" x14ac:dyDescent="0.2">
      <c r="A24" s="1436"/>
      <c r="B24" s="1445" t="s">
        <v>531</v>
      </c>
      <c r="C24" s="1443" t="s">
        <v>1393</v>
      </c>
      <c r="D24" s="1440" t="s">
        <v>1395</v>
      </c>
      <c r="E24" s="1444">
        <v>50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spans="1:257" ht="26.25" thickBot="1" x14ac:dyDescent="0.25">
      <c r="A25" s="1436"/>
      <c r="B25" s="1445" t="s">
        <v>532</v>
      </c>
      <c r="C25" s="1443" t="s">
        <v>1396</v>
      </c>
      <c r="D25" s="1440" t="s">
        <v>1397</v>
      </c>
      <c r="E25" s="1444">
        <v>521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spans="1:257" ht="13.5" thickBot="1" x14ac:dyDescent="0.25">
      <c r="A26" s="1446"/>
      <c r="B26" s="1447" t="s">
        <v>544</v>
      </c>
      <c r="C26" s="1448" t="s">
        <v>1376</v>
      </c>
      <c r="D26" s="1449"/>
      <c r="E26" s="1450">
        <f>SUM(E13:E25)</f>
        <v>2531</v>
      </c>
      <c r="F26" s="1451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</row>
    <row r="27" spans="1:257" x14ac:dyDescent="0.2">
      <c r="B27" s="145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spans="1:257" x14ac:dyDescent="0.2">
      <c r="B28" s="145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spans="1:257" x14ac:dyDescent="0.2">
      <c r="B29" s="1452"/>
    </row>
  </sheetData>
  <mergeCells count="6">
    <mergeCell ref="B11:B12"/>
    <mergeCell ref="C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8"/>
  <sheetViews>
    <sheetView zoomScaleNormal="100" workbookViewId="0">
      <selection activeCell="H1" sqref="H1:L1"/>
    </sheetView>
  </sheetViews>
  <sheetFormatPr defaultColWidth="10.28515625" defaultRowHeight="12.75" x14ac:dyDescent="0.2"/>
  <cols>
    <col min="1" max="1" width="3.140625" style="347" customWidth="1"/>
    <col min="2" max="2" width="30.7109375" style="347" bestFit="1" customWidth="1"/>
    <col min="3" max="3" width="16.85546875" style="347" bestFit="1" customWidth="1"/>
    <col min="4" max="4" width="15.5703125" style="347" customWidth="1"/>
    <col min="5" max="5" width="11.28515625" style="347" bestFit="1" customWidth="1"/>
    <col min="6" max="6" width="9.28515625" style="347" bestFit="1" customWidth="1"/>
    <col min="7" max="7" width="15.5703125" style="347" customWidth="1"/>
    <col min="8" max="8" width="8.140625" style="347" bestFit="1" customWidth="1"/>
    <col min="9" max="9" width="10" style="347" bestFit="1" customWidth="1"/>
    <col min="10" max="10" width="12.140625" style="347" bestFit="1" customWidth="1"/>
    <col min="11" max="11" width="27" style="347" bestFit="1" customWidth="1"/>
    <col min="12" max="12" width="7.7109375" style="347" bestFit="1" customWidth="1"/>
    <col min="13" max="13" width="10.28515625" style="347" customWidth="1"/>
    <col min="14" max="14" width="10.28515625" style="347"/>
    <col min="15" max="16384" width="10.28515625" style="352"/>
  </cols>
  <sheetData>
    <row r="1" spans="1:16" s="347" customFormat="1" x14ac:dyDescent="0.2">
      <c r="H1" s="2136" t="s">
        <v>2085</v>
      </c>
      <c r="I1" s="2136"/>
      <c r="J1" s="2136"/>
      <c r="K1" s="2136"/>
      <c r="L1" s="2136"/>
    </row>
    <row r="2" spans="1:16" s="347" customFormat="1" ht="14.1" customHeight="1" x14ac:dyDescent="0.2"/>
    <row r="3" spans="1:16" s="347" customFormat="1" ht="15" customHeight="1" x14ac:dyDescent="0.2">
      <c r="B3" s="2142" t="s">
        <v>77</v>
      </c>
      <c r="C3" s="2142"/>
      <c r="D3" s="2142"/>
      <c r="E3" s="2142"/>
      <c r="F3" s="2142"/>
      <c r="G3" s="2142"/>
      <c r="H3" s="2142"/>
      <c r="I3" s="2142"/>
      <c r="J3" s="2142"/>
      <c r="K3" s="2142"/>
      <c r="L3" s="2142"/>
    </row>
    <row r="4" spans="1:16" s="347" customFormat="1" ht="15" customHeight="1" x14ac:dyDescent="0.2">
      <c r="B4" s="2142" t="s">
        <v>1362</v>
      </c>
      <c r="C4" s="2142"/>
      <c r="D4" s="2142"/>
      <c r="E4" s="2142"/>
      <c r="F4" s="2142"/>
      <c r="G4" s="2142"/>
      <c r="H4" s="2142"/>
      <c r="I4" s="2142"/>
      <c r="J4" s="2142"/>
      <c r="K4" s="2142"/>
      <c r="L4" s="2142"/>
    </row>
    <row r="5" spans="1:16" s="347" customFormat="1" ht="15" customHeight="1" x14ac:dyDescent="0.2">
      <c r="B5" s="2142" t="s">
        <v>1400</v>
      </c>
      <c r="C5" s="2142"/>
      <c r="D5" s="2142"/>
      <c r="E5" s="2142"/>
      <c r="F5" s="2142"/>
      <c r="G5" s="2142"/>
      <c r="H5" s="2142"/>
      <c r="I5" s="2142"/>
      <c r="J5" s="2142"/>
      <c r="K5" s="2142"/>
      <c r="L5" s="2142"/>
    </row>
    <row r="6" spans="1:16" s="347" customFormat="1" ht="15" customHeight="1" x14ac:dyDescent="0.2">
      <c r="B6" s="2142" t="s">
        <v>1401</v>
      </c>
      <c r="C6" s="2142"/>
      <c r="D6" s="2142"/>
      <c r="E6" s="2142"/>
      <c r="F6" s="2142"/>
      <c r="G6" s="2142"/>
      <c r="H6" s="2142"/>
      <c r="I6" s="2142"/>
      <c r="J6" s="2142"/>
      <c r="K6" s="2142"/>
      <c r="L6" s="2142"/>
    </row>
    <row r="7" spans="1:16" s="347" customFormat="1" ht="15" customHeight="1" x14ac:dyDescent="0.2">
      <c r="B7" s="2142" t="s">
        <v>55</v>
      </c>
      <c r="C7" s="2142"/>
      <c r="D7" s="2142"/>
      <c r="E7" s="2142"/>
      <c r="F7" s="2142"/>
      <c r="G7" s="2142"/>
      <c r="H7" s="2142"/>
      <c r="I7" s="2142"/>
      <c r="J7" s="2142"/>
      <c r="K7" s="2142"/>
      <c r="L7" s="2142"/>
    </row>
    <row r="8" spans="1:16" s="348" customFormat="1" ht="14.1" customHeight="1" x14ac:dyDescent="0.25">
      <c r="A8" s="2137"/>
      <c r="B8" s="1509" t="s">
        <v>57</v>
      </c>
      <c r="C8" s="1509" t="s">
        <v>58</v>
      </c>
      <c r="D8" s="1509" t="s">
        <v>59</v>
      </c>
      <c r="E8" s="1509" t="s">
        <v>60</v>
      </c>
      <c r="F8" s="1509" t="s">
        <v>469</v>
      </c>
      <c r="G8" s="1509" t="s">
        <v>470</v>
      </c>
      <c r="H8" s="1509" t="s">
        <v>471</v>
      </c>
      <c r="I8" s="1509" t="s">
        <v>590</v>
      </c>
      <c r="J8" s="1509" t="s">
        <v>598</v>
      </c>
      <c r="K8" s="1509" t="s">
        <v>599</v>
      </c>
      <c r="L8" s="1509" t="s">
        <v>600</v>
      </c>
      <c r="M8" s="1513"/>
      <c r="N8" s="1513"/>
      <c r="O8" s="1513"/>
      <c r="P8" s="1513"/>
    </row>
    <row r="9" spans="1:16" s="349" customFormat="1" ht="17.25" customHeight="1" x14ac:dyDescent="0.25">
      <c r="A9" s="2137"/>
      <c r="B9" s="2138" t="s">
        <v>85</v>
      </c>
      <c r="C9" s="2138" t="s">
        <v>1402</v>
      </c>
      <c r="D9" s="2139" t="s">
        <v>1204</v>
      </c>
      <c r="E9" s="2140" t="s">
        <v>1403</v>
      </c>
      <c r="F9" s="2138" t="s">
        <v>898</v>
      </c>
      <c r="G9" s="2139" t="s">
        <v>1404</v>
      </c>
      <c r="H9" s="2138" t="s">
        <v>419</v>
      </c>
      <c r="I9" s="2138" t="s">
        <v>420</v>
      </c>
      <c r="J9" s="2138" t="s">
        <v>421</v>
      </c>
      <c r="K9" s="2138" t="s">
        <v>422</v>
      </c>
      <c r="L9" s="2138"/>
      <c r="M9" s="1514"/>
      <c r="N9" s="1515"/>
      <c r="O9" s="1514"/>
      <c r="P9" s="1514"/>
    </row>
    <row r="10" spans="1:16" s="349" customFormat="1" ht="30" customHeight="1" x14ac:dyDescent="0.25">
      <c r="A10" s="2137"/>
      <c r="B10" s="2138"/>
      <c r="C10" s="2138"/>
      <c r="D10" s="2139"/>
      <c r="E10" s="2141"/>
      <c r="F10" s="2138"/>
      <c r="G10" s="2139"/>
      <c r="H10" s="2138"/>
      <c r="I10" s="2138"/>
      <c r="J10" s="2138"/>
      <c r="K10" s="1516" t="s">
        <v>423</v>
      </c>
      <c r="L10" s="1516" t="s">
        <v>424</v>
      </c>
      <c r="M10" s="1517"/>
      <c r="N10" s="1517"/>
      <c r="O10" s="1517"/>
      <c r="P10" s="1517"/>
    </row>
    <row r="11" spans="1:16" s="348" customFormat="1" ht="16.5" customHeight="1" x14ac:dyDescent="0.25">
      <c r="A11" s="350" t="s">
        <v>478</v>
      </c>
      <c r="B11" s="1518" t="s">
        <v>425</v>
      </c>
      <c r="M11" s="1519"/>
      <c r="O11" s="1519"/>
      <c r="P11" s="1519"/>
    </row>
    <row r="12" spans="1:16" s="349" customFormat="1" ht="15" customHeight="1" x14ac:dyDescent="0.25">
      <c r="A12" s="350" t="s">
        <v>486</v>
      </c>
      <c r="B12" s="356" t="s">
        <v>1405</v>
      </c>
      <c r="C12" s="357">
        <v>0</v>
      </c>
      <c r="D12" s="357">
        <v>0</v>
      </c>
      <c r="E12" s="357">
        <v>1197791</v>
      </c>
      <c r="F12" s="357">
        <v>0</v>
      </c>
      <c r="G12" s="357">
        <v>1197791</v>
      </c>
      <c r="H12" s="358" t="s">
        <v>1406</v>
      </c>
      <c r="I12" s="1520" t="s">
        <v>913</v>
      </c>
      <c r="J12" s="1520">
        <v>46727</v>
      </c>
      <c r="K12" s="359" t="s">
        <v>1407</v>
      </c>
      <c r="L12" s="357">
        <v>0</v>
      </c>
      <c r="M12" s="1521"/>
      <c r="N12" s="1522"/>
      <c r="O12" s="1523"/>
      <c r="P12" s="1521"/>
    </row>
    <row r="13" spans="1:16" s="351" customFormat="1" ht="15" customHeight="1" x14ac:dyDescent="0.25">
      <c r="A13" s="350" t="s">
        <v>487</v>
      </c>
      <c r="B13" s="349" t="s">
        <v>432</v>
      </c>
      <c r="C13" s="360">
        <f>SUM(C12:C12)</f>
        <v>0</v>
      </c>
      <c r="D13" s="360">
        <f>SUM(D12:D12)</f>
        <v>0</v>
      </c>
      <c r="E13" s="360">
        <f>SUM(E12:E12)</f>
        <v>1197791</v>
      </c>
      <c r="F13" s="360">
        <f>SUM(F12:F12)</f>
        <v>0</v>
      </c>
      <c r="G13" s="360">
        <f>SUM(G12:G12)</f>
        <v>1197791</v>
      </c>
      <c r="H13" s="361"/>
      <c r="I13" s="361"/>
      <c r="J13" s="361"/>
      <c r="K13" s="359"/>
      <c r="L13" s="360">
        <f>SUM(L12)</f>
        <v>0</v>
      </c>
      <c r="M13" s="360"/>
      <c r="N13" s="360"/>
      <c r="O13" s="359"/>
      <c r="P13" s="360"/>
    </row>
    <row r="14" spans="1:16" s="351" customFormat="1" ht="15" customHeight="1" x14ac:dyDescent="0.25">
      <c r="A14" s="350"/>
      <c r="B14" s="349"/>
      <c r="C14" s="360"/>
      <c r="D14" s="360"/>
      <c r="E14" s="360"/>
      <c r="F14" s="361"/>
      <c r="G14" s="361"/>
      <c r="H14" s="361"/>
      <c r="I14" s="360"/>
      <c r="J14" s="359"/>
      <c r="K14" s="360"/>
      <c r="L14" s="360"/>
    </row>
    <row r="15" spans="1:16" s="351" customFormat="1" ht="16.5" customHeight="1" x14ac:dyDescent="0.25">
      <c r="A15" s="350"/>
      <c r="B15" s="349"/>
      <c r="C15" s="360"/>
      <c r="D15" s="360"/>
      <c r="E15" s="360"/>
      <c r="F15" s="361"/>
      <c r="G15" s="361"/>
      <c r="H15" s="361"/>
      <c r="I15" s="360"/>
      <c r="J15" s="359"/>
      <c r="K15" s="360"/>
      <c r="L15" s="360"/>
    </row>
    <row r="16" spans="1:16" s="347" customFormat="1" x14ac:dyDescent="0.2">
      <c r="B16" s="2142" t="s">
        <v>77</v>
      </c>
      <c r="C16" s="2142"/>
      <c r="D16" s="2142"/>
      <c r="E16" s="2142"/>
      <c r="F16" s="2142"/>
      <c r="G16" s="2142"/>
      <c r="H16" s="2142"/>
      <c r="I16" s="2142"/>
      <c r="J16" s="2142"/>
      <c r="K16" s="2142"/>
      <c r="L16" s="2142"/>
    </row>
    <row r="17" spans="1:12" s="347" customFormat="1" x14ac:dyDescent="0.2">
      <c r="B17" s="2142" t="s">
        <v>1362</v>
      </c>
      <c r="C17" s="2142"/>
      <c r="D17" s="2142"/>
      <c r="E17" s="2142"/>
      <c r="F17" s="2142"/>
      <c r="G17" s="2142"/>
      <c r="H17" s="2142"/>
      <c r="I17" s="2142"/>
      <c r="J17" s="2142"/>
      <c r="K17" s="2142"/>
      <c r="L17" s="2142"/>
    </row>
    <row r="18" spans="1:12" s="347" customFormat="1" x14ac:dyDescent="0.2">
      <c r="B18" s="2142" t="s">
        <v>417</v>
      </c>
      <c r="C18" s="2142"/>
      <c r="D18" s="2142"/>
      <c r="E18" s="2142"/>
      <c r="F18" s="2142"/>
      <c r="G18" s="2142"/>
      <c r="H18" s="2142"/>
      <c r="I18" s="2142"/>
      <c r="J18" s="2142"/>
      <c r="K18" s="2142"/>
      <c r="L18" s="2142"/>
    </row>
    <row r="19" spans="1:12" s="347" customFormat="1" x14ac:dyDescent="0.2">
      <c r="B19" s="2142" t="s">
        <v>1401</v>
      </c>
      <c r="C19" s="2142"/>
      <c r="D19" s="2142"/>
      <c r="E19" s="2142"/>
      <c r="F19" s="2142"/>
      <c r="G19" s="2142"/>
      <c r="H19" s="2142"/>
      <c r="I19" s="2142"/>
      <c r="J19" s="2142"/>
      <c r="K19" s="2142"/>
      <c r="L19" s="2142"/>
    </row>
    <row r="20" spans="1:12" s="347" customFormat="1" x14ac:dyDescent="0.2">
      <c r="B20" s="2142" t="s">
        <v>55</v>
      </c>
      <c r="C20" s="2142"/>
      <c r="D20" s="2142"/>
      <c r="E20" s="2142"/>
      <c r="F20" s="2142"/>
      <c r="G20" s="2142"/>
      <c r="H20" s="2142"/>
      <c r="I20" s="2142"/>
      <c r="J20" s="2142"/>
      <c r="K20" s="2142"/>
      <c r="L20" s="2142"/>
    </row>
    <row r="21" spans="1:12" s="347" customFormat="1" x14ac:dyDescent="0.2">
      <c r="A21" s="2143"/>
      <c r="B21" s="1516" t="s">
        <v>57</v>
      </c>
      <c r="C21" s="1516" t="s">
        <v>58</v>
      </c>
      <c r="D21" s="1516" t="s">
        <v>59</v>
      </c>
      <c r="E21" s="1516" t="s">
        <v>60</v>
      </c>
      <c r="F21" s="1516" t="s">
        <v>469</v>
      </c>
      <c r="G21" s="1516" t="s">
        <v>470</v>
      </c>
      <c r="H21" s="1516" t="s">
        <v>471</v>
      </c>
      <c r="I21" s="1516" t="s">
        <v>590</v>
      </c>
      <c r="J21" s="1516" t="s">
        <v>598</v>
      </c>
      <c r="K21" s="1516" t="s">
        <v>599</v>
      </c>
      <c r="L21" s="1516" t="s">
        <v>600</v>
      </c>
    </row>
    <row r="22" spans="1:12" s="1524" customFormat="1" x14ac:dyDescent="0.2">
      <c r="A22" s="2143"/>
      <c r="B22" s="2144" t="s">
        <v>85</v>
      </c>
      <c r="C22" s="2140" t="s">
        <v>418</v>
      </c>
      <c r="D22" s="2140" t="s">
        <v>1204</v>
      </c>
      <c r="E22" s="2140" t="s">
        <v>1408</v>
      </c>
      <c r="F22" s="2140" t="s">
        <v>898</v>
      </c>
      <c r="G22" s="2140" t="s">
        <v>1404</v>
      </c>
      <c r="H22" s="2140" t="s">
        <v>419</v>
      </c>
      <c r="I22" s="2140" t="s">
        <v>420</v>
      </c>
      <c r="J22" s="2144" t="s">
        <v>421</v>
      </c>
      <c r="K22" s="2146" t="s">
        <v>422</v>
      </c>
      <c r="L22" s="2146"/>
    </row>
    <row r="23" spans="1:12" s="1524" customFormat="1" x14ac:dyDescent="0.2">
      <c r="A23" s="2143"/>
      <c r="B23" s="2145"/>
      <c r="C23" s="2141"/>
      <c r="D23" s="2141"/>
      <c r="E23" s="2141"/>
      <c r="F23" s="2141"/>
      <c r="G23" s="2141"/>
      <c r="H23" s="2141"/>
      <c r="I23" s="2141"/>
      <c r="J23" s="2145"/>
      <c r="K23" s="1516" t="s">
        <v>423</v>
      </c>
      <c r="L23" s="1516" t="s">
        <v>424</v>
      </c>
    </row>
    <row r="24" spans="1:12" s="347" customFormat="1" x14ac:dyDescent="0.2">
      <c r="A24" s="1525" t="s">
        <v>478</v>
      </c>
      <c r="B24" s="1526" t="s">
        <v>425</v>
      </c>
    </row>
    <row r="25" spans="1:12" s="347" customFormat="1" x14ac:dyDescent="0.2">
      <c r="A25" s="1525" t="s">
        <v>486</v>
      </c>
      <c r="B25" s="347" t="s">
        <v>426</v>
      </c>
      <c r="C25" s="1527"/>
      <c r="D25" s="1527"/>
      <c r="E25" s="1527"/>
      <c r="F25" s="1527"/>
      <c r="G25" s="1527"/>
      <c r="H25" s="1528"/>
      <c r="I25" s="1528"/>
      <c r="J25" s="1528"/>
      <c r="K25" s="1528"/>
      <c r="L25" s="1528"/>
    </row>
    <row r="26" spans="1:12" s="347" customFormat="1" x14ac:dyDescent="0.2">
      <c r="A26" s="1525" t="s">
        <v>487</v>
      </c>
      <c r="B26" s="1529" t="s">
        <v>427</v>
      </c>
      <c r="C26" s="1530">
        <v>500</v>
      </c>
      <c r="D26" s="1531">
        <v>25</v>
      </c>
      <c r="E26" s="1531">
        <v>0</v>
      </c>
      <c r="F26" s="1531">
        <v>25</v>
      </c>
      <c r="G26" s="1531">
        <v>0</v>
      </c>
      <c r="H26" s="1532" t="s">
        <v>428</v>
      </c>
      <c r="I26" s="1532" t="s">
        <v>429</v>
      </c>
      <c r="J26" s="1532" t="s">
        <v>429</v>
      </c>
      <c r="K26" s="1533"/>
      <c r="L26" s="1532" t="s">
        <v>430</v>
      </c>
    </row>
    <row r="27" spans="1:12" s="1524" customFormat="1" x14ac:dyDescent="0.2">
      <c r="A27" s="1525" t="s">
        <v>488</v>
      </c>
      <c r="B27" s="1529" t="s">
        <v>431</v>
      </c>
      <c r="C27" s="1530">
        <v>31530</v>
      </c>
      <c r="D27" s="1530">
        <v>17378</v>
      </c>
      <c r="E27" s="1530">
        <v>4600</v>
      </c>
      <c r="F27" s="1530">
        <v>2947</v>
      </c>
      <c r="G27" s="1531">
        <v>19031</v>
      </c>
      <c r="H27" s="1532" t="s">
        <v>428</v>
      </c>
      <c r="I27" s="1532" t="s">
        <v>429</v>
      </c>
      <c r="J27" s="1532" t="s">
        <v>429</v>
      </c>
      <c r="K27" s="1533"/>
      <c r="L27" s="1532" t="s">
        <v>430</v>
      </c>
    </row>
    <row r="28" spans="1:12" x14ac:dyDescent="0.2">
      <c r="A28" s="1525" t="s">
        <v>489</v>
      </c>
      <c r="B28" s="1524" t="s">
        <v>432</v>
      </c>
      <c r="C28" s="1534">
        <f>SUM(C26:C27)</f>
        <v>32030</v>
      </c>
      <c r="D28" s="1534">
        <f>SUM(D26:D27)</f>
        <v>17403</v>
      </c>
      <c r="E28" s="1534">
        <f>SUM(E26:E27)</f>
        <v>4600</v>
      </c>
      <c r="F28" s="1534">
        <f>SUM(F26:F27)</f>
        <v>2972</v>
      </c>
      <c r="G28" s="1534">
        <f>SUM(G26:G27)</f>
        <v>19031</v>
      </c>
      <c r="H28" s="1535"/>
      <c r="I28" s="1535"/>
      <c r="J28" s="1535"/>
      <c r="K28" s="1533"/>
      <c r="L28" s="1532" t="s">
        <v>430</v>
      </c>
    </row>
  </sheetData>
  <mergeCells count="33">
    <mergeCell ref="B20:L20"/>
    <mergeCell ref="A21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L22"/>
    <mergeCell ref="K9:L9"/>
    <mergeCell ref="B16:L16"/>
    <mergeCell ref="B17:L17"/>
    <mergeCell ref="B18:L18"/>
    <mergeCell ref="B19:L19"/>
    <mergeCell ref="H1:L1"/>
    <mergeCell ref="A8:A10"/>
    <mergeCell ref="B9:B10"/>
    <mergeCell ref="C9:C10"/>
    <mergeCell ref="D9:D10"/>
    <mergeCell ref="H9:H10"/>
    <mergeCell ref="E9:E10"/>
    <mergeCell ref="F9:F10"/>
    <mergeCell ref="G9:G10"/>
    <mergeCell ref="B3:L3"/>
    <mergeCell ref="B4:L4"/>
    <mergeCell ref="B5:L5"/>
    <mergeCell ref="B6:L6"/>
    <mergeCell ref="B7:L7"/>
    <mergeCell ref="I9:I10"/>
    <mergeCell ref="J9:J10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19"/>
  <sheetViews>
    <sheetView workbookViewId="0">
      <selection activeCell="C1" sqref="C1:K1"/>
    </sheetView>
  </sheetViews>
  <sheetFormatPr defaultColWidth="10.28515625" defaultRowHeight="12.75" x14ac:dyDescent="0.2"/>
  <cols>
    <col min="1" max="1" width="4.5703125" style="1609" bestFit="1" customWidth="1"/>
    <col min="2" max="2" width="60" style="1611" bestFit="1" customWidth="1"/>
    <col min="3" max="3" width="11.140625" style="1609" customWidth="1"/>
    <col min="4" max="4" width="10.28515625" style="1609" customWidth="1"/>
    <col min="5" max="5" width="7.85546875" style="1609" customWidth="1"/>
    <col min="6" max="6" width="9" style="1609" customWidth="1"/>
    <col min="7" max="7" width="9.140625" style="1609" bestFit="1" customWidth="1"/>
    <col min="8" max="8" width="9.7109375" style="1609" bestFit="1" customWidth="1"/>
    <col min="9" max="9" width="11" style="1609" customWidth="1"/>
    <col min="10" max="10" width="10.7109375" style="1609" customWidth="1"/>
    <col min="11" max="11" width="8.140625" style="1609" customWidth="1"/>
    <col min="12" max="16384" width="10.28515625" style="1609"/>
  </cols>
  <sheetData>
    <row r="1" spans="1:11" x14ac:dyDescent="0.2">
      <c r="B1" s="1610"/>
      <c r="C1" s="2151" t="s">
        <v>2086</v>
      </c>
      <c r="D1" s="2151"/>
      <c r="E1" s="2151"/>
      <c r="F1" s="2151"/>
      <c r="G1" s="2151"/>
      <c r="H1" s="2151"/>
      <c r="I1" s="2151"/>
      <c r="J1" s="2151"/>
      <c r="K1" s="2151"/>
    </row>
    <row r="2" spans="1:11" x14ac:dyDescent="0.2">
      <c r="I2" s="1612"/>
      <c r="J2" s="1612"/>
      <c r="K2" s="1612"/>
    </row>
    <row r="3" spans="1:11" x14ac:dyDescent="0.2">
      <c r="B3" s="2150" t="s">
        <v>77</v>
      </c>
      <c r="C3" s="2150"/>
      <c r="D3" s="2150"/>
      <c r="E3" s="2150"/>
      <c r="F3" s="2150"/>
      <c r="G3" s="2150"/>
      <c r="H3" s="2150"/>
      <c r="I3" s="2150"/>
      <c r="J3" s="2150"/>
      <c r="K3" s="2150"/>
    </row>
    <row r="4" spans="1:11" x14ac:dyDescent="0.2">
      <c r="B4" s="2150" t="s">
        <v>1362</v>
      </c>
      <c r="C4" s="2150"/>
      <c r="D4" s="2150"/>
      <c r="E4" s="2150"/>
      <c r="F4" s="2150"/>
      <c r="G4" s="2150"/>
      <c r="H4" s="2150"/>
      <c r="I4" s="2150"/>
      <c r="J4" s="2150"/>
      <c r="K4" s="2150"/>
    </row>
    <row r="5" spans="1:11" x14ac:dyDescent="0.2">
      <c r="B5" s="2150" t="s">
        <v>1474</v>
      </c>
      <c r="C5" s="2150"/>
      <c r="D5" s="2150"/>
      <c r="E5" s="2150"/>
      <c r="F5" s="2150"/>
      <c r="G5" s="2150"/>
      <c r="H5" s="2150"/>
      <c r="I5" s="2150"/>
      <c r="J5" s="2150"/>
      <c r="K5" s="2150"/>
    </row>
    <row r="6" spans="1:11" x14ac:dyDescent="0.2">
      <c r="B6" s="2150" t="s">
        <v>1401</v>
      </c>
      <c r="C6" s="2150"/>
      <c r="D6" s="2150"/>
      <c r="E6" s="2150"/>
      <c r="F6" s="2150"/>
      <c r="G6" s="2150"/>
      <c r="H6" s="2150"/>
      <c r="I6" s="2150"/>
      <c r="J6" s="2150"/>
      <c r="K6" s="2150"/>
    </row>
    <row r="7" spans="1:11" x14ac:dyDescent="0.2">
      <c r="B7" s="2150" t="s">
        <v>1475</v>
      </c>
      <c r="C7" s="2150"/>
      <c r="D7" s="2150"/>
      <c r="E7" s="2150"/>
      <c r="F7" s="2150"/>
      <c r="G7" s="2150"/>
      <c r="H7" s="2150"/>
      <c r="I7" s="2150"/>
      <c r="J7" s="2150"/>
      <c r="K7" s="2150"/>
    </row>
    <row r="8" spans="1:11" x14ac:dyDescent="0.2">
      <c r="B8" s="1613"/>
      <c r="C8" s="1614"/>
      <c r="D8" s="1614"/>
      <c r="E8" s="1614"/>
      <c r="F8" s="1614"/>
      <c r="G8" s="1614"/>
      <c r="H8" s="1614"/>
      <c r="I8" s="1615"/>
      <c r="J8" s="1615"/>
      <c r="K8" s="1614"/>
    </row>
    <row r="9" spans="1:11" x14ac:dyDescent="0.2">
      <c r="A9" s="2148" t="s">
        <v>468</v>
      </c>
      <c r="B9" s="1616" t="s">
        <v>57</v>
      </c>
      <c r="C9" s="1617" t="s">
        <v>58</v>
      </c>
      <c r="D9" s="1617" t="s">
        <v>59</v>
      </c>
      <c r="E9" s="1617"/>
      <c r="F9" s="1617"/>
      <c r="G9" s="1617" t="s">
        <v>60</v>
      </c>
      <c r="H9" s="1617" t="s">
        <v>469</v>
      </c>
      <c r="I9" s="1618" t="s">
        <v>470</v>
      </c>
      <c r="J9" s="1618" t="s">
        <v>471</v>
      </c>
      <c r="K9" s="1617" t="s">
        <v>590</v>
      </c>
    </row>
    <row r="10" spans="1:11" x14ac:dyDescent="0.2">
      <c r="A10" s="2148"/>
      <c r="B10" s="2147" t="s">
        <v>85</v>
      </c>
      <c r="C10" s="2149" t="s">
        <v>1476</v>
      </c>
      <c r="D10" s="2149"/>
      <c r="E10" s="2147" t="s">
        <v>327</v>
      </c>
      <c r="F10" s="2147"/>
      <c r="G10" s="2147" t="s">
        <v>1477</v>
      </c>
      <c r="H10" s="2147"/>
      <c r="I10" s="2147" t="s">
        <v>528</v>
      </c>
      <c r="J10" s="2147"/>
      <c r="K10" s="2147" t="s">
        <v>1478</v>
      </c>
    </row>
    <row r="11" spans="1:11" s="1619" customFormat="1" ht="13.5" x14ac:dyDescent="0.25">
      <c r="A11" s="2148"/>
      <c r="B11" s="2147"/>
      <c r="C11" s="2149"/>
      <c r="D11" s="2149"/>
      <c r="E11" s="2147"/>
      <c r="F11" s="2147"/>
      <c r="G11" s="2147"/>
      <c r="H11" s="2147"/>
      <c r="I11" s="2147"/>
      <c r="J11" s="2147"/>
      <c r="K11" s="2147"/>
    </row>
    <row r="12" spans="1:11" s="1621" customFormat="1" x14ac:dyDescent="0.2">
      <c r="A12" s="2148"/>
      <c r="B12" s="2147"/>
      <c r="C12" s="1620" t="s">
        <v>1479</v>
      </c>
      <c r="D12" s="1620" t="s">
        <v>1480</v>
      </c>
      <c r="E12" s="1620" t="s">
        <v>1479</v>
      </c>
      <c r="F12" s="1620" t="s">
        <v>1480</v>
      </c>
      <c r="G12" s="1620" t="s">
        <v>1479</v>
      </c>
      <c r="H12" s="1620" t="s">
        <v>1480</v>
      </c>
      <c r="I12" s="1620" t="s">
        <v>1479</v>
      </c>
      <c r="J12" s="1620" t="s">
        <v>1480</v>
      </c>
      <c r="K12" s="2147"/>
    </row>
    <row r="13" spans="1:11" x14ac:dyDescent="0.2">
      <c r="A13" s="1615" t="s">
        <v>478</v>
      </c>
      <c r="B13" s="1622" t="s">
        <v>1481</v>
      </c>
      <c r="G13" s="1623"/>
      <c r="H13" s="1623"/>
      <c r="I13" s="1624"/>
      <c r="J13" s="1624"/>
      <c r="K13" s="1623"/>
    </row>
    <row r="14" spans="1:11" x14ac:dyDescent="0.2">
      <c r="A14" s="1615" t="s">
        <v>486</v>
      </c>
      <c r="B14" s="1625" t="s">
        <v>1482</v>
      </c>
      <c r="C14" s="1626"/>
      <c r="D14" s="1626"/>
      <c r="E14" s="1626">
        <v>1526</v>
      </c>
      <c r="F14" s="1626"/>
      <c r="G14" s="1626">
        <v>300</v>
      </c>
      <c r="H14" s="1627">
        <v>241</v>
      </c>
      <c r="I14" s="1628">
        <f t="shared" ref="I14:J69" si="0">C14+E14+G14</f>
        <v>1826</v>
      </c>
      <c r="J14" s="1628">
        <f t="shared" si="0"/>
        <v>241</v>
      </c>
      <c r="K14" s="1626">
        <f>J14/I14*100</f>
        <v>13.198247535596932</v>
      </c>
    </row>
    <row r="15" spans="1:11" x14ac:dyDescent="0.2">
      <c r="A15" s="1615" t="s">
        <v>487</v>
      </c>
      <c r="B15" s="1625" t="s">
        <v>1483</v>
      </c>
      <c r="C15" s="1626">
        <v>12651</v>
      </c>
      <c r="D15" s="1626">
        <v>25104</v>
      </c>
      <c r="E15" s="1626">
        <v>119</v>
      </c>
      <c r="F15" s="1626"/>
      <c r="G15" s="1626"/>
      <c r="H15" s="1626"/>
      <c r="I15" s="1628">
        <f>C15+E15+G15</f>
        <v>12770</v>
      </c>
      <c r="J15" s="1628">
        <f>D15+F15+H15</f>
        <v>25104</v>
      </c>
      <c r="K15" s="1626">
        <f t="shared" ref="K15:K64" si="1">J15/I15*100</f>
        <v>196.58574784651529</v>
      </c>
    </row>
    <row r="16" spans="1:11" x14ac:dyDescent="0.2">
      <c r="A16" s="1615" t="s">
        <v>488</v>
      </c>
      <c r="B16" s="1625" t="s">
        <v>1484</v>
      </c>
      <c r="C16" s="1626"/>
      <c r="D16" s="1626"/>
      <c r="E16" s="1626"/>
      <c r="F16" s="1626"/>
      <c r="G16" s="1626"/>
      <c r="H16" s="1626"/>
      <c r="I16" s="1628">
        <f t="shared" si="0"/>
        <v>0</v>
      </c>
      <c r="J16" s="1628">
        <f t="shared" si="0"/>
        <v>0</v>
      </c>
      <c r="K16" s="1626"/>
    </row>
    <row r="17" spans="1:11" x14ac:dyDescent="0.2">
      <c r="A17" s="1615" t="s">
        <v>489</v>
      </c>
      <c r="B17" s="1629" t="s">
        <v>1485</v>
      </c>
      <c r="C17" s="1630">
        <f t="shared" ref="C17" si="2">SUM(C14:C16)</f>
        <v>12651</v>
      </c>
      <c r="D17" s="1630">
        <f t="shared" ref="D17" si="3">SUM(D14:D16)</f>
        <v>25104</v>
      </c>
      <c r="E17" s="1630">
        <f>SUM(E14:E16)</f>
        <v>1645</v>
      </c>
      <c r="F17" s="1630">
        <f>SUM(F14:F16)</f>
        <v>0</v>
      </c>
      <c r="G17" s="1630">
        <f t="shared" ref="G17:H17" si="4">SUM(G14:G16)</f>
        <v>300</v>
      </c>
      <c r="H17" s="1630">
        <f t="shared" si="4"/>
        <v>241</v>
      </c>
      <c r="I17" s="1631">
        <f t="shared" si="0"/>
        <v>14596</v>
      </c>
      <c r="J17" s="1631">
        <f t="shared" si="0"/>
        <v>25345</v>
      </c>
      <c r="K17" s="1630">
        <f t="shared" si="1"/>
        <v>173.64346396272953</v>
      </c>
    </row>
    <row r="18" spans="1:11" x14ac:dyDescent="0.2">
      <c r="A18" s="1615" t="s">
        <v>490</v>
      </c>
      <c r="B18" s="1625" t="s">
        <v>1486</v>
      </c>
      <c r="C18" s="1626">
        <v>16384308</v>
      </c>
      <c r="D18" s="1626">
        <v>17179190</v>
      </c>
      <c r="E18" s="1626"/>
      <c r="F18" s="1626"/>
      <c r="G18" s="1626">
        <v>440</v>
      </c>
      <c r="H18" s="1626">
        <v>416</v>
      </c>
      <c r="I18" s="1628">
        <f t="shared" si="0"/>
        <v>16384748</v>
      </c>
      <c r="J18" s="1628">
        <f t="shared" si="0"/>
        <v>17179606</v>
      </c>
      <c r="K18" s="1626">
        <f t="shared" si="1"/>
        <v>104.85120674422335</v>
      </c>
    </row>
    <row r="19" spans="1:11" x14ac:dyDescent="0.2">
      <c r="A19" s="1615" t="s">
        <v>491</v>
      </c>
      <c r="B19" s="1625" t="s">
        <v>1487</v>
      </c>
      <c r="C19" s="1626">
        <v>133588</v>
      </c>
      <c r="D19" s="1626">
        <v>116587</v>
      </c>
      <c r="E19" s="1626">
        <v>3768</v>
      </c>
      <c r="F19" s="1626">
        <v>2333</v>
      </c>
      <c r="G19" s="1626">
        <v>53960</v>
      </c>
      <c r="H19" s="1626">
        <v>62129</v>
      </c>
      <c r="I19" s="1628">
        <f t="shared" si="0"/>
        <v>191316</v>
      </c>
      <c r="J19" s="1628">
        <f t="shared" si="0"/>
        <v>181049</v>
      </c>
      <c r="K19" s="1626">
        <f t="shared" si="1"/>
        <v>94.633485960400606</v>
      </c>
    </row>
    <row r="20" spans="1:11" x14ac:dyDescent="0.2">
      <c r="A20" s="1615" t="s">
        <v>492</v>
      </c>
      <c r="B20" s="1625" t="s">
        <v>1488</v>
      </c>
      <c r="C20" s="1632"/>
      <c r="D20" s="1632"/>
      <c r="E20" s="1632"/>
      <c r="F20" s="1632"/>
      <c r="G20" s="1632"/>
      <c r="H20" s="1632"/>
      <c r="I20" s="1628">
        <f t="shared" si="0"/>
        <v>0</v>
      </c>
      <c r="J20" s="1628">
        <f t="shared" si="0"/>
        <v>0</v>
      </c>
      <c r="K20" s="1626"/>
    </row>
    <row r="21" spans="1:11" x14ac:dyDescent="0.2">
      <c r="A21" s="1615" t="s">
        <v>493</v>
      </c>
      <c r="B21" s="1625" t="s">
        <v>1489</v>
      </c>
      <c r="C21" s="1626">
        <v>671468</v>
      </c>
      <c r="D21" s="1626">
        <v>179547</v>
      </c>
      <c r="E21" s="1626"/>
      <c r="F21" s="1626"/>
      <c r="G21" s="1626"/>
      <c r="H21" s="1626">
        <v>3454</v>
      </c>
      <c r="I21" s="1628">
        <f t="shared" si="0"/>
        <v>671468</v>
      </c>
      <c r="J21" s="1628">
        <f t="shared" si="0"/>
        <v>183001</v>
      </c>
      <c r="K21" s="1626">
        <f t="shared" si="1"/>
        <v>27.253867645219131</v>
      </c>
    </row>
    <row r="22" spans="1:11" s="1621" customFormat="1" x14ac:dyDescent="0.2">
      <c r="A22" s="1615" t="s">
        <v>529</v>
      </c>
      <c r="B22" s="1625" t="s">
        <v>1490</v>
      </c>
      <c r="C22" s="1626"/>
      <c r="D22" s="1626"/>
      <c r="E22" s="1626"/>
      <c r="F22" s="1626"/>
      <c r="G22" s="1626"/>
      <c r="H22" s="1626"/>
      <c r="I22" s="1628">
        <f t="shared" si="0"/>
        <v>0</v>
      </c>
      <c r="J22" s="1628">
        <f t="shared" si="0"/>
        <v>0</v>
      </c>
      <c r="K22" s="1626"/>
    </row>
    <row r="23" spans="1:11" x14ac:dyDescent="0.2">
      <c r="A23" s="1615" t="s">
        <v>530</v>
      </c>
      <c r="B23" s="1629" t="s">
        <v>1491</v>
      </c>
      <c r="C23" s="1630">
        <f t="shared" ref="C23:D23" si="5">SUM(C18:C22)</f>
        <v>17189364</v>
      </c>
      <c r="D23" s="1630">
        <f t="shared" si="5"/>
        <v>17475324</v>
      </c>
      <c r="E23" s="1630">
        <f>SUM(E18:E22)</f>
        <v>3768</v>
      </c>
      <c r="F23" s="1630">
        <f>SUM(F18:F22)</f>
        <v>2333</v>
      </c>
      <c r="G23" s="1630">
        <f t="shared" ref="G23:H23" si="6">SUM(G18:G22)</f>
        <v>54400</v>
      </c>
      <c r="H23" s="1630">
        <f t="shared" si="6"/>
        <v>65999</v>
      </c>
      <c r="I23" s="1631">
        <f>C23+E23+G23</f>
        <v>17247532</v>
      </c>
      <c r="J23" s="1631">
        <f>D23+F23+H23</f>
        <v>17543656</v>
      </c>
      <c r="K23" s="1630">
        <f t="shared" si="1"/>
        <v>101.71690651160989</v>
      </c>
    </row>
    <row r="24" spans="1:11" x14ac:dyDescent="0.2">
      <c r="A24" s="1615" t="s">
        <v>531</v>
      </c>
      <c r="B24" s="1625" t="s">
        <v>1492</v>
      </c>
      <c r="C24" s="1626">
        <v>832977</v>
      </c>
      <c r="D24" s="1626">
        <v>832797</v>
      </c>
      <c r="E24" s="1626"/>
      <c r="F24" s="1626"/>
      <c r="G24" s="1626"/>
      <c r="H24" s="1626"/>
      <c r="I24" s="1628">
        <f t="shared" si="0"/>
        <v>832977</v>
      </c>
      <c r="J24" s="1628">
        <f t="shared" si="0"/>
        <v>832797</v>
      </c>
      <c r="K24" s="1626">
        <f t="shared" si="1"/>
        <v>99.978390759888924</v>
      </c>
    </row>
    <row r="25" spans="1:11" x14ac:dyDescent="0.2">
      <c r="A25" s="1615" t="s">
        <v>532</v>
      </c>
      <c r="B25" s="1633" t="s">
        <v>1493</v>
      </c>
      <c r="C25" s="1632"/>
      <c r="D25" s="1632"/>
      <c r="E25" s="1632"/>
      <c r="F25" s="1632"/>
      <c r="G25" s="1632"/>
      <c r="H25" s="1632"/>
      <c r="I25" s="1628">
        <f t="shared" si="0"/>
        <v>0</v>
      </c>
      <c r="J25" s="1628">
        <f t="shared" si="0"/>
        <v>0</v>
      </c>
      <c r="K25" s="1626"/>
    </row>
    <row r="26" spans="1:11" x14ac:dyDescent="0.2">
      <c r="A26" s="1615" t="s">
        <v>533</v>
      </c>
      <c r="B26" s="1625" t="s">
        <v>1494</v>
      </c>
      <c r="C26" s="1632"/>
      <c r="D26" s="1626">
        <v>787438</v>
      </c>
      <c r="E26" s="1632"/>
      <c r="F26" s="1632"/>
      <c r="G26" s="1632"/>
      <c r="H26" s="1632"/>
      <c r="I26" s="1628">
        <f t="shared" si="0"/>
        <v>0</v>
      </c>
      <c r="J26" s="1628">
        <f t="shared" si="0"/>
        <v>787438</v>
      </c>
      <c r="K26" s="1626"/>
    </row>
    <row r="27" spans="1:11" x14ac:dyDescent="0.2">
      <c r="A27" s="1615" t="s">
        <v>534</v>
      </c>
      <c r="B27" s="1629" t="s">
        <v>1495</v>
      </c>
      <c r="C27" s="1630">
        <f>C24+C25+C26</f>
        <v>832977</v>
      </c>
      <c r="D27" s="1630">
        <f>D24+D25+D26</f>
        <v>1620235</v>
      </c>
      <c r="E27" s="1626"/>
      <c r="F27" s="1626"/>
      <c r="G27" s="1626"/>
      <c r="H27" s="1626"/>
      <c r="I27" s="1631">
        <f t="shared" si="0"/>
        <v>832977</v>
      </c>
      <c r="J27" s="1631">
        <f t="shared" si="0"/>
        <v>1620235</v>
      </c>
      <c r="K27" s="1630">
        <f t="shared" si="1"/>
        <v>194.51137306312179</v>
      </c>
    </row>
    <row r="28" spans="1:11" s="1634" customFormat="1" x14ac:dyDescent="0.2">
      <c r="A28" s="1615" t="s">
        <v>535</v>
      </c>
      <c r="B28" s="1625" t="s">
        <v>1496</v>
      </c>
      <c r="C28" s="1626"/>
      <c r="D28" s="1626"/>
      <c r="E28" s="1626"/>
      <c r="F28" s="1626"/>
      <c r="G28" s="1626"/>
      <c r="H28" s="1626"/>
      <c r="I28" s="1628">
        <f t="shared" si="0"/>
        <v>0</v>
      </c>
      <c r="J28" s="1628">
        <f t="shared" si="0"/>
        <v>0</v>
      </c>
      <c r="K28" s="1626"/>
    </row>
    <row r="29" spans="1:11" s="1634" customFormat="1" x14ac:dyDescent="0.2">
      <c r="A29" s="1615" t="s">
        <v>536</v>
      </c>
      <c r="B29" s="1625" t="s">
        <v>1497</v>
      </c>
      <c r="C29" s="1626"/>
      <c r="D29" s="1626"/>
      <c r="E29" s="1626"/>
      <c r="F29" s="1626"/>
      <c r="G29" s="1626"/>
      <c r="H29" s="1626"/>
      <c r="I29" s="1628">
        <f t="shared" si="0"/>
        <v>0</v>
      </c>
      <c r="J29" s="1628">
        <f t="shared" si="0"/>
        <v>0</v>
      </c>
      <c r="K29" s="1626"/>
    </row>
    <row r="30" spans="1:11" s="1621" customFormat="1" x14ac:dyDescent="0.2">
      <c r="A30" s="1615" t="s">
        <v>538</v>
      </c>
      <c r="B30" s="1629" t="s">
        <v>1498</v>
      </c>
      <c r="C30" s="1626"/>
      <c r="D30" s="1626"/>
      <c r="E30" s="1626"/>
      <c r="F30" s="1626"/>
      <c r="G30" s="1626"/>
      <c r="H30" s="1626"/>
      <c r="I30" s="1628">
        <f t="shared" si="0"/>
        <v>0</v>
      </c>
      <c r="J30" s="1628">
        <f t="shared" si="0"/>
        <v>0</v>
      </c>
      <c r="K30" s="1626"/>
    </row>
    <row r="31" spans="1:11" ht="27" x14ac:dyDescent="0.25">
      <c r="A31" s="1615" t="s">
        <v>539</v>
      </c>
      <c r="B31" s="1635" t="s">
        <v>1499</v>
      </c>
      <c r="C31" s="1636">
        <f>C17+C23+C27+C30</f>
        <v>18034992</v>
      </c>
      <c r="D31" s="1636">
        <f>D17+D23+D27+D30</f>
        <v>19120663</v>
      </c>
      <c r="E31" s="1636">
        <f>E17+E23+E27+E30</f>
        <v>5413</v>
      </c>
      <c r="F31" s="1636">
        <f>F17+F23+F27+F30</f>
        <v>2333</v>
      </c>
      <c r="G31" s="1636">
        <f t="shared" ref="G31:H31" si="7">G17+G23+G27+G30</f>
        <v>54700</v>
      </c>
      <c r="H31" s="1636">
        <f t="shared" si="7"/>
        <v>66240</v>
      </c>
      <c r="I31" s="1637">
        <f t="shared" si="0"/>
        <v>18095105</v>
      </c>
      <c r="J31" s="1637">
        <f t="shared" si="0"/>
        <v>19189236</v>
      </c>
      <c r="K31" s="1636">
        <f t="shared" si="1"/>
        <v>106.04655789507716</v>
      </c>
    </row>
    <row r="32" spans="1:11" x14ac:dyDescent="0.2">
      <c r="A32" s="1615" t="s">
        <v>540</v>
      </c>
      <c r="B32" s="1625" t="s">
        <v>1500</v>
      </c>
      <c r="C32" s="1626">
        <v>465</v>
      </c>
      <c r="D32" s="1626">
        <v>654</v>
      </c>
      <c r="E32" s="1626"/>
      <c r="F32" s="1626"/>
      <c r="G32" s="1632">
        <v>5056</v>
      </c>
      <c r="H32" s="1632">
        <v>5567</v>
      </c>
      <c r="I32" s="1628">
        <f t="shared" si="0"/>
        <v>5521</v>
      </c>
      <c r="J32" s="1628">
        <f t="shared" si="0"/>
        <v>6221</v>
      </c>
      <c r="K32" s="1626">
        <f t="shared" si="1"/>
        <v>112.67886252490491</v>
      </c>
    </row>
    <row r="33" spans="1:11" x14ac:dyDescent="0.2">
      <c r="A33" s="1615" t="s">
        <v>541</v>
      </c>
      <c r="B33" s="1625" t="s">
        <v>1501</v>
      </c>
      <c r="C33" s="1632"/>
      <c r="D33" s="1632"/>
      <c r="E33" s="1632"/>
      <c r="F33" s="1632"/>
      <c r="G33" s="1632"/>
      <c r="H33" s="1632"/>
      <c r="I33" s="1628">
        <f t="shared" si="0"/>
        <v>0</v>
      </c>
      <c r="J33" s="1628">
        <f t="shared" si="0"/>
        <v>0</v>
      </c>
      <c r="K33" s="1626"/>
    </row>
    <row r="34" spans="1:11" x14ac:dyDescent="0.2">
      <c r="A34" s="1615" t="s">
        <v>542</v>
      </c>
      <c r="B34" s="1625" t="s">
        <v>1502</v>
      </c>
      <c r="C34" s="1626"/>
      <c r="D34" s="1626"/>
      <c r="E34" s="1626"/>
      <c r="F34" s="1626"/>
      <c r="G34" s="1626"/>
      <c r="H34" s="1626"/>
      <c r="I34" s="1628">
        <f t="shared" si="0"/>
        <v>0</v>
      </c>
      <c r="J34" s="1628">
        <f t="shared" si="0"/>
        <v>0</v>
      </c>
      <c r="K34" s="1626"/>
    </row>
    <row r="35" spans="1:11" x14ac:dyDescent="0.2">
      <c r="A35" s="1615" t="s">
        <v>543</v>
      </c>
      <c r="B35" s="1625" t="s">
        <v>1503</v>
      </c>
      <c r="C35" s="1626"/>
      <c r="D35" s="1626"/>
      <c r="E35" s="1626"/>
      <c r="F35" s="1626"/>
      <c r="G35" s="1626"/>
      <c r="H35" s="1626"/>
      <c r="I35" s="1628">
        <f t="shared" si="0"/>
        <v>0</v>
      </c>
      <c r="J35" s="1628">
        <f t="shared" si="0"/>
        <v>0</v>
      </c>
      <c r="K35" s="1626"/>
    </row>
    <row r="36" spans="1:11" x14ac:dyDescent="0.2">
      <c r="A36" s="1615" t="s">
        <v>544</v>
      </c>
      <c r="B36" s="1625" t="s">
        <v>1504</v>
      </c>
      <c r="C36" s="1626"/>
      <c r="D36" s="1626"/>
      <c r="E36" s="1626"/>
      <c r="F36" s="1626"/>
      <c r="G36" s="1626"/>
      <c r="H36" s="1626"/>
      <c r="I36" s="1628">
        <f t="shared" si="0"/>
        <v>0</v>
      </c>
      <c r="J36" s="1628">
        <f t="shared" si="0"/>
        <v>0</v>
      </c>
      <c r="K36" s="1626"/>
    </row>
    <row r="37" spans="1:11" x14ac:dyDescent="0.2">
      <c r="A37" s="1615" t="s">
        <v>545</v>
      </c>
      <c r="B37" s="1629" t="s">
        <v>1505</v>
      </c>
      <c r="C37" s="1630">
        <f>SUM(C32:C36)</f>
        <v>465</v>
      </c>
      <c r="D37" s="1630">
        <f>SUM(D32:D36)</f>
        <v>654</v>
      </c>
      <c r="E37" s="1630"/>
      <c r="F37" s="1630"/>
      <c r="G37" s="1630">
        <f t="shared" ref="G37:H37" si="8">SUM(G32:G36)</f>
        <v>5056</v>
      </c>
      <c r="H37" s="1630">
        <f t="shared" si="8"/>
        <v>5567</v>
      </c>
      <c r="I37" s="1631">
        <f t="shared" si="0"/>
        <v>5521</v>
      </c>
      <c r="J37" s="1631">
        <f t="shared" si="0"/>
        <v>6221</v>
      </c>
      <c r="K37" s="1630">
        <f t="shared" si="1"/>
        <v>112.67886252490491</v>
      </c>
    </row>
    <row r="38" spans="1:11" s="1621" customFormat="1" x14ac:dyDescent="0.2">
      <c r="A38" s="1615" t="s">
        <v>563</v>
      </c>
      <c r="B38" s="1625" t="s">
        <v>1506</v>
      </c>
      <c r="C38" s="1626"/>
      <c r="D38" s="1626"/>
      <c r="E38" s="1626"/>
      <c r="F38" s="1626"/>
      <c r="G38" s="1626"/>
      <c r="H38" s="1626"/>
      <c r="I38" s="1628">
        <f t="shared" si="0"/>
        <v>0</v>
      </c>
      <c r="J38" s="1628">
        <f t="shared" si="0"/>
        <v>0</v>
      </c>
      <c r="K38" s="1626"/>
    </row>
    <row r="39" spans="1:11" x14ac:dyDescent="0.2">
      <c r="A39" s="1615" t="s">
        <v>564</v>
      </c>
      <c r="B39" s="1625" t="s">
        <v>1507</v>
      </c>
      <c r="C39" s="1626"/>
      <c r="D39" s="1626"/>
      <c r="E39" s="1626"/>
      <c r="F39" s="1626"/>
      <c r="G39" s="1626"/>
      <c r="H39" s="1626"/>
      <c r="I39" s="1628">
        <f t="shared" si="0"/>
        <v>0</v>
      </c>
      <c r="J39" s="1628">
        <f t="shared" si="0"/>
        <v>0</v>
      </c>
      <c r="K39" s="1626"/>
    </row>
    <row r="40" spans="1:11" x14ac:dyDescent="0.2">
      <c r="A40" s="1615" t="s">
        <v>565</v>
      </c>
      <c r="B40" s="1629" t="s">
        <v>1508</v>
      </c>
      <c r="C40" s="1626"/>
      <c r="D40" s="1626"/>
      <c r="E40" s="1626"/>
      <c r="F40" s="1626"/>
      <c r="G40" s="1626"/>
      <c r="H40" s="1626"/>
      <c r="I40" s="1628">
        <f t="shared" si="0"/>
        <v>0</v>
      </c>
      <c r="J40" s="1628">
        <f t="shared" si="0"/>
        <v>0</v>
      </c>
      <c r="K40" s="1626"/>
    </row>
    <row r="41" spans="1:11" ht="13.5" x14ac:dyDescent="0.25">
      <c r="A41" s="1615" t="s">
        <v>566</v>
      </c>
      <c r="B41" s="1638" t="s">
        <v>1509</v>
      </c>
      <c r="C41" s="1639">
        <f>SUM(C37:C40)</f>
        <v>465</v>
      </c>
      <c r="D41" s="1639">
        <f>SUM(D37:D40)</f>
        <v>654</v>
      </c>
      <c r="E41" s="1639"/>
      <c r="F41" s="1639"/>
      <c r="G41" s="1639">
        <f t="shared" ref="G41:H41" si="9">SUM(G37:G40)</f>
        <v>5056</v>
      </c>
      <c r="H41" s="1639">
        <f t="shared" si="9"/>
        <v>5567</v>
      </c>
      <c r="I41" s="1637">
        <f t="shared" si="0"/>
        <v>5521</v>
      </c>
      <c r="J41" s="1637">
        <f t="shared" si="0"/>
        <v>6221</v>
      </c>
      <c r="K41" s="1636">
        <f t="shared" si="1"/>
        <v>112.67886252490491</v>
      </c>
    </row>
    <row r="42" spans="1:11" s="1621" customFormat="1" ht="13.5" x14ac:dyDescent="0.25">
      <c r="A42" s="1615" t="s">
        <v>567</v>
      </c>
      <c r="B42" s="1625" t="s">
        <v>1510</v>
      </c>
      <c r="C42" s="1626"/>
      <c r="D42" s="1626"/>
      <c r="E42" s="1626"/>
      <c r="F42" s="1626"/>
      <c r="G42" s="1626"/>
      <c r="H42" s="1626"/>
      <c r="I42" s="1628">
        <f t="shared" si="0"/>
        <v>0</v>
      </c>
      <c r="J42" s="1628">
        <f t="shared" si="0"/>
        <v>0</v>
      </c>
      <c r="K42" s="1636"/>
    </row>
    <row r="43" spans="1:11" s="1621" customFormat="1" ht="13.5" x14ac:dyDescent="0.25">
      <c r="A43" s="1615" t="s">
        <v>568</v>
      </c>
      <c r="B43" s="1625" t="s">
        <v>1511</v>
      </c>
      <c r="C43" s="1626"/>
      <c r="D43" s="1626"/>
      <c r="E43" s="1626"/>
      <c r="F43" s="1626"/>
      <c r="G43" s="1626"/>
      <c r="H43" s="1626"/>
      <c r="I43" s="1628">
        <f t="shared" si="0"/>
        <v>0</v>
      </c>
      <c r="J43" s="1628">
        <f t="shared" si="0"/>
        <v>0</v>
      </c>
      <c r="K43" s="1636"/>
    </row>
    <row r="44" spans="1:11" s="1619" customFormat="1" ht="13.5" x14ac:dyDescent="0.25">
      <c r="A44" s="1615" t="s">
        <v>569</v>
      </c>
      <c r="B44" s="1629" t="s">
        <v>1512</v>
      </c>
      <c r="C44" s="1630">
        <f>C42+C43</f>
        <v>0</v>
      </c>
      <c r="D44" s="1630">
        <f>D42+D43</f>
        <v>0</v>
      </c>
      <c r="E44" s="1630"/>
      <c r="F44" s="1630"/>
      <c r="G44" s="1630"/>
      <c r="H44" s="1630"/>
      <c r="I44" s="1631">
        <f t="shared" si="0"/>
        <v>0</v>
      </c>
      <c r="J44" s="1631">
        <f t="shared" si="0"/>
        <v>0</v>
      </c>
      <c r="K44" s="1636"/>
    </row>
    <row r="45" spans="1:11" s="1621" customFormat="1" x14ac:dyDescent="0.2">
      <c r="A45" s="1615" t="s">
        <v>570</v>
      </c>
      <c r="B45" s="1625" t="s">
        <v>1513</v>
      </c>
      <c r="C45" s="1626">
        <v>407</v>
      </c>
      <c r="D45" s="1626">
        <v>541</v>
      </c>
      <c r="E45" s="1626">
        <v>180</v>
      </c>
      <c r="F45" s="1626">
        <v>215</v>
      </c>
      <c r="G45" s="1626">
        <v>1968</v>
      </c>
      <c r="H45" s="1626">
        <v>1436</v>
      </c>
      <c r="I45" s="1628">
        <f t="shared" si="0"/>
        <v>2555</v>
      </c>
      <c r="J45" s="1628">
        <f t="shared" si="0"/>
        <v>2192</v>
      </c>
      <c r="K45" s="1626">
        <f t="shared" si="1"/>
        <v>85.792563600782785</v>
      </c>
    </row>
    <row r="46" spans="1:11" s="1621" customFormat="1" x14ac:dyDescent="0.2">
      <c r="A46" s="1615" t="s">
        <v>571</v>
      </c>
      <c r="B46" s="1625" t="s">
        <v>1514</v>
      </c>
      <c r="C46" s="1626"/>
      <c r="D46" s="1626"/>
      <c r="E46" s="1626"/>
      <c r="F46" s="1626"/>
      <c r="G46" s="1626"/>
      <c r="H46" s="1626"/>
      <c r="I46" s="1628">
        <f t="shared" si="0"/>
        <v>0</v>
      </c>
      <c r="J46" s="1628">
        <f t="shared" si="0"/>
        <v>0</v>
      </c>
      <c r="K46" s="1630"/>
    </row>
    <row r="47" spans="1:11" s="1621" customFormat="1" x14ac:dyDescent="0.2">
      <c r="A47" s="1615" t="s">
        <v>622</v>
      </c>
      <c r="B47" s="1625" t="s">
        <v>1515</v>
      </c>
      <c r="C47" s="1626"/>
      <c r="D47" s="1626"/>
      <c r="E47" s="1626"/>
      <c r="F47" s="1626"/>
      <c r="G47" s="1626"/>
      <c r="H47" s="1626"/>
      <c r="I47" s="1628">
        <f t="shared" si="0"/>
        <v>0</v>
      </c>
      <c r="J47" s="1628">
        <f t="shared" si="0"/>
        <v>0</v>
      </c>
      <c r="K47" s="1630"/>
    </row>
    <row r="48" spans="1:11" s="1634" customFormat="1" x14ac:dyDescent="0.2">
      <c r="A48" s="1615" t="s">
        <v>623</v>
      </c>
      <c r="B48" s="1629" t="s">
        <v>1516</v>
      </c>
      <c r="C48" s="1630">
        <f>C45+C46+C47</f>
        <v>407</v>
      </c>
      <c r="D48" s="1630">
        <f>D45+D46+D47</f>
        <v>541</v>
      </c>
      <c r="E48" s="1630">
        <f t="shared" ref="E48:H48" si="10">E45+E46+E47</f>
        <v>180</v>
      </c>
      <c r="F48" s="1630">
        <f t="shared" si="10"/>
        <v>215</v>
      </c>
      <c r="G48" s="1630">
        <f t="shared" si="10"/>
        <v>1968</v>
      </c>
      <c r="H48" s="1630">
        <f t="shared" si="10"/>
        <v>1436</v>
      </c>
      <c r="I48" s="1631">
        <f t="shared" si="0"/>
        <v>2555</v>
      </c>
      <c r="J48" s="1631">
        <f t="shared" si="0"/>
        <v>2192</v>
      </c>
      <c r="K48" s="1630">
        <f t="shared" si="1"/>
        <v>85.792563600782785</v>
      </c>
    </row>
    <row r="49" spans="1:11" x14ac:dyDescent="0.2">
      <c r="A49" s="1615" t="s">
        <v>624</v>
      </c>
      <c r="B49" s="1625" t="s">
        <v>1517</v>
      </c>
      <c r="C49" s="1626">
        <v>757888</v>
      </c>
      <c r="D49" s="1626">
        <v>1276919</v>
      </c>
      <c r="E49" s="1626">
        <v>13691</v>
      </c>
      <c r="F49" s="1626">
        <v>17146</v>
      </c>
      <c r="G49" s="1626">
        <v>16517</v>
      </c>
      <c r="H49" s="1626">
        <v>17243</v>
      </c>
      <c r="I49" s="1628">
        <f t="shared" si="0"/>
        <v>788096</v>
      </c>
      <c r="J49" s="1628">
        <f t="shared" si="0"/>
        <v>1311308</v>
      </c>
      <c r="K49" s="1626">
        <f t="shared" si="1"/>
        <v>166.38937388338476</v>
      </c>
    </row>
    <row r="50" spans="1:11" x14ac:dyDescent="0.2">
      <c r="A50" s="1615" t="s">
        <v>625</v>
      </c>
      <c r="B50" s="1625" t="s">
        <v>1518</v>
      </c>
      <c r="C50" s="1626">
        <v>91859</v>
      </c>
      <c r="D50" s="1626">
        <v>717202</v>
      </c>
      <c r="E50" s="1626"/>
      <c r="F50" s="1626"/>
      <c r="G50" s="1626"/>
      <c r="H50" s="1626"/>
      <c r="I50" s="1628">
        <f t="shared" si="0"/>
        <v>91859</v>
      </c>
      <c r="J50" s="1628">
        <f t="shared" si="0"/>
        <v>717202</v>
      </c>
      <c r="K50" s="1630"/>
    </row>
    <row r="51" spans="1:11" s="1634" customFormat="1" x14ac:dyDescent="0.2">
      <c r="A51" s="1615" t="s">
        <v>115</v>
      </c>
      <c r="B51" s="1629" t="s">
        <v>1519</v>
      </c>
      <c r="C51" s="1630">
        <f>C49+C50</f>
        <v>849747</v>
      </c>
      <c r="D51" s="1630">
        <f>D49+D50</f>
        <v>1994121</v>
      </c>
      <c r="E51" s="1630">
        <f t="shared" ref="E51:H51" si="11">E49+E50</f>
        <v>13691</v>
      </c>
      <c r="F51" s="1630">
        <f t="shared" si="11"/>
        <v>17146</v>
      </c>
      <c r="G51" s="1630">
        <f t="shared" si="11"/>
        <v>16517</v>
      </c>
      <c r="H51" s="1630">
        <f t="shared" si="11"/>
        <v>17243</v>
      </c>
      <c r="I51" s="1631">
        <f t="shared" si="0"/>
        <v>879955</v>
      </c>
      <c r="J51" s="1631">
        <f t="shared" si="0"/>
        <v>2028510</v>
      </c>
      <c r="K51" s="1630">
        <f t="shared" si="1"/>
        <v>230.52428817382707</v>
      </c>
    </row>
    <row r="52" spans="1:11" x14ac:dyDescent="0.2">
      <c r="A52" s="1615" t="s">
        <v>650</v>
      </c>
      <c r="B52" s="1625" t="s">
        <v>1520</v>
      </c>
      <c r="C52" s="1626">
        <v>2632</v>
      </c>
      <c r="D52" s="1626">
        <v>2635</v>
      </c>
      <c r="E52" s="1626"/>
      <c r="F52" s="1626"/>
      <c r="G52" s="1626"/>
      <c r="H52" s="1626"/>
      <c r="I52" s="1628">
        <f t="shared" si="0"/>
        <v>2632</v>
      </c>
      <c r="J52" s="1628">
        <f t="shared" si="0"/>
        <v>2635</v>
      </c>
      <c r="K52" s="1626"/>
    </row>
    <row r="53" spans="1:11" x14ac:dyDescent="0.2">
      <c r="A53" s="1615" t="s">
        <v>651</v>
      </c>
      <c r="B53" s="1625" t="s">
        <v>1521</v>
      </c>
      <c r="C53" s="1626"/>
      <c r="D53" s="1626"/>
      <c r="E53" s="1626"/>
      <c r="F53" s="1626"/>
      <c r="G53" s="1626"/>
      <c r="H53" s="1626"/>
      <c r="I53" s="1628">
        <f t="shared" si="0"/>
        <v>0</v>
      </c>
      <c r="J53" s="1628">
        <f t="shared" si="0"/>
        <v>0</v>
      </c>
      <c r="K53" s="1626"/>
    </row>
    <row r="54" spans="1:11" s="1634" customFormat="1" x14ac:dyDescent="0.2">
      <c r="A54" s="1615" t="s">
        <v>118</v>
      </c>
      <c r="B54" s="1629" t="s">
        <v>1522</v>
      </c>
      <c r="C54" s="1630">
        <f>C52+C53</f>
        <v>2632</v>
      </c>
      <c r="D54" s="1630">
        <f>D52+D53</f>
        <v>2635</v>
      </c>
      <c r="E54" s="1630"/>
      <c r="F54" s="1630"/>
      <c r="G54" s="1630"/>
      <c r="H54" s="1630"/>
      <c r="I54" s="1631">
        <f t="shared" si="0"/>
        <v>2632</v>
      </c>
      <c r="J54" s="1631">
        <f t="shared" si="0"/>
        <v>2635</v>
      </c>
      <c r="K54" s="1630"/>
    </row>
    <row r="55" spans="1:11" ht="13.5" x14ac:dyDescent="0.25">
      <c r="A55" s="1615" t="s">
        <v>119</v>
      </c>
      <c r="B55" s="1635" t="s">
        <v>1523</v>
      </c>
      <c r="C55" s="1636">
        <f>C48+C51+C54+C44</f>
        <v>852786</v>
      </c>
      <c r="D55" s="1636">
        <f>D48+D51+D54+D44</f>
        <v>1997297</v>
      </c>
      <c r="E55" s="1636">
        <f t="shared" ref="E55:H55" si="12">E48+E51+E54</f>
        <v>13871</v>
      </c>
      <c r="F55" s="1636">
        <f t="shared" si="12"/>
        <v>17361</v>
      </c>
      <c r="G55" s="1636">
        <f t="shared" si="12"/>
        <v>18485</v>
      </c>
      <c r="H55" s="1636">
        <f t="shared" si="12"/>
        <v>18679</v>
      </c>
      <c r="I55" s="1637">
        <f>C55+E55+G55</f>
        <v>885142</v>
      </c>
      <c r="J55" s="1637">
        <f>D55+F55+H55</f>
        <v>2033337</v>
      </c>
      <c r="K55" s="1636">
        <f t="shared" si="1"/>
        <v>229.71873439515917</v>
      </c>
    </row>
    <row r="56" spans="1:11" ht="26.25" x14ac:dyDescent="0.25">
      <c r="A56" s="1615" t="s">
        <v>120</v>
      </c>
      <c r="B56" s="1625" t="s">
        <v>1524</v>
      </c>
      <c r="C56" s="1626"/>
      <c r="D56" s="1626">
        <v>1281</v>
      </c>
      <c r="E56" s="1626"/>
      <c r="F56" s="1626"/>
      <c r="G56" s="1626"/>
      <c r="H56" s="1626"/>
      <c r="I56" s="1628">
        <f t="shared" si="0"/>
        <v>0</v>
      </c>
      <c r="J56" s="1628">
        <f t="shared" si="0"/>
        <v>1281</v>
      </c>
      <c r="K56" s="1636"/>
    </row>
    <row r="57" spans="1:11" ht="25.5" x14ac:dyDescent="0.2">
      <c r="A57" s="1615" t="s">
        <v>123</v>
      </c>
      <c r="B57" s="1625" t="s">
        <v>1525</v>
      </c>
      <c r="C57" s="1626"/>
      <c r="D57" s="1626"/>
      <c r="E57" s="1626"/>
      <c r="F57" s="1626"/>
      <c r="G57" s="1626"/>
      <c r="H57" s="1626"/>
      <c r="I57" s="1628">
        <f t="shared" si="0"/>
        <v>0</v>
      </c>
      <c r="J57" s="1628">
        <f t="shared" si="0"/>
        <v>0</v>
      </c>
      <c r="K57" s="1626"/>
    </row>
    <row r="58" spans="1:11" x14ac:dyDescent="0.2">
      <c r="A58" s="1615" t="s">
        <v>126</v>
      </c>
      <c r="B58" s="1625" t="s">
        <v>1526</v>
      </c>
      <c r="C58" s="1626">
        <v>241077</v>
      </c>
      <c r="D58" s="1626">
        <v>298240</v>
      </c>
      <c r="E58" s="1626"/>
      <c r="F58" s="1626"/>
      <c r="G58" s="1626"/>
      <c r="H58" s="1626"/>
      <c r="I58" s="1628">
        <f t="shared" si="0"/>
        <v>241077</v>
      </c>
      <c r="J58" s="1628">
        <f t="shared" si="0"/>
        <v>298240</v>
      </c>
      <c r="K58" s="1626">
        <f t="shared" si="1"/>
        <v>123.71151125988793</v>
      </c>
    </row>
    <row r="59" spans="1:11" x14ac:dyDescent="0.2">
      <c r="A59" s="1615" t="s">
        <v>127</v>
      </c>
      <c r="B59" s="1625" t="s">
        <v>1527</v>
      </c>
      <c r="C59" s="1626">
        <v>1426</v>
      </c>
      <c r="D59" s="1626">
        <v>1153</v>
      </c>
      <c r="E59" s="1626"/>
      <c r="F59" s="1626"/>
      <c r="G59" s="1626">
        <v>1925</v>
      </c>
      <c r="H59" s="1626">
        <v>3684</v>
      </c>
      <c r="I59" s="1628">
        <f t="shared" si="0"/>
        <v>3351</v>
      </c>
      <c r="J59" s="1628">
        <f t="shared" si="0"/>
        <v>4837</v>
      </c>
      <c r="K59" s="1626">
        <f t="shared" si="1"/>
        <v>144.34497165025365</v>
      </c>
    </row>
    <row r="60" spans="1:11" x14ac:dyDescent="0.2">
      <c r="A60" s="1615" t="s">
        <v>128</v>
      </c>
      <c r="B60" s="1625" t="s">
        <v>1528</v>
      </c>
      <c r="C60" s="1626">
        <v>4911</v>
      </c>
      <c r="D60" s="1626">
        <v>3841</v>
      </c>
      <c r="E60" s="1626"/>
      <c r="F60" s="1626"/>
      <c r="G60" s="1626"/>
      <c r="H60" s="1626"/>
      <c r="I60" s="1628">
        <f t="shared" si="0"/>
        <v>4911</v>
      </c>
      <c r="J60" s="1628">
        <f t="shared" si="0"/>
        <v>3841</v>
      </c>
      <c r="K60" s="1626">
        <f t="shared" si="1"/>
        <v>78.212176746080232</v>
      </c>
    </row>
    <row r="61" spans="1:11" ht="25.5" x14ac:dyDescent="0.2">
      <c r="A61" s="1615" t="s">
        <v>129</v>
      </c>
      <c r="B61" s="1625" t="s">
        <v>1529</v>
      </c>
      <c r="C61" s="1626"/>
      <c r="D61" s="1626"/>
      <c r="E61" s="1626"/>
      <c r="F61" s="1626"/>
      <c r="G61" s="1626"/>
      <c r="H61" s="1626"/>
      <c r="I61" s="1628">
        <f t="shared" si="0"/>
        <v>0</v>
      </c>
      <c r="J61" s="1628">
        <f t="shared" si="0"/>
        <v>0</v>
      </c>
      <c r="K61" s="1626"/>
    </row>
    <row r="62" spans="1:11" ht="25.5" x14ac:dyDescent="0.2">
      <c r="A62" s="1615" t="s">
        <v>132</v>
      </c>
      <c r="B62" s="1625" t="s">
        <v>1530</v>
      </c>
      <c r="C62" s="1626">
        <v>10</v>
      </c>
      <c r="D62" s="1626">
        <v>17</v>
      </c>
      <c r="E62" s="1626"/>
      <c r="F62" s="1626"/>
      <c r="G62" s="1626"/>
      <c r="H62" s="1626"/>
      <c r="I62" s="1628">
        <f t="shared" si="0"/>
        <v>10</v>
      </c>
      <c r="J62" s="1628">
        <f t="shared" si="0"/>
        <v>17</v>
      </c>
      <c r="K62" s="1626">
        <f t="shared" si="1"/>
        <v>170</v>
      </c>
    </row>
    <row r="63" spans="1:11" x14ac:dyDescent="0.2">
      <c r="A63" s="1615" t="s">
        <v>135</v>
      </c>
      <c r="B63" s="1625" t="s">
        <v>1531</v>
      </c>
      <c r="C63" s="1626"/>
      <c r="D63" s="1626"/>
      <c r="E63" s="1626"/>
      <c r="F63" s="1626"/>
      <c r="G63" s="1626"/>
      <c r="H63" s="1626"/>
      <c r="I63" s="1628">
        <f t="shared" si="0"/>
        <v>0</v>
      </c>
      <c r="J63" s="1628">
        <f t="shared" si="0"/>
        <v>0</v>
      </c>
      <c r="K63" s="1626"/>
    </row>
    <row r="64" spans="1:11" x14ac:dyDescent="0.2">
      <c r="A64" s="1615" t="s">
        <v>138</v>
      </c>
      <c r="B64" s="1629" t="s">
        <v>1532</v>
      </c>
      <c r="C64" s="1630">
        <f>SUM(C56:C63)</f>
        <v>247424</v>
      </c>
      <c r="D64" s="1630">
        <f>SUM(D56:D63)</f>
        <v>304532</v>
      </c>
      <c r="E64" s="1630"/>
      <c r="F64" s="1630"/>
      <c r="G64" s="1630">
        <f t="shared" ref="G64:H64" si="13">SUM(G56:G63)</f>
        <v>1925</v>
      </c>
      <c r="H64" s="1630">
        <f t="shared" si="13"/>
        <v>3684</v>
      </c>
      <c r="I64" s="1631">
        <f t="shared" si="0"/>
        <v>249349</v>
      </c>
      <c r="J64" s="1631">
        <f t="shared" si="0"/>
        <v>308216</v>
      </c>
      <c r="K64" s="1630">
        <f t="shared" si="1"/>
        <v>123.6082759505753</v>
      </c>
    </row>
    <row r="65" spans="1:11" ht="25.5" x14ac:dyDescent="0.2">
      <c r="A65" s="1615" t="s">
        <v>139</v>
      </c>
      <c r="B65" s="1625" t="s">
        <v>1533</v>
      </c>
      <c r="C65" s="1626"/>
      <c r="D65" s="1626"/>
      <c r="E65" s="1626"/>
      <c r="F65" s="1626"/>
      <c r="G65" s="1626"/>
      <c r="H65" s="1626"/>
      <c r="I65" s="1628">
        <f t="shared" si="0"/>
        <v>0</v>
      </c>
      <c r="J65" s="1628">
        <f t="shared" si="0"/>
        <v>0</v>
      </c>
      <c r="K65" s="1626"/>
    </row>
    <row r="66" spans="1:11" ht="25.5" x14ac:dyDescent="0.2">
      <c r="A66" s="1615" t="s">
        <v>142</v>
      </c>
      <c r="B66" s="1625" t="s">
        <v>1534</v>
      </c>
      <c r="C66" s="1626"/>
      <c r="D66" s="1626"/>
      <c r="E66" s="1626"/>
      <c r="F66" s="1626"/>
      <c r="G66" s="1626"/>
      <c r="H66" s="1626"/>
      <c r="I66" s="1628">
        <f t="shared" si="0"/>
        <v>0</v>
      </c>
      <c r="J66" s="1628">
        <f t="shared" si="0"/>
        <v>0</v>
      </c>
      <c r="K66" s="1626"/>
    </row>
    <row r="67" spans="1:11" ht="25.5" x14ac:dyDescent="0.2">
      <c r="A67" s="1615" t="s">
        <v>143</v>
      </c>
      <c r="B67" s="1625" t="s">
        <v>1535</v>
      </c>
      <c r="C67" s="1626"/>
      <c r="D67" s="1626"/>
      <c r="E67" s="1626"/>
      <c r="F67" s="1626"/>
      <c r="G67" s="1626"/>
      <c r="H67" s="1626"/>
      <c r="I67" s="1628">
        <f t="shared" si="0"/>
        <v>0</v>
      </c>
      <c r="J67" s="1628">
        <f t="shared" si="0"/>
        <v>0</v>
      </c>
      <c r="K67" s="1626"/>
    </row>
    <row r="68" spans="1:11" ht="12.75" customHeight="1" x14ac:dyDescent="0.2">
      <c r="A68" s="1615" t="s">
        <v>144</v>
      </c>
      <c r="B68" s="1625" t="s">
        <v>1536</v>
      </c>
      <c r="C68" s="1626"/>
      <c r="D68" s="1626"/>
      <c r="E68" s="1626"/>
      <c r="F68" s="1626"/>
      <c r="G68" s="1626"/>
      <c r="H68" s="1626"/>
      <c r="I68" s="1628">
        <f t="shared" si="0"/>
        <v>0</v>
      </c>
      <c r="J68" s="1628">
        <f t="shared" si="0"/>
        <v>0</v>
      </c>
      <c r="K68" s="1626"/>
    </row>
    <row r="69" spans="1:11" s="1634" customFormat="1" ht="25.5" x14ac:dyDescent="0.2">
      <c r="A69" s="1615" t="s">
        <v>145</v>
      </c>
      <c r="B69" s="1625" t="s">
        <v>1537</v>
      </c>
      <c r="C69" s="1626"/>
      <c r="D69" s="1626"/>
      <c r="E69" s="1626"/>
      <c r="F69" s="1626"/>
      <c r="G69" s="1626"/>
      <c r="H69" s="1626"/>
      <c r="I69" s="1628">
        <f t="shared" si="0"/>
        <v>0</v>
      </c>
      <c r="J69" s="1628">
        <f t="shared" si="0"/>
        <v>0</v>
      </c>
      <c r="K69" s="1626"/>
    </row>
    <row r="70" spans="1:11" s="1634" customFormat="1" ht="25.5" x14ac:dyDescent="0.2">
      <c r="A70" s="1615" t="s">
        <v>146</v>
      </c>
      <c r="B70" s="1625" t="s">
        <v>1538</v>
      </c>
      <c r="C70" s="1626">
        <v>48877</v>
      </c>
      <c r="D70" s="1626"/>
      <c r="E70" s="1626"/>
      <c r="F70" s="1626"/>
      <c r="G70" s="1626"/>
      <c r="H70" s="1626"/>
      <c r="I70" s="1628">
        <f t="shared" ref="I70:J130" si="14">C70+E70+G70</f>
        <v>48877</v>
      </c>
      <c r="J70" s="1628">
        <f t="shared" si="14"/>
        <v>0</v>
      </c>
      <c r="K70" s="1626"/>
    </row>
    <row r="71" spans="1:11" ht="25.5" x14ac:dyDescent="0.2">
      <c r="A71" s="1615" t="s">
        <v>148</v>
      </c>
      <c r="B71" s="1625" t="s">
        <v>1539</v>
      </c>
      <c r="C71" s="1626">
        <v>17393</v>
      </c>
      <c r="D71" s="1626">
        <v>19014</v>
      </c>
      <c r="E71" s="1626"/>
      <c r="F71" s="1626"/>
      <c r="G71" s="1626"/>
      <c r="H71" s="1626"/>
      <c r="I71" s="1628">
        <f t="shared" si="14"/>
        <v>17393</v>
      </c>
      <c r="J71" s="1628">
        <f t="shared" si="14"/>
        <v>19014</v>
      </c>
      <c r="K71" s="1626">
        <f t="shared" ref="K71:K133" si="15">J71/I71*100</f>
        <v>109.31984131547175</v>
      </c>
    </row>
    <row r="72" spans="1:11" ht="25.5" x14ac:dyDescent="0.2">
      <c r="A72" s="1615" t="s">
        <v>151</v>
      </c>
      <c r="B72" s="1625" t="s">
        <v>1540</v>
      </c>
      <c r="C72" s="1626"/>
      <c r="D72" s="1626"/>
      <c r="E72" s="1626"/>
      <c r="F72" s="1626"/>
      <c r="G72" s="1626"/>
      <c r="H72" s="1626"/>
      <c r="I72" s="1628">
        <f t="shared" si="14"/>
        <v>0</v>
      </c>
      <c r="J72" s="1628">
        <f t="shared" si="14"/>
        <v>0</v>
      </c>
      <c r="K72" s="1626"/>
    </row>
    <row r="73" spans="1:11" s="1634" customFormat="1" ht="12.75" customHeight="1" x14ac:dyDescent="0.2">
      <c r="A73" s="1615" t="s">
        <v>153</v>
      </c>
      <c r="B73" s="1629" t="s">
        <v>1541</v>
      </c>
      <c r="C73" s="1630">
        <f>C66+C68+C69+C71+C70</f>
        <v>66270</v>
      </c>
      <c r="D73" s="1630">
        <f>D66+D68+D69+D71+D70</f>
        <v>19014</v>
      </c>
      <c r="E73" s="1630">
        <f>SUM(E65:E72)</f>
        <v>0</v>
      </c>
      <c r="F73" s="1630">
        <f>SUM(F65:F72)</f>
        <v>0</v>
      </c>
      <c r="G73" s="1630">
        <f t="shared" ref="G73:H73" si="16">SUM(G65:G72)</f>
        <v>0</v>
      </c>
      <c r="H73" s="1630">
        <f t="shared" si="16"/>
        <v>0</v>
      </c>
      <c r="I73" s="1631">
        <f t="shared" si="14"/>
        <v>66270</v>
      </c>
      <c r="J73" s="1631">
        <f t="shared" si="14"/>
        <v>19014</v>
      </c>
      <c r="K73" s="1630">
        <f t="shared" si="15"/>
        <v>28.69171570846537</v>
      </c>
    </row>
    <row r="74" spans="1:11" s="1634" customFormat="1" x14ac:dyDescent="0.2">
      <c r="A74" s="1615" t="s">
        <v>154</v>
      </c>
      <c r="B74" s="1625" t="s">
        <v>1542</v>
      </c>
      <c r="C74" s="1626">
        <v>53016</v>
      </c>
      <c r="D74" s="1626">
        <v>2480</v>
      </c>
      <c r="E74" s="1626">
        <v>150</v>
      </c>
      <c r="F74" s="1626">
        <v>170</v>
      </c>
      <c r="G74" s="1626">
        <v>1463</v>
      </c>
      <c r="H74" s="1626">
        <v>826</v>
      </c>
      <c r="I74" s="1628">
        <f t="shared" si="14"/>
        <v>54629</v>
      </c>
      <c r="J74" s="1628">
        <f t="shared" si="14"/>
        <v>3476</v>
      </c>
      <c r="K74" s="1626">
        <f t="shared" si="15"/>
        <v>6.3629207929854106</v>
      </c>
    </row>
    <row r="75" spans="1:11" s="1621" customFormat="1" x14ac:dyDescent="0.2">
      <c r="A75" s="1615" t="s">
        <v>155</v>
      </c>
      <c r="B75" s="1625" t="s">
        <v>1543</v>
      </c>
      <c r="C75" s="1626"/>
      <c r="D75" s="1626"/>
      <c r="E75" s="1626">
        <v>27</v>
      </c>
      <c r="F75" s="1626"/>
      <c r="G75" s="1626"/>
      <c r="H75" s="1626"/>
      <c r="I75" s="1628">
        <f t="shared" si="14"/>
        <v>27</v>
      </c>
      <c r="J75" s="1628">
        <f t="shared" si="14"/>
        <v>0</v>
      </c>
      <c r="K75" s="1626"/>
    </row>
    <row r="76" spans="1:11" s="1621" customFormat="1" x14ac:dyDescent="0.2">
      <c r="A76" s="1615" t="s">
        <v>1046</v>
      </c>
      <c r="B76" s="1625" t="s">
        <v>1544</v>
      </c>
      <c r="C76" s="1626"/>
      <c r="D76" s="1626"/>
      <c r="E76" s="1626"/>
      <c r="F76" s="1626"/>
      <c r="G76" s="1626"/>
      <c r="H76" s="1626"/>
      <c r="I76" s="1628">
        <f t="shared" si="14"/>
        <v>0</v>
      </c>
      <c r="J76" s="1628">
        <f t="shared" si="14"/>
        <v>0</v>
      </c>
      <c r="K76" s="1626"/>
    </row>
    <row r="77" spans="1:11" s="1640" customFormat="1" x14ac:dyDescent="0.2">
      <c r="A77" s="1615" t="s">
        <v>1047</v>
      </c>
      <c r="B77" s="1625" t="s">
        <v>1545</v>
      </c>
      <c r="C77" s="1626">
        <v>1761</v>
      </c>
      <c r="D77" s="1626">
        <v>1505</v>
      </c>
      <c r="E77" s="1626"/>
      <c r="F77" s="1626"/>
      <c r="G77" s="1626"/>
      <c r="H77" s="1626"/>
      <c r="I77" s="1628">
        <f t="shared" si="14"/>
        <v>1761</v>
      </c>
      <c r="J77" s="1628">
        <f t="shared" si="14"/>
        <v>1505</v>
      </c>
      <c r="K77" s="1626">
        <f t="shared" si="15"/>
        <v>85.462805224304375</v>
      </c>
    </row>
    <row r="78" spans="1:11" s="1640" customFormat="1" ht="25.5" x14ac:dyDescent="0.2">
      <c r="A78" s="1615" t="s">
        <v>1236</v>
      </c>
      <c r="B78" s="1625" t="s">
        <v>1546</v>
      </c>
      <c r="C78" s="1626"/>
      <c r="D78" s="1626"/>
      <c r="E78" s="1626"/>
      <c r="F78" s="1626"/>
      <c r="I78" s="1628">
        <f t="shared" si="14"/>
        <v>0</v>
      </c>
      <c r="J78" s="1628">
        <f t="shared" si="14"/>
        <v>0</v>
      </c>
      <c r="K78" s="1626"/>
    </row>
    <row r="79" spans="1:11" s="1641" customFormat="1" ht="26.25" x14ac:dyDescent="0.25">
      <c r="A79" s="1615" t="s">
        <v>1237</v>
      </c>
      <c r="B79" s="1625" t="s">
        <v>1547</v>
      </c>
      <c r="C79" s="1626"/>
      <c r="D79" s="1626"/>
      <c r="E79" s="1626"/>
      <c r="F79" s="1626"/>
      <c r="G79" s="1626"/>
      <c r="H79" s="1626"/>
      <c r="I79" s="1628">
        <f t="shared" si="14"/>
        <v>0</v>
      </c>
      <c r="J79" s="1628">
        <f t="shared" si="14"/>
        <v>0</v>
      </c>
      <c r="K79" s="1626"/>
    </row>
    <row r="80" spans="1:11" s="1240" customFormat="1" ht="25.5" x14ac:dyDescent="0.2">
      <c r="A80" s="1615" t="s">
        <v>1238</v>
      </c>
      <c r="B80" s="1625" t="s">
        <v>1548</v>
      </c>
      <c r="C80" s="1626"/>
      <c r="D80" s="1626"/>
      <c r="E80" s="1626"/>
      <c r="F80" s="1626"/>
      <c r="G80" s="1626">
        <v>261</v>
      </c>
      <c r="H80" s="1626">
        <v>435</v>
      </c>
      <c r="I80" s="1628">
        <f t="shared" si="14"/>
        <v>261</v>
      </c>
      <c r="J80" s="1628">
        <f t="shared" si="14"/>
        <v>435</v>
      </c>
      <c r="K80" s="1626"/>
    </row>
    <row r="81" spans="1:11" s="1240" customFormat="1" x14ac:dyDescent="0.2">
      <c r="A81" s="1615" t="s">
        <v>1310</v>
      </c>
      <c r="B81" s="1625" t="s">
        <v>1549</v>
      </c>
      <c r="C81" s="1626"/>
      <c r="D81" s="1626"/>
      <c r="E81" s="1626"/>
      <c r="F81" s="1626"/>
      <c r="G81" s="1626"/>
      <c r="H81" s="1626"/>
      <c r="I81" s="1628">
        <f t="shared" si="14"/>
        <v>0</v>
      </c>
      <c r="J81" s="1628">
        <f t="shared" si="14"/>
        <v>0</v>
      </c>
      <c r="K81" s="1626"/>
    </row>
    <row r="82" spans="1:11" s="1240" customFormat="1" ht="25.5" x14ac:dyDescent="0.2">
      <c r="A82" s="1615" t="s">
        <v>1311</v>
      </c>
      <c r="B82" s="1625" t="s">
        <v>1550</v>
      </c>
      <c r="C82" s="1626">
        <v>300</v>
      </c>
      <c r="D82" s="1626">
        <v>300</v>
      </c>
      <c r="E82" s="1626"/>
      <c r="F82" s="1626"/>
      <c r="G82" s="1626"/>
      <c r="H82" s="1626">
        <v>200</v>
      </c>
      <c r="I82" s="1628">
        <f t="shared" si="14"/>
        <v>300</v>
      </c>
      <c r="J82" s="1628">
        <f t="shared" si="14"/>
        <v>500</v>
      </c>
      <c r="K82" s="1626">
        <f t="shared" si="15"/>
        <v>166.66666666666669</v>
      </c>
    </row>
    <row r="83" spans="1:11" s="1240" customFormat="1" x14ac:dyDescent="0.2">
      <c r="A83" s="1615" t="s">
        <v>1317</v>
      </c>
      <c r="B83" s="1629" t="s">
        <v>1551</v>
      </c>
      <c r="C83" s="1630">
        <f>C74+C75+C76+C77+C78+C79+C80+C81+C82</f>
        <v>55077</v>
      </c>
      <c r="D83" s="1630">
        <f t="shared" ref="D83:H83" si="17">D74+D75+D76+D77+D78+D79+D80+D81+D82</f>
        <v>4285</v>
      </c>
      <c r="E83" s="1630">
        <f t="shared" si="17"/>
        <v>177</v>
      </c>
      <c r="F83" s="1630">
        <f t="shared" si="17"/>
        <v>170</v>
      </c>
      <c r="G83" s="1630">
        <f t="shared" si="17"/>
        <v>1724</v>
      </c>
      <c r="H83" s="1630">
        <f t="shared" si="17"/>
        <v>1461</v>
      </c>
      <c r="I83" s="1631">
        <f t="shared" si="14"/>
        <v>56978</v>
      </c>
      <c r="J83" s="1631">
        <f t="shared" si="14"/>
        <v>5916</v>
      </c>
      <c r="K83" s="1630">
        <f t="shared" si="15"/>
        <v>10.38295482466917</v>
      </c>
    </row>
    <row r="84" spans="1:11" s="1641" customFormat="1" ht="13.5" x14ac:dyDescent="0.25">
      <c r="A84" s="1615" t="s">
        <v>1318</v>
      </c>
      <c r="B84" s="1642" t="s">
        <v>1552</v>
      </c>
      <c r="C84" s="1636">
        <f>C64+C73+C83</f>
        <v>368771</v>
      </c>
      <c r="D84" s="1636">
        <f>D64+D73+D83</f>
        <v>327831</v>
      </c>
      <c r="E84" s="1636">
        <f>E64+E73+E83</f>
        <v>177</v>
      </c>
      <c r="F84" s="1636">
        <f>F64+F73+F83</f>
        <v>170</v>
      </c>
      <c r="G84" s="1636">
        <f t="shared" ref="G84" si="18">G64+G73+G83</f>
        <v>3649</v>
      </c>
      <c r="H84" s="1636">
        <f>H64+H73+H83</f>
        <v>5145</v>
      </c>
      <c r="I84" s="1637">
        <f>C84+E84+G84</f>
        <v>372597</v>
      </c>
      <c r="J84" s="1637">
        <f t="shared" si="14"/>
        <v>333146</v>
      </c>
      <c r="K84" s="1636">
        <f t="shared" si="15"/>
        <v>89.411884690429616</v>
      </c>
    </row>
    <row r="85" spans="1:11" s="1641" customFormat="1" ht="25.5" x14ac:dyDescent="0.25">
      <c r="A85" s="1615" t="s">
        <v>1320</v>
      </c>
      <c r="B85" s="1643" t="s">
        <v>1553</v>
      </c>
      <c r="C85" s="1626"/>
      <c r="D85" s="1626"/>
      <c r="E85" s="1626"/>
      <c r="F85" s="1626"/>
      <c r="G85" s="1626"/>
      <c r="H85" s="1626"/>
      <c r="I85" s="1628">
        <f t="shared" ref="I85:I92" si="19">C85+E85+G85</f>
        <v>0</v>
      </c>
      <c r="J85" s="1628">
        <f t="shared" si="14"/>
        <v>0</v>
      </c>
      <c r="K85" s="1636"/>
    </row>
    <row r="86" spans="1:11" s="1641" customFormat="1" ht="13.5" x14ac:dyDescent="0.25">
      <c r="A86" s="1615" t="s">
        <v>1321</v>
      </c>
      <c r="B86" s="1643" t="s">
        <v>1554</v>
      </c>
      <c r="C86" s="1626">
        <v>668</v>
      </c>
      <c r="D86" s="1626">
        <v>228</v>
      </c>
      <c r="E86" s="1626">
        <v>11</v>
      </c>
      <c r="F86" s="1626">
        <v>7</v>
      </c>
      <c r="G86" s="1626">
        <v>5854</v>
      </c>
      <c r="H86" s="1626">
        <v>2468</v>
      </c>
      <c r="I86" s="1628">
        <f t="shared" si="19"/>
        <v>6533</v>
      </c>
      <c r="J86" s="1628">
        <f t="shared" si="14"/>
        <v>2703</v>
      </c>
      <c r="K86" s="1636"/>
    </row>
    <row r="87" spans="1:11" s="1641" customFormat="1" ht="25.5" x14ac:dyDescent="0.25">
      <c r="A87" s="1615" t="s">
        <v>1322</v>
      </c>
      <c r="B87" s="1643" t="s">
        <v>1555</v>
      </c>
      <c r="C87" s="1626">
        <v>4413</v>
      </c>
      <c r="D87" s="1626">
        <v>405</v>
      </c>
      <c r="E87" s="1626"/>
      <c r="F87" s="1626"/>
      <c r="G87" s="1626"/>
      <c r="H87" s="1626"/>
      <c r="I87" s="1628">
        <f t="shared" si="19"/>
        <v>4413</v>
      </c>
      <c r="J87" s="1628">
        <f t="shared" si="14"/>
        <v>405</v>
      </c>
      <c r="K87" s="1636"/>
    </row>
    <row r="88" spans="1:11" s="1641" customFormat="1" ht="13.5" x14ac:dyDescent="0.25">
      <c r="A88" s="1615" t="s">
        <v>1323</v>
      </c>
      <c r="B88" s="1643" t="s">
        <v>1556</v>
      </c>
      <c r="C88" s="1626"/>
      <c r="D88" s="1626"/>
      <c r="E88" s="1626"/>
      <c r="F88" s="1626"/>
      <c r="G88" s="1626"/>
      <c r="H88" s="1626"/>
      <c r="I88" s="1628">
        <f t="shared" si="19"/>
        <v>0</v>
      </c>
      <c r="J88" s="1628">
        <f t="shared" si="14"/>
        <v>0</v>
      </c>
      <c r="K88" s="1636"/>
    </row>
    <row r="89" spans="1:11" s="1641" customFormat="1" ht="26.25" x14ac:dyDescent="0.25">
      <c r="A89" s="1615" t="s">
        <v>1324</v>
      </c>
      <c r="B89" s="1629" t="s">
        <v>1557</v>
      </c>
      <c r="C89" s="1636">
        <f t="shared" ref="C89:F89" si="20">C85+C86+C87+C88</f>
        <v>5081</v>
      </c>
      <c r="D89" s="1636">
        <f t="shared" si="20"/>
        <v>633</v>
      </c>
      <c r="E89" s="1636">
        <f t="shared" si="20"/>
        <v>11</v>
      </c>
      <c r="F89" s="1636">
        <f t="shared" si="20"/>
        <v>7</v>
      </c>
      <c r="G89" s="1636">
        <f>G85+G86+G87+G88</f>
        <v>5854</v>
      </c>
      <c r="H89" s="1636">
        <f>H85+H86+H87+H88</f>
        <v>2468</v>
      </c>
      <c r="I89" s="1637">
        <f t="shared" si="19"/>
        <v>10946</v>
      </c>
      <c r="J89" s="1637">
        <f t="shared" si="14"/>
        <v>3108</v>
      </c>
      <c r="K89" s="1636"/>
    </row>
    <row r="90" spans="1:11" s="1641" customFormat="1" ht="13.5" x14ac:dyDescent="0.25">
      <c r="A90" s="1615" t="s">
        <v>1558</v>
      </c>
      <c r="B90" s="1643" t="s">
        <v>1559</v>
      </c>
      <c r="C90" s="1626"/>
      <c r="D90" s="1626"/>
      <c r="E90" s="1626"/>
      <c r="F90" s="1626"/>
      <c r="G90" s="1626"/>
      <c r="H90" s="1626"/>
      <c r="I90" s="1644">
        <f t="shared" si="19"/>
        <v>0</v>
      </c>
      <c r="J90" s="1628">
        <f t="shared" si="14"/>
        <v>0</v>
      </c>
      <c r="K90" s="1636"/>
    </row>
    <row r="91" spans="1:11" s="1641" customFormat="1" ht="13.5" x14ac:dyDescent="0.25">
      <c r="A91" s="1615" t="s">
        <v>1560</v>
      </c>
      <c r="B91" s="1643" t="s">
        <v>1561</v>
      </c>
      <c r="C91" s="1626">
        <v>-29150</v>
      </c>
      <c r="D91" s="1626">
        <v>-2398</v>
      </c>
      <c r="E91" s="1626">
        <v>-101</v>
      </c>
      <c r="F91" s="1626">
        <v>-34</v>
      </c>
      <c r="G91" s="1626">
        <v>-1589</v>
      </c>
      <c r="H91" s="1626">
        <v>-1404</v>
      </c>
      <c r="I91" s="1644">
        <f t="shared" si="19"/>
        <v>-30840</v>
      </c>
      <c r="J91" s="1628">
        <f t="shared" si="14"/>
        <v>-3836</v>
      </c>
      <c r="K91" s="1636"/>
    </row>
    <row r="92" spans="1:11" s="1641" customFormat="1" ht="13.5" x14ac:dyDescent="0.25">
      <c r="A92" s="1615" t="s">
        <v>1562</v>
      </c>
      <c r="B92" s="1629" t="s">
        <v>1563</v>
      </c>
      <c r="C92" s="1636">
        <f t="shared" ref="C92:F92" si="21">C90+C91</f>
        <v>-29150</v>
      </c>
      <c r="D92" s="1636">
        <f t="shared" si="21"/>
        <v>-2398</v>
      </c>
      <c r="E92" s="1636">
        <f t="shared" si="21"/>
        <v>-101</v>
      </c>
      <c r="F92" s="1636">
        <f t="shared" si="21"/>
        <v>-34</v>
      </c>
      <c r="G92" s="1636">
        <f>G90+G91</f>
        <v>-1589</v>
      </c>
      <c r="H92" s="1636">
        <f>H90+H91</f>
        <v>-1404</v>
      </c>
      <c r="I92" s="1637">
        <f t="shared" si="19"/>
        <v>-30840</v>
      </c>
      <c r="J92" s="1637">
        <f t="shared" si="14"/>
        <v>-3836</v>
      </c>
      <c r="K92" s="1636"/>
    </row>
    <row r="93" spans="1:11" s="1240" customFormat="1" x14ac:dyDescent="0.2">
      <c r="A93" s="1615" t="s">
        <v>1564</v>
      </c>
      <c r="B93" s="1643" t="s">
        <v>1565</v>
      </c>
      <c r="C93" s="1626"/>
      <c r="D93" s="1626"/>
      <c r="E93" s="1626"/>
      <c r="F93" s="1626"/>
      <c r="G93" s="1626"/>
      <c r="H93" s="1626"/>
      <c r="I93" s="1628">
        <f t="shared" si="14"/>
        <v>0</v>
      </c>
      <c r="J93" s="1628">
        <f t="shared" si="14"/>
        <v>0</v>
      </c>
      <c r="K93" s="1630"/>
    </row>
    <row r="94" spans="1:11" s="1240" customFormat="1" ht="25.5" x14ac:dyDescent="0.2">
      <c r="A94" s="1615" t="s">
        <v>1566</v>
      </c>
      <c r="B94" s="1643" t="s">
        <v>1567</v>
      </c>
      <c r="C94" s="1626"/>
      <c r="D94" s="1626"/>
      <c r="E94" s="1626"/>
      <c r="F94" s="1626"/>
      <c r="G94" s="1626"/>
      <c r="H94" s="1626"/>
      <c r="I94" s="1628">
        <f t="shared" si="14"/>
        <v>0</v>
      </c>
      <c r="J94" s="1628">
        <f t="shared" si="14"/>
        <v>0</v>
      </c>
      <c r="K94" s="1630"/>
    </row>
    <row r="95" spans="1:11" s="1240" customFormat="1" x14ac:dyDescent="0.2">
      <c r="A95" s="1615" t="s">
        <v>1568</v>
      </c>
      <c r="B95" s="1629" t="s">
        <v>1569</v>
      </c>
      <c r="C95" s="1645">
        <f t="shared" ref="C95" si="22">SUM(C93:C94)</f>
        <v>0</v>
      </c>
      <c r="D95" s="1645">
        <f t="shared" ref="D95:K95" si="23">SUM(D93:D94)</f>
        <v>0</v>
      </c>
      <c r="E95" s="1645">
        <f t="shared" si="23"/>
        <v>0</v>
      </c>
      <c r="F95" s="1645">
        <f t="shared" si="23"/>
        <v>0</v>
      </c>
      <c r="G95" s="1645">
        <f t="shared" si="23"/>
        <v>0</v>
      </c>
      <c r="H95" s="1645">
        <f t="shared" si="23"/>
        <v>0</v>
      </c>
      <c r="I95" s="1645">
        <f t="shared" si="23"/>
        <v>0</v>
      </c>
      <c r="J95" s="1645">
        <f t="shared" si="23"/>
        <v>0</v>
      </c>
      <c r="K95" s="1645">
        <f t="shared" si="23"/>
        <v>0</v>
      </c>
    </row>
    <row r="96" spans="1:11" s="1240" customFormat="1" ht="13.5" x14ac:dyDescent="0.25">
      <c r="A96" s="1615" t="s">
        <v>1570</v>
      </c>
      <c r="B96" s="1635" t="s">
        <v>1571</v>
      </c>
      <c r="C96" s="1636">
        <f t="shared" ref="C96:F96" si="24">C89+C92+C95</f>
        <v>-24069</v>
      </c>
      <c r="D96" s="1636">
        <f t="shared" si="24"/>
        <v>-1765</v>
      </c>
      <c r="E96" s="1636">
        <f t="shared" si="24"/>
        <v>-90</v>
      </c>
      <c r="F96" s="1636">
        <f t="shared" si="24"/>
        <v>-27</v>
      </c>
      <c r="G96" s="1636">
        <f>G89+G92+G95</f>
        <v>4265</v>
      </c>
      <c r="H96" s="1636">
        <f>H89+H92+H95</f>
        <v>1064</v>
      </c>
      <c r="I96" s="1637">
        <f t="shared" si="14"/>
        <v>-19894</v>
      </c>
      <c r="J96" s="1637">
        <f t="shared" si="14"/>
        <v>-728</v>
      </c>
      <c r="K96" s="1636">
        <f t="shared" si="15"/>
        <v>3.6593947923997185</v>
      </c>
    </row>
    <row r="97" spans="1:11" s="1240" customFormat="1" x14ac:dyDescent="0.2">
      <c r="A97" s="1615" t="s">
        <v>1572</v>
      </c>
      <c r="B97" s="1643" t="s">
        <v>1573</v>
      </c>
      <c r="C97" s="1626"/>
      <c r="D97" s="1626"/>
      <c r="E97" s="1626"/>
      <c r="F97" s="1626"/>
      <c r="G97" s="1626"/>
      <c r="H97" s="1626"/>
      <c r="I97" s="1628">
        <f t="shared" si="14"/>
        <v>0</v>
      </c>
      <c r="J97" s="1628">
        <f t="shared" si="14"/>
        <v>0</v>
      </c>
      <c r="K97" s="1626"/>
    </row>
    <row r="98" spans="1:11" s="1240" customFormat="1" x14ac:dyDescent="0.2">
      <c r="A98" s="1615" t="s">
        <v>1574</v>
      </c>
      <c r="B98" s="1646" t="s">
        <v>1575</v>
      </c>
      <c r="C98" s="1647"/>
      <c r="D98" s="1647"/>
      <c r="E98" s="1647"/>
      <c r="F98" s="1647"/>
      <c r="G98" s="1647"/>
      <c r="H98" s="1647"/>
      <c r="I98" s="1628">
        <f t="shared" si="14"/>
        <v>0</v>
      </c>
      <c r="J98" s="1628">
        <f t="shared" si="14"/>
        <v>0</v>
      </c>
      <c r="K98" s="1626"/>
    </row>
    <row r="99" spans="1:11" s="1240" customFormat="1" x14ac:dyDescent="0.2">
      <c r="A99" s="1615" t="s">
        <v>1576</v>
      </c>
      <c r="B99" s="1646" t="s">
        <v>1577</v>
      </c>
      <c r="C99" s="1647"/>
      <c r="D99" s="1647"/>
      <c r="E99" s="1647"/>
      <c r="F99" s="1647"/>
      <c r="G99" s="1647"/>
      <c r="H99" s="1647"/>
      <c r="I99" s="1628">
        <f t="shared" si="14"/>
        <v>0</v>
      </c>
      <c r="J99" s="1628">
        <f t="shared" si="14"/>
        <v>0</v>
      </c>
      <c r="K99" s="1626"/>
    </row>
    <row r="100" spans="1:11" s="1641" customFormat="1" ht="13.5" x14ac:dyDescent="0.25">
      <c r="A100" s="1615" t="s">
        <v>1578</v>
      </c>
      <c r="B100" s="1638" t="s">
        <v>1579</v>
      </c>
      <c r="C100" s="1639"/>
      <c r="D100" s="1639"/>
      <c r="E100" s="1639"/>
      <c r="F100" s="1639"/>
      <c r="G100" s="1639"/>
      <c r="H100" s="1639"/>
      <c r="I100" s="1637">
        <f t="shared" si="14"/>
        <v>0</v>
      </c>
      <c r="J100" s="1637">
        <f t="shared" si="14"/>
        <v>0</v>
      </c>
      <c r="K100" s="1636"/>
    </row>
    <row r="101" spans="1:11" s="1240" customFormat="1" x14ac:dyDescent="0.2">
      <c r="A101" s="1615" t="s">
        <v>1580</v>
      </c>
      <c r="B101" s="1648" t="s">
        <v>1581</v>
      </c>
      <c r="C101" s="1649">
        <f>C31+C41+C55+C84+C96+C100</f>
        <v>19232945</v>
      </c>
      <c r="D101" s="1649">
        <f>D31+D41+D55+D84+D96+D100</f>
        <v>21444680</v>
      </c>
      <c r="E101" s="1649">
        <f t="shared" ref="E101:F101" si="25">E31+E41+E55+E84+E96+E100</f>
        <v>19371</v>
      </c>
      <c r="F101" s="1649">
        <f t="shared" si="25"/>
        <v>19837</v>
      </c>
      <c r="G101" s="1649">
        <f>G31+G41+G55+G84+G96+G100</f>
        <v>86155</v>
      </c>
      <c r="H101" s="1649">
        <f>H31+H41+H55+H84+H96+H100</f>
        <v>96695</v>
      </c>
      <c r="I101" s="1650">
        <f t="shared" si="14"/>
        <v>19338471</v>
      </c>
      <c r="J101" s="1650">
        <f t="shared" si="14"/>
        <v>21561212</v>
      </c>
      <c r="K101" s="1651">
        <f t="shared" si="15"/>
        <v>111.49388180689155</v>
      </c>
    </row>
    <row r="102" spans="1:11" s="1240" customFormat="1" x14ac:dyDescent="0.2">
      <c r="A102" s="1615" t="s">
        <v>1582</v>
      </c>
      <c r="B102" s="1652" t="s">
        <v>1583</v>
      </c>
      <c r="C102" s="1647"/>
      <c r="D102" s="1647"/>
      <c r="E102" s="1647"/>
      <c r="F102" s="1647"/>
      <c r="G102" s="1647"/>
      <c r="H102" s="1647"/>
      <c r="I102" s="1628"/>
      <c r="J102" s="1628"/>
      <c r="K102" s="1626"/>
    </row>
    <row r="103" spans="1:11" x14ac:dyDescent="0.2">
      <c r="A103" s="1615" t="s">
        <v>1584</v>
      </c>
      <c r="B103" s="1646" t="s">
        <v>1585</v>
      </c>
      <c r="C103" s="1647">
        <v>19473148</v>
      </c>
      <c r="D103" s="1647">
        <v>19473148</v>
      </c>
      <c r="E103" s="1647">
        <v>21458</v>
      </c>
      <c r="F103" s="1647">
        <v>21458</v>
      </c>
      <c r="G103" s="1647">
        <v>249738</v>
      </c>
      <c r="H103" s="1647">
        <v>249737</v>
      </c>
      <c r="I103" s="1628">
        <f t="shared" si="14"/>
        <v>19744344</v>
      </c>
      <c r="J103" s="1628">
        <f t="shared" si="14"/>
        <v>19744343</v>
      </c>
      <c r="K103" s="1626">
        <f t="shared" si="15"/>
        <v>99.999994935258414</v>
      </c>
    </row>
    <row r="104" spans="1:11" x14ac:dyDescent="0.2">
      <c r="A104" s="1615" t="s">
        <v>1586</v>
      </c>
      <c r="B104" s="1646" t="s">
        <v>1587</v>
      </c>
      <c r="C104" s="1647">
        <v>-222453</v>
      </c>
      <c r="D104" s="1647">
        <v>-222453</v>
      </c>
      <c r="E104" s="1647"/>
      <c r="F104" s="1647"/>
      <c r="G104" s="1647"/>
      <c r="H104" s="1647"/>
      <c r="I104" s="1628">
        <f t="shared" si="14"/>
        <v>-222453</v>
      </c>
      <c r="J104" s="1628">
        <f t="shared" si="14"/>
        <v>-222453</v>
      </c>
      <c r="K104" s="1626"/>
    </row>
    <row r="105" spans="1:11" ht="25.5" x14ac:dyDescent="0.2">
      <c r="A105" s="1615" t="s">
        <v>1588</v>
      </c>
      <c r="B105" s="1646" t="s">
        <v>1589</v>
      </c>
      <c r="C105" s="1647"/>
      <c r="D105" s="1647"/>
      <c r="E105" s="1647"/>
      <c r="F105" s="1647"/>
      <c r="G105" s="1647"/>
      <c r="H105" s="1647"/>
      <c r="I105" s="1628">
        <f t="shared" si="14"/>
        <v>0</v>
      </c>
      <c r="J105" s="1628">
        <f t="shared" si="14"/>
        <v>0</v>
      </c>
      <c r="K105" s="1626"/>
    </row>
    <row r="106" spans="1:11" ht="25.5" x14ac:dyDescent="0.2">
      <c r="A106" s="1615" t="s">
        <v>1590</v>
      </c>
      <c r="B106" s="1646" t="s">
        <v>1591</v>
      </c>
      <c r="C106" s="1647"/>
      <c r="D106" s="1647"/>
      <c r="E106" s="1647"/>
      <c r="F106" s="1647"/>
      <c r="G106" s="1647"/>
      <c r="H106" s="1647"/>
      <c r="I106" s="1628">
        <f t="shared" si="14"/>
        <v>0</v>
      </c>
      <c r="J106" s="1628">
        <f t="shared" si="14"/>
        <v>0</v>
      </c>
      <c r="K106" s="1626"/>
    </row>
    <row r="107" spans="1:11" x14ac:dyDescent="0.2">
      <c r="A107" s="1615" t="s">
        <v>1592</v>
      </c>
      <c r="B107" s="1646" t="s">
        <v>1593</v>
      </c>
      <c r="C107" s="1647">
        <v>779393</v>
      </c>
      <c r="D107" s="1647">
        <v>779393</v>
      </c>
      <c r="E107" s="1647">
        <v>567</v>
      </c>
      <c r="F107" s="1647">
        <v>567</v>
      </c>
      <c r="G107" s="1647">
        <v>4474</v>
      </c>
      <c r="H107" s="1647">
        <v>4474</v>
      </c>
      <c r="I107" s="1628">
        <f>C107+E107+G107</f>
        <v>784434</v>
      </c>
      <c r="J107" s="1628">
        <f>D107+F107+H107</f>
        <v>784434</v>
      </c>
      <c r="K107" s="1626">
        <f t="shared" si="15"/>
        <v>100</v>
      </c>
    </row>
    <row r="108" spans="1:11" ht="25.5" x14ac:dyDescent="0.2">
      <c r="A108" s="1615" t="s">
        <v>1594</v>
      </c>
      <c r="B108" s="1629" t="s">
        <v>1595</v>
      </c>
      <c r="C108" s="1630">
        <f t="shared" ref="C108" si="26">SUM(C105:C107)</f>
        <v>779393</v>
      </c>
      <c r="D108" s="1630">
        <f t="shared" ref="D108:F108" si="27">SUM(D105:D107)</f>
        <v>779393</v>
      </c>
      <c r="E108" s="1630">
        <f t="shared" si="27"/>
        <v>567</v>
      </c>
      <c r="F108" s="1630">
        <f t="shared" si="27"/>
        <v>567</v>
      </c>
      <c r="G108" s="1630">
        <f>SUM(G105:G107)</f>
        <v>4474</v>
      </c>
      <c r="H108" s="1630">
        <f>SUM(H105:H107)</f>
        <v>4474</v>
      </c>
      <c r="I108" s="1631">
        <f t="shared" si="14"/>
        <v>784434</v>
      </c>
      <c r="J108" s="1631">
        <f t="shared" si="14"/>
        <v>784434</v>
      </c>
      <c r="K108" s="1630">
        <f t="shared" si="15"/>
        <v>100</v>
      </c>
    </row>
    <row r="109" spans="1:11" x14ac:dyDescent="0.2">
      <c r="A109" s="1615" t="s">
        <v>1596</v>
      </c>
      <c r="B109" s="1646" t="s">
        <v>1597</v>
      </c>
      <c r="C109" s="1647">
        <v>-1420604</v>
      </c>
      <c r="D109" s="1647">
        <v>-1739283</v>
      </c>
      <c r="E109" s="1647">
        <v>-10643</v>
      </c>
      <c r="F109" s="1647">
        <v>-17791</v>
      </c>
      <c r="G109" s="1647">
        <v>-234767</v>
      </c>
      <c r="H109" s="1647">
        <v>-229693</v>
      </c>
      <c r="I109" s="1628">
        <f t="shared" si="14"/>
        <v>-1666014</v>
      </c>
      <c r="J109" s="1628">
        <f t="shared" si="14"/>
        <v>-1986767</v>
      </c>
      <c r="K109" s="1626">
        <f t="shared" si="15"/>
        <v>119.2527193649033</v>
      </c>
    </row>
    <row r="110" spans="1:11" x14ac:dyDescent="0.2">
      <c r="A110" s="1615" t="s">
        <v>1598</v>
      </c>
      <c r="B110" s="1646" t="s">
        <v>1599</v>
      </c>
      <c r="C110" s="1647"/>
      <c r="D110" s="1647">
        <v>787438</v>
      </c>
      <c r="E110" s="1647"/>
      <c r="F110" s="1647"/>
      <c r="G110" s="1647"/>
      <c r="H110" s="1647"/>
      <c r="I110" s="1628">
        <f t="shared" si="14"/>
        <v>0</v>
      </c>
      <c r="J110" s="1628">
        <f t="shared" si="14"/>
        <v>787438</v>
      </c>
      <c r="K110" s="1626"/>
    </row>
    <row r="111" spans="1:11" x14ac:dyDescent="0.2">
      <c r="A111" s="1615" t="s">
        <v>1600</v>
      </c>
      <c r="B111" s="1646" t="s">
        <v>1601</v>
      </c>
      <c r="C111" s="1647">
        <v>-318679</v>
      </c>
      <c r="D111" s="1647">
        <v>-314917</v>
      </c>
      <c r="E111" s="1647">
        <v>-7148</v>
      </c>
      <c r="F111" s="1647">
        <v>-546</v>
      </c>
      <c r="G111" s="1626">
        <v>5073</v>
      </c>
      <c r="H111" s="1626">
        <v>-4283</v>
      </c>
      <c r="I111" s="1628">
        <f t="shared" si="14"/>
        <v>-320754</v>
      </c>
      <c r="J111" s="1628">
        <f t="shared" si="14"/>
        <v>-319746</v>
      </c>
      <c r="K111" s="1626">
        <f>J111/I111*100</f>
        <v>99.685740474008128</v>
      </c>
    </row>
    <row r="112" spans="1:11" ht="13.5" x14ac:dyDescent="0.25">
      <c r="A112" s="1615" t="s">
        <v>1602</v>
      </c>
      <c r="B112" s="1635" t="s">
        <v>1603</v>
      </c>
      <c r="C112" s="1636">
        <f t="shared" ref="C112:H112" si="28">C103+C104+C108+C109+C110+C111</f>
        <v>18290805</v>
      </c>
      <c r="D112" s="1636">
        <f t="shared" si="28"/>
        <v>18763326</v>
      </c>
      <c r="E112" s="1636">
        <f t="shared" si="28"/>
        <v>4234</v>
      </c>
      <c r="F112" s="1636">
        <f t="shared" si="28"/>
        <v>3688</v>
      </c>
      <c r="G112" s="1636">
        <f t="shared" si="28"/>
        <v>24518</v>
      </c>
      <c r="H112" s="1636">
        <f t="shared" si="28"/>
        <v>20235</v>
      </c>
      <c r="I112" s="1637">
        <f t="shared" si="14"/>
        <v>18319557</v>
      </c>
      <c r="J112" s="1637">
        <f t="shared" si="14"/>
        <v>18787249</v>
      </c>
      <c r="K112" s="1636">
        <f t="shared" si="15"/>
        <v>102.55296566396228</v>
      </c>
    </row>
    <row r="113" spans="1:11" x14ac:dyDescent="0.2">
      <c r="A113" s="1615" t="s">
        <v>1604</v>
      </c>
      <c r="B113" s="1625" t="s">
        <v>1605</v>
      </c>
      <c r="C113" s="1626">
        <v>34</v>
      </c>
      <c r="D113" s="1626">
        <v>405</v>
      </c>
      <c r="E113" s="1626">
        <v>43</v>
      </c>
      <c r="F113" s="1626"/>
      <c r="G113" s="1626"/>
      <c r="H113" s="1626"/>
      <c r="I113" s="1628">
        <f t="shared" si="14"/>
        <v>77</v>
      </c>
      <c r="J113" s="1628">
        <f t="shared" si="14"/>
        <v>405</v>
      </c>
      <c r="K113" s="1626"/>
    </row>
    <row r="114" spans="1:11" ht="25.5" x14ac:dyDescent="0.2">
      <c r="A114" s="1615" t="s">
        <v>1606</v>
      </c>
      <c r="B114" s="1625" t="s">
        <v>1607</v>
      </c>
      <c r="C114" s="1626"/>
      <c r="D114" s="1626"/>
      <c r="E114" s="1626"/>
      <c r="F114" s="1626"/>
      <c r="G114" s="1626"/>
      <c r="H114" s="1626"/>
      <c r="I114" s="1628">
        <f t="shared" si="14"/>
        <v>0</v>
      </c>
      <c r="J114" s="1628">
        <f t="shared" si="14"/>
        <v>0</v>
      </c>
      <c r="K114" s="1626"/>
    </row>
    <row r="115" spans="1:11" x14ac:dyDescent="0.2">
      <c r="A115" s="1615" t="s">
        <v>1608</v>
      </c>
      <c r="B115" s="1625" t="s">
        <v>1609</v>
      </c>
      <c r="C115" s="1626">
        <v>428</v>
      </c>
      <c r="D115" s="1626">
        <v>4389</v>
      </c>
      <c r="E115" s="1626">
        <v>21</v>
      </c>
      <c r="F115" s="1626">
        <v>231</v>
      </c>
      <c r="G115" s="1626"/>
      <c r="H115" s="1626"/>
      <c r="I115" s="1628">
        <f t="shared" si="14"/>
        <v>449</v>
      </c>
      <c r="J115" s="1628">
        <f t="shared" si="14"/>
        <v>4620</v>
      </c>
      <c r="K115" s="1626">
        <f t="shared" si="15"/>
        <v>1028.9532293986638</v>
      </c>
    </row>
    <row r="116" spans="1:11" ht="25.5" x14ac:dyDescent="0.2">
      <c r="A116" s="1615" t="s">
        <v>1610</v>
      </c>
      <c r="B116" s="1625" t="s">
        <v>1611</v>
      </c>
      <c r="C116" s="1626">
        <v>27</v>
      </c>
      <c r="D116" s="1626"/>
      <c r="E116" s="1626"/>
      <c r="F116" s="1626"/>
      <c r="G116" s="1626"/>
      <c r="H116" s="1626"/>
      <c r="I116" s="1628">
        <f t="shared" si="14"/>
        <v>27</v>
      </c>
      <c r="J116" s="1628">
        <f t="shared" si="14"/>
        <v>0</v>
      </c>
      <c r="K116" s="1626"/>
    </row>
    <row r="117" spans="1:11" ht="25.5" x14ac:dyDescent="0.2">
      <c r="A117" s="1615" t="s">
        <v>1612</v>
      </c>
      <c r="B117" s="1625" t="s">
        <v>1613</v>
      </c>
      <c r="C117" s="1626"/>
      <c r="D117" s="1626"/>
      <c r="E117" s="1626"/>
      <c r="F117" s="1626"/>
      <c r="G117" s="1626"/>
      <c r="H117" s="1626"/>
      <c r="I117" s="1628">
        <f t="shared" si="14"/>
        <v>0</v>
      </c>
      <c r="J117" s="1628">
        <f t="shared" si="14"/>
        <v>0</v>
      </c>
      <c r="K117" s="1626"/>
    </row>
    <row r="118" spans="1:11" x14ac:dyDescent="0.2">
      <c r="A118" s="1615" t="s">
        <v>1614</v>
      </c>
      <c r="B118" s="1625" t="s">
        <v>1615</v>
      </c>
      <c r="C118" s="1626">
        <v>33701</v>
      </c>
      <c r="D118" s="1626"/>
      <c r="E118" s="1626"/>
      <c r="F118" s="1626"/>
      <c r="G118" s="1626"/>
      <c r="H118" s="1626"/>
      <c r="I118" s="1628">
        <f t="shared" si="14"/>
        <v>33701</v>
      </c>
      <c r="J118" s="1628">
        <f t="shared" si="14"/>
        <v>0</v>
      </c>
      <c r="K118" s="1626"/>
    </row>
    <row r="119" spans="1:11" x14ac:dyDescent="0.2">
      <c r="A119" s="1615" t="s">
        <v>1616</v>
      </c>
      <c r="B119" s="1625" t="s">
        <v>1617</v>
      </c>
      <c r="C119" s="1626"/>
      <c r="D119" s="1626"/>
      <c r="E119" s="1626"/>
      <c r="F119" s="1626"/>
      <c r="G119" s="1626"/>
      <c r="H119" s="1626"/>
      <c r="I119" s="1628">
        <f t="shared" si="14"/>
        <v>0</v>
      </c>
      <c r="J119" s="1628">
        <f t="shared" si="14"/>
        <v>0</v>
      </c>
      <c r="K119" s="1626"/>
    </row>
    <row r="120" spans="1:11" ht="25.5" x14ac:dyDescent="0.2">
      <c r="A120" s="1615" t="s">
        <v>1618</v>
      </c>
      <c r="B120" s="1625" t="s">
        <v>1619</v>
      </c>
      <c r="C120" s="1626"/>
      <c r="D120" s="1626"/>
      <c r="E120" s="1626"/>
      <c r="F120" s="1626"/>
      <c r="G120" s="1626"/>
      <c r="H120" s="1626"/>
      <c r="I120" s="1628">
        <f t="shared" si="14"/>
        <v>0</v>
      </c>
      <c r="J120" s="1628">
        <f t="shared" si="14"/>
        <v>0</v>
      </c>
      <c r="K120" s="1626"/>
    </row>
    <row r="121" spans="1:11" ht="12.75" customHeight="1" x14ac:dyDescent="0.2">
      <c r="A121" s="1615" t="s">
        <v>1620</v>
      </c>
      <c r="B121" s="1625" t="s">
        <v>1621</v>
      </c>
      <c r="C121" s="1626"/>
      <c r="D121" s="1626"/>
      <c r="E121" s="1626"/>
      <c r="F121" s="1626"/>
      <c r="G121" s="1626"/>
      <c r="H121" s="1626"/>
      <c r="I121" s="1628">
        <f t="shared" si="14"/>
        <v>0</v>
      </c>
      <c r="J121" s="1628">
        <f t="shared" si="14"/>
        <v>0</v>
      </c>
      <c r="K121" s="1626"/>
    </row>
    <row r="122" spans="1:11" x14ac:dyDescent="0.2">
      <c r="A122" s="1615" t="s">
        <v>1622</v>
      </c>
      <c r="B122" s="1629" t="s">
        <v>1623</v>
      </c>
      <c r="C122" s="1630">
        <f>SUM(C113:C121)</f>
        <v>34190</v>
      </c>
      <c r="D122" s="1630">
        <f>SUM(D113:D121)</f>
        <v>4794</v>
      </c>
      <c r="E122" s="1630">
        <f>SUM(E113:E121)</f>
        <v>64</v>
      </c>
      <c r="F122" s="1630">
        <f>SUM(F113:F121)</f>
        <v>231</v>
      </c>
      <c r="G122" s="1630">
        <f t="shared" ref="G122:H122" si="29">SUM(G113:G121)</f>
        <v>0</v>
      </c>
      <c r="H122" s="1630">
        <f t="shared" si="29"/>
        <v>0</v>
      </c>
      <c r="I122" s="1631">
        <f t="shared" si="14"/>
        <v>34254</v>
      </c>
      <c r="J122" s="1631">
        <f t="shared" si="14"/>
        <v>5025</v>
      </c>
      <c r="K122" s="1630">
        <f t="shared" si="15"/>
        <v>14.66981958311438</v>
      </c>
    </row>
    <row r="123" spans="1:11" ht="25.5" x14ac:dyDescent="0.2">
      <c r="A123" s="1615" t="s">
        <v>1624</v>
      </c>
      <c r="B123" s="1625" t="s">
        <v>1625</v>
      </c>
      <c r="C123" s="1626"/>
      <c r="D123" s="1626"/>
      <c r="E123" s="1626"/>
      <c r="F123" s="1626"/>
      <c r="G123" s="1626"/>
      <c r="H123" s="1626"/>
      <c r="I123" s="1628">
        <f t="shared" si="14"/>
        <v>0</v>
      </c>
      <c r="J123" s="1628">
        <f t="shared" si="14"/>
        <v>0</v>
      </c>
      <c r="K123" s="1626"/>
    </row>
    <row r="124" spans="1:11" ht="25.5" x14ac:dyDescent="0.2">
      <c r="A124" s="1615" t="s">
        <v>1626</v>
      </c>
      <c r="B124" s="1625" t="s">
        <v>1627</v>
      </c>
      <c r="C124" s="1626"/>
      <c r="D124" s="1626"/>
      <c r="E124" s="1626"/>
      <c r="F124" s="1626"/>
      <c r="G124" s="1626"/>
      <c r="H124" s="1626"/>
      <c r="I124" s="1628">
        <f t="shared" si="14"/>
        <v>0</v>
      </c>
      <c r="J124" s="1628">
        <f t="shared" si="14"/>
        <v>0</v>
      </c>
      <c r="K124" s="1626"/>
    </row>
    <row r="125" spans="1:11" ht="25.5" x14ac:dyDescent="0.2">
      <c r="A125" s="1615" t="s">
        <v>1628</v>
      </c>
      <c r="B125" s="1625" t="s">
        <v>1629</v>
      </c>
      <c r="C125" s="1626"/>
      <c r="D125" s="1626"/>
      <c r="E125" s="1626"/>
      <c r="F125" s="1626"/>
      <c r="G125" s="1626"/>
      <c r="H125" s="1626"/>
      <c r="I125" s="1628">
        <f t="shared" si="14"/>
        <v>0</v>
      </c>
      <c r="J125" s="1628">
        <f t="shared" si="14"/>
        <v>0</v>
      </c>
      <c r="K125" s="1626"/>
    </row>
    <row r="126" spans="1:11" ht="25.5" x14ac:dyDescent="0.2">
      <c r="A126" s="1615" t="s">
        <v>1630</v>
      </c>
      <c r="B126" s="1625" t="s">
        <v>1631</v>
      </c>
      <c r="C126" s="1626"/>
      <c r="D126" s="1626"/>
      <c r="E126" s="1626"/>
      <c r="F126" s="1626"/>
      <c r="G126" s="1626"/>
      <c r="H126" s="1626"/>
      <c r="I126" s="1628">
        <f t="shared" si="14"/>
        <v>0</v>
      </c>
      <c r="J126" s="1628">
        <f t="shared" si="14"/>
        <v>0</v>
      </c>
      <c r="K126" s="1626"/>
    </row>
    <row r="127" spans="1:11" ht="25.5" x14ac:dyDescent="0.2">
      <c r="A127" s="1615" t="s">
        <v>1632</v>
      </c>
      <c r="B127" s="1625" t="s">
        <v>1633</v>
      </c>
      <c r="C127" s="1626"/>
      <c r="D127" s="1626"/>
      <c r="E127" s="1626"/>
      <c r="F127" s="1626"/>
      <c r="G127" s="1626"/>
      <c r="H127" s="1626"/>
      <c r="I127" s="1628">
        <f t="shared" si="14"/>
        <v>0</v>
      </c>
      <c r="J127" s="1628">
        <f t="shared" si="14"/>
        <v>0</v>
      </c>
      <c r="K127" s="1626"/>
    </row>
    <row r="128" spans="1:11" ht="12.75" customHeight="1" x14ac:dyDescent="0.2">
      <c r="A128" s="1615" t="s">
        <v>1634</v>
      </c>
      <c r="B128" s="1625" t="s">
        <v>1635</v>
      </c>
      <c r="C128" s="1626"/>
      <c r="D128" s="1626"/>
      <c r="E128" s="1626"/>
      <c r="F128" s="1626"/>
      <c r="G128" s="1626"/>
      <c r="H128" s="1626"/>
      <c r="I128" s="1628">
        <f t="shared" si="14"/>
        <v>0</v>
      </c>
      <c r="J128" s="1628">
        <f t="shared" si="14"/>
        <v>0</v>
      </c>
      <c r="K128" s="1626"/>
    </row>
    <row r="129" spans="1:11" x14ac:dyDescent="0.2">
      <c r="A129" s="1615" t="s">
        <v>1636</v>
      </c>
      <c r="B129" s="1625" t="s">
        <v>1637</v>
      </c>
      <c r="C129" s="1626"/>
      <c r="D129" s="1626"/>
      <c r="E129" s="1626"/>
      <c r="F129" s="1626"/>
      <c r="G129" s="1626"/>
      <c r="H129" s="1626"/>
      <c r="I129" s="1628">
        <f t="shared" si="14"/>
        <v>0</v>
      </c>
      <c r="J129" s="1628">
        <f t="shared" si="14"/>
        <v>0</v>
      </c>
      <c r="K129" s="1626"/>
    </row>
    <row r="130" spans="1:11" ht="25.5" x14ac:dyDescent="0.2">
      <c r="A130" s="1615" t="s">
        <v>1638</v>
      </c>
      <c r="B130" s="1625" t="s">
        <v>1639</v>
      </c>
      <c r="C130" s="1626"/>
      <c r="D130" s="1626"/>
      <c r="E130" s="1626"/>
      <c r="F130" s="1626"/>
      <c r="G130" s="1626"/>
      <c r="H130" s="1626"/>
      <c r="I130" s="1628">
        <f t="shared" si="14"/>
        <v>0</v>
      </c>
      <c r="J130" s="1628">
        <f t="shared" si="14"/>
        <v>0</v>
      </c>
      <c r="K130" s="1626"/>
    </row>
    <row r="131" spans="1:11" ht="25.5" x14ac:dyDescent="0.2">
      <c r="A131" s="1615" t="s">
        <v>1640</v>
      </c>
      <c r="B131" s="1625" t="s">
        <v>1641</v>
      </c>
      <c r="C131" s="1626">
        <v>643062</v>
      </c>
      <c r="D131" s="1626">
        <v>1233164</v>
      </c>
      <c r="E131" s="1626"/>
      <c r="F131" s="1626"/>
      <c r="G131" s="1626"/>
      <c r="H131" s="1626"/>
      <c r="I131" s="1628">
        <f t="shared" ref="I131:J150" si="30">C131+E131+G131</f>
        <v>643062</v>
      </c>
      <c r="J131" s="1628">
        <f t="shared" si="30"/>
        <v>1233164</v>
      </c>
      <c r="K131" s="1626">
        <f t="shared" si="15"/>
        <v>191.76440218828043</v>
      </c>
    </row>
    <row r="132" spans="1:11" ht="25.5" x14ac:dyDescent="0.2">
      <c r="A132" s="1615" t="s">
        <v>1642</v>
      </c>
      <c r="B132" s="1629" t="s">
        <v>1643</v>
      </c>
      <c r="C132" s="1630">
        <f>C125+C131</f>
        <v>643062</v>
      </c>
      <c r="D132" s="1630">
        <f>D125+D131</f>
        <v>1233164</v>
      </c>
      <c r="E132" s="1630">
        <f>SUM(E123:E131)</f>
        <v>0</v>
      </c>
      <c r="F132" s="1630">
        <f>SUM(F123:F131)</f>
        <v>0</v>
      </c>
      <c r="G132" s="1630">
        <f t="shared" ref="G132:H132" si="31">SUM(G123:G131)</f>
        <v>0</v>
      </c>
      <c r="H132" s="1630">
        <f t="shared" si="31"/>
        <v>0</v>
      </c>
      <c r="I132" s="1631">
        <f t="shared" si="30"/>
        <v>643062</v>
      </c>
      <c r="J132" s="1631">
        <f t="shared" si="30"/>
        <v>1233164</v>
      </c>
      <c r="K132" s="1630">
        <f t="shared" si="15"/>
        <v>191.76440218828043</v>
      </c>
    </row>
    <row r="133" spans="1:11" x14ac:dyDescent="0.2">
      <c r="A133" s="1615" t="s">
        <v>1644</v>
      </c>
      <c r="B133" s="1625" t="s">
        <v>1645</v>
      </c>
      <c r="C133" s="1626">
        <v>49252</v>
      </c>
      <c r="D133" s="1626">
        <v>668479</v>
      </c>
      <c r="E133" s="1626"/>
      <c r="F133" s="1626">
        <v>4</v>
      </c>
      <c r="G133" s="1626"/>
      <c r="H133" s="1626"/>
      <c r="I133" s="1628">
        <f t="shared" si="30"/>
        <v>49252</v>
      </c>
      <c r="J133" s="1628">
        <f t="shared" si="30"/>
        <v>668483</v>
      </c>
      <c r="K133" s="1626">
        <f t="shared" si="15"/>
        <v>1357.2707707301226</v>
      </c>
    </row>
    <row r="134" spans="1:11" x14ac:dyDescent="0.2">
      <c r="A134" s="1615" t="s">
        <v>1646</v>
      </c>
      <c r="B134" s="1625" t="s">
        <v>1647</v>
      </c>
      <c r="C134" s="1626"/>
      <c r="D134" s="1626"/>
      <c r="E134" s="1626"/>
      <c r="F134" s="1626"/>
      <c r="G134" s="1626"/>
      <c r="H134" s="1626"/>
      <c r="I134" s="1628">
        <f t="shared" si="30"/>
        <v>0</v>
      </c>
      <c r="J134" s="1628">
        <f t="shared" si="30"/>
        <v>0</v>
      </c>
      <c r="K134" s="1626"/>
    </row>
    <row r="135" spans="1:11" x14ac:dyDescent="0.2">
      <c r="A135" s="1615" t="s">
        <v>1648</v>
      </c>
      <c r="B135" s="1625" t="s">
        <v>1649</v>
      </c>
      <c r="C135" s="1626">
        <v>641</v>
      </c>
      <c r="D135" s="1626">
        <v>1043</v>
      </c>
      <c r="E135" s="1626"/>
      <c r="F135" s="1626"/>
      <c r="G135" s="1626"/>
      <c r="H135" s="1626"/>
      <c r="I135" s="1628">
        <f t="shared" si="30"/>
        <v>641</v>
      </c>
      <c r="J135" s="1628">
        <f t="shared" si="30"/>
        <v>1043</v>
      </c>
      <c r="K135" s="1626">
        <f t="shared" ref="K135:K150" si="32">J135/I135*100</f>
        <v>162.71450858034322</v>
      </c>
    </row>
    <row r="136" spans="1:11" x14ac:dyDescent="0.2">
      <c r="A136" s="1615" t="s">
        <v>1650</v>
      </c>
      <c r="B136" s="1625" t="s">
        <v>1651</v>
      </c>
      <c r="C136" s="1626"/>
      <c r="D136" s="1626"/>
      <c r="E136" s="1626"/>
      <c r="F136" s="1626"/>
      <c r="G136" s="1626"/>
      <c r="H136" s="1626"/>
      <c r="I136" s="1628">
        <f t="shared" si="30"/>
        <v>0</v>
      </c>
      <c r="J136" s="1628">
        <f t="shared" si="30"/>
        <v>0</v>
      </c>
      <c r="K136" s="1626"/>
    </row>
    <row r="137" spans="1:11" ht="25.5" x14ac:dyDescent="0.2">
      <c r="A137" s="1615" t="s">
        <v>1652</v>
      </c>
      <c r="B137" s="1625" t="s">
        <v>1653</v>
      </c>
      <c r="C137" s="1626"/>
      <c r="D137" s="1626"/>
      <c r="E137" s="1626"/>
      <c r="F137" s="1626"/>
      <c r="G137" s="1626"/>
      <c r="H137" s="1626"/>
      <c r="I137" s="1628">
        <f t="shared" si="30"/>
        <v>0</v>
      </c>
      <c r="J137" s="1628">
        <f t="shared" si="30"/>
        <v>0</v>
      </c>
      <c r="K137" s="1626"/>
    </row>
    <row r="138" spans="1:11" ht="25.5" x14ac:dyDescent="0.2">
      <c r="A138" s="1615" t="s">
        <v>1654</v>
      </c>
      <c r="B138" s="1625" t="s">
        <v>1655</v>
      </c>
      <c r="C138" s="1626"/>
      <c r="D138" s="1626"/>
      <c r="E138" s="1626"/>
      <c r="F138" s="1626"/>
      <c r="G138" s="1626"/>
      <c r="H138" s="1626"/>
      <c r="I138" s="1628">
        <f t="shared" si="30"/>
        <v>0</v>
      </c>
      <c r="J138" s="1628">
        <f t="shared" si="30"/>
        <v>0</v>
      </c>
      <c r="K138" s="1626"/>
    </row>
    <row r="139" spans="1:11" ht="25.5" x14ac:dyDescent="0.2">
      <c r="A139" s="1615" t="s">
        <v>1656</v>
      </c>
      <c r="B139" s="1625" t="s">
        <v>1657</v>
      </c>
      <c r="C139" s="1626"/>
      <c r="D139" s="1626"/>
      <c r="E139" s="1626"/>
      <c r="F139" s="1626"/>
      <c r="G139" s="1626"/>
      <c r="H139" s="1626"/>
      <c r="I139" s="1628">
        <f t="shared" si="30"/>
        <v>0</v>
      </c>
      <c r="J139" s="1628">
        <f t="shared" si="30"/>
        <v>0</v>
      </c>
      <c r="K139" s="1626"/>
    </row>
    <row r="140" spans="1:11" ht="12.75" customHeight="1" x14ac:dyDescent="0.2">
      <c r="A140" s="1615" t="s">
        <v>1658</v>
      </c>
      <c r="B140" s="1625" t="s">
        <v>1659</v>
      </c>
      <c r="C140" s="1626">
        <v>3384</v>
      </c>
      <c r="D140" s="1626">
        <v>10947</v>
      </c>
      <c r="E140" s="1626"/>
      <c r="F140" s="1626"/>
      <c r="G140" s="1626">
        <v>150</v>
      </c>
      <c r="H140" s="1626">
        <v>150</v>
      </c>
      <c r="I140" s="1628">
        <f t="shared" si="30"/>
        <v>3534</v>
      </c>
      <c r="J140" s="1628">
        <f t="shared" si="30"/>
        <v>11097</v>
      </c>
      <c r="K140" s="1626">
        <f t="shared" si="32"/>
        <v>314.00679117147712</v>
      </c>
    </row>
    <row r="141" spans="1:11" x14ac:dyDescent="0.2">
      <c r="A141" s="1615" t="s">
        <v>1660</v>
      </c>
      <c r="B141" s="1625" t="s">
        <v>1661</v>
      </c>
      <c r="C141" s="1626"/>
      <c r="D141" s="1626"/>
      <c r="E141" s="1626"/>
      <c r="F141" s="1626"/>
      <c r="G141" s="1626"/>
      <c r="H141" s="1626"/>
      <c r="I141" s="1628">
        <f t="shared" si="30"/>
        <v>0</v>
      </c>
      <c r="J141" s="1628">
        <f t="shared" si="30"/>
        <v>0</v>
      </c>
      <c r="K141" s="1626"/>
    </row>
    <row r="142" spans="1:11" x14ac:dyDescent="0.2">
      <c r="A142" s="1615" t="s">
        <v>1662</v>
      </c>
      <c r="B142" s="1625" t="s">
        <v>1663</v>
      </c>
      <c r="C142" s="1626"/>
      <c r="D142" s="1626"/>
      <c r="E142" s="1626"/>
      <c r="F142" s="1626"/>
      <c r="G142" s="1626"/>
      <c r="H142" s="1626"/>
      <c r="I142" s="1628">
        <f t="shared" si="30"/>
        <v>0</v>
      </c>
      <c r="J142" s="1628">
        <f t="shared" si="30"/>
        <v>0</v>
      </c>
      <c r="K142" s="1626"/>
    </row>
    <row r="143" spans="1:11" x14ac:dyDescent="0.2">
      <c r="A143" s="1615" t="s">
        <v>1664</v>
      </c>
      <c r="B143" s="1629" t="s">
        <v>1665</v>
      </c>
      <c r="C143" s="1630">
        <f t="shared" ref="C143" si="33">SUM(C133:C142)</f>
        <v>53277</v>
      </c>
      <c r="D143" s="1630">
        <f t="shared" ref="D143:H143" si="34">SUM(D133:D142)</f>
        <v>680469</v>
      </c>
      <c r="E143" s="1630"/>
      <c r="F143" s="1630">
        <f t="shared" si="34"/>
        <v>4</v>
      </c>
      <c r="G143" s="1630">
        <f t="shared" si="34"/>
        <v>150</v>
      </c>
      <c r="H143" s="1630">
        <f t="shared" si="34"/>
        <v>150</v>
      </c>
      <c r="I143" s="1631">
        <f t="shared" si="30"/>
        <v>53427</v>
      </c>
      <c r="J143" s="1631">
        <f t="shared" si="30"/>
        <v>680623</v>
      </c>
      <c r="K143" s="1630">
        <f t="shared" si="32"/>
        <v>1273.9307840604938</v>
      </c>
    </row>
    <row r="144" spans="1:11" ht="13.5" x14ac:dyDescent="0.25">
      <c r="A144" s="1615" t="s">
        <v>1666</v>
      </c>
      <c r="B144" s="1635" t="s">
        <v>1667</v>
      </c>
      <c r="C144" s="1636">
        <f t="shared" ref="C144:F144" si="35">C132+C122+C143</f>
        <v>730529</v>
      </c>
      <c r="D144" s="1636">
        <f t="shared" si="35"/>
        <v>1918427</v>
      </c>
      <c r="E144" s="1636">
        <f t="shared" si="35"/>
        <v>64</v>
      </c>
      <c r="F144" s="1636">
        <f t="shared" si="35"/>
        <v>235</v>
      </c>
      <c r="G144" s="1636">
        <f>G132+G122+G143</f>
        <v>150</v>
      </c>
      <c r="H144" s="1636">
        <f>H132+H122+H143</f>
        <v>150</v>
      </c>
      <c r="I144" s="1637">
        <f t="shared" si="30"/>
        <v>730743</v>
      </c>
      <c r="J144" s="1637">
        <f t="shared" si="30"/>
        <v>1918812</v>
      </c>
      <c r="K144" s="1636">
        <f t="shared" si="32"/>
        <v>262.5836990569872</v>
      </c>
    </row>
    <row r="145" spans="1:11" ht="27" x14ac:dyDescent="0.25">
      <c r="A145" s="1615" t="s">
        <v>1668</v>
      </c>
      <c r="B145" s="1635" t="s">
        <v>1669</v>
      </c>
      <c r="C145" s="1636"/>
      <c r="D145" s="1636"/>
      <c r="E145" s="1636"/>
      <c r="F145" s="1636"/>
      <c r="G145" s="1636"/>
      <c r="H145" s="1636"/>
      <c r="I145" s="1637">
        <f t="shared" si="30"/>
        <v>0</v>
      </c>
      <c r="J145" s="1637">
        <f t="shared" si="30"/>
        <v>0</v>
      </c>
      <c r="K145" s="1636"/>
    </row>
    <row r="146" spans="1:11" x14ac:dyDescent="0.2">
      <c r="A146" s="1615" t="s">
        <v>1670</v>
      </c>
      <c r="B146" s="1625" t="s">
        <v>1671</v>
      </c>
      <c r="C146" s="1626"/>
      <c r="D146" s="1626"/>
      <c r="E146" s="1626"/>
      <c r="F146" s="1626"/>
      <c r="G146" s="1626"/>
      <c r="H146" s="1626">
        <v>12473</v>
      </c>
      <c r="I146" s="1628">
        <f t="shared" si="30"/>
        <v>0</v>
      </c>
      <c r="J146" s="1628">
        <f t="shared" si="30"/>
        <v>12473</v>
      </c>
      <c r="K146" s="1626"/>
    </row>
    <row r="147" spans="1:11" x14ac:dyDescent="0.2">
      <c r="A147" s="1615" t="s">
        <v>1672</v>
      </c>
      <c r="B147" s="1625" t="s">
        <v>1673</v>
      </c>
      <c r="C147" s="1626">
        <v>5621</v>
      </c>
      <c r="D147" s="1626">
        <v>4704</v>
      </c>
      <c r="E147" s="1626">
        <v>15073</v>
      </c>
      <c r="F147" s="1626">
        <v>15914</v>
      </c>
      <c r="G147" s="1626">
        <v>61311</v>
      </c>
      <c r="H147" s="1626">
        <v>63756</v>
      </c>
      <c r="I147" s="1628">
        <f>C147+E147+G147</f>
        <v>82005</v>
      </c>
      <c r="J147" s="1628">
        <f>D147+E147+H147</f>
        <v>83533</v>
      </c>
      <c r="K147" s="1626">
        <f t="shared" si="32"/>
        <v>101.8633010182306</v>
      </c>
    </row>
    <row r="148" spans="1:11" x14ac:dyDescent="0.2">
      <c r="A148" s="1615" t="s">
        <v>1674</v>
      </c>
      <c r="B148" s="1625" t="s">
        <v>1675</v>
      </c>
      <c r="C148" s="1626">
        <v>205990</v>
      </c>
      <c r="D148" s="1626">
        <v>758223</v>
      </c>
      <c r="E148" s="1626"/>
      <c r="F148" s="1626"/>
      <c r="G148" s="1626">
        <v>176</v>
      </c>
      <c r="H148" s="1626">
        <v>81</v>
      </c>
      <c r="I148" s="1628">
        <f t="shared" si="30"/>
        <v>206166</v>
      </c>
      <c r="J148" s="1628">
        <f t="shared" si="30"/>
        <v>758304</v>
      </c>
      <c r="K148" s="1626">
        <f t="shared" si="32"/>
        <v>367.81234539157765</v>
      </c>
    </row>
    <row r="149" spans="1:11" s="1619" customFormat="1" ht="13.5" x14ac:dyDescent="0.25">
      <c r="A149" s="1615" t="s">
        <v>1676</v>
      </c>
      <c r="B149" s="1635" t="s">
        <v>1677</v>
      </c>
      <c r="C149" s="1636">
        <f t="shared" ref="C149:G149" si="36">SUM(C147:C148)</f>
        <v>211611</v>
      </c>
      <c r="D149" s="1636">
        <f t="shared" si="36"/>
        <v>762927</v>
      </c>
      <c r="E149" s="1636">
        <f t="shared" si="36"/>
        <v>15073</v>
      </c>
      <c r="F149" s="1636">
        <f t="shared" si="36"/>
        <v>15914</v>
      </c>
      <c r="G149" s="1636">
        <f t="shared" si="36"/>
        <v>61487</v>
      </c>
      <c r="H149" s="1636">
        <f>SUM(H146:H148)</f>
        <v>76310</v>
      </c>
      <c r="I149" s="1637">
        <f t="shared" si="30"/>
        <v>288171</v>
      </c>
      <c r="J149" s="1637">
        <f t="shared" si="30"/>
        <v>855151</v>
      </c>
      <c r="K149" s="1636">
        <f t="shared" si="32"/>
        <v>296.75123451006522</v>
      </c>
    </row>
    <row r="150" spans="1:11" x14ac:dyDescent="0.2">
      <c r="A150" s="1653" t="s">
        <v>1678</v>
      </c>
      <c r="B150" s="1654" t="s">
        <v>1679</v>
      </c>
      <c r="C150" s="1651">
        <f>C112+C144+C145+C149</f>
        <v>19232945</v>
      </c>
      <c r="D150" s="1651">
        <f t="shared" ref="D150:H150" si="37">D112+D144+D145+D149</f>
        <v>21444680</v>
      </c>
      <c r="E150" s="1651">
        <f t="shared" si="37"/>
        <v>19371</v>
      </c>
      <c r="F150" s="1651">
        <f t="shared" si="37"/>
        <v>19837</v>
      </c>
      <c r="G150" s="1651">
        <f t="shared" si="37"/>
        <v>86155</v>
      </c>
      <c r="H150" s="1651">
        <f t="shared" si="37"/>
        <v>96695</v>
      </c>
      <c r="I150" s="1650">
        <f t="shared" si="30"/>
        <v>19338471</v>
      </c>
      <c r="J150" s="1650">
        <f t="shared" si="30"/>
        <v>21561212</v>
      </c>
      <c r="K150" s="1651">
        <f t="shared" si="32"/>
        <v>111.49388180689155</v>
      </c>
    </row>
    <row r="151" spans="1:11" x14ac:dyDescent="0.2">
      <c r="C151" s="1626"/>
      <c r="D151" s="1626"/>
      <c r="E151" s="1626"/>
      <c r="F151" s="1626"/>
      <c r="G151" s="1626"/>
      <c r="H151" s="1626"/>
      <c r="I151" s="1626"/>
      <c r="J151" s="1626"/>
      <c r="K151" s="1626"/>
    </row>
    <row r="152" spans="1:11" x14ac:dyDescent="0.2">
      <c r="C152" s="1626"/>
      <c r="D152" s="1626"/>
      <c r="E152" s="1626"/>
      <c r="F152" s="1626"/>
      <c r="G152" s="1626"/>
      <c r="H152" s="1626"/>
      <c r="I152" s="1626"/>
      <c r="J152" s="1626"/>
      <c r="K152" s="1626"/>
    </row>
    <row r="153" spans="1:11" x14ac:dyDescent="0.2">
      <c r="C153" s="1626"/>
      <c r="D153" s="1626"/>
      <c r="E153" s="1626"/>
      <c r="F153" s="1626"/>
      <c r="G153" s="1626"/>
      <c r="H153" s="1626"/>
      <c r="I153" s="1626"/>
      <c r="J153" s="1626"/>
      <c r="K153" s="1626"/>
    </row>
    <row r="154" spans="1:11" x14ac:dyDescent="0.2">
      <c r="C154" s="1626"/>
      <c r="D154" s="1626"/>
      <c r="E154" s="1626"/>
      <c r="F154" s="1626"/>
      <c r="G154" s="1626"/>
      <c r="H154" s="1626"/>
      <c r="I154" s="1626"/>
      <c r="J154" s="1626"/>
      <c r="K154" s="1626"/>
    </row>
    <row r="155" spans="1:11" x14ac:dyDescent="0.2">
      <c r="C155" s="1626"/>
      <c r="D155" s="1626"/>
      <c r="E155" s="1626"/>
      <c r="F155" s="1626"/>
      <c r="G155" s="1626"/>
      <c r="H155" s="1626"/>
      <c r="I155" s="1626"/>
      <c r="J155" s="1626"/>
      <c r="K155" s="1626"/>
    </row>
    <row r="156" spans="1:11" x14ac:dyDescent="0.2">
      <c r="C156" s="1626"/>
      <c r="D156" s="1626"/>
      <c r="E156" s="1626"/>
      <c r="F156" s="1626"/>
      <c r="G156" s="1626"/>
      <c r="H156" s="1626"/>
      <c r="I156" s="1626"/>
      <c r="J156" s="1626"/>
      <c r="K156" s="1626"/>
    </row>
    <row r="157" spans="1:11" x14ac:dyDescent="0.2">
      <c r="C157" s="1626"/>
      <c r="D157" s="1626"/>
      <c r="E157" s="1626"/>
      <c r="F157" s="1626"/>
      <c r="G157" s="1626"/>
      <c r="H157" s="1626"/>
      <c r="I157" s="1626"/>
      <c r="J157" s="1626"/>
      <c r="K157" s="1626"/>
    </row>
    <row r="158" spans="1:11" x14ac:dyDescent="0.2">
      <c r="C158" s="1626"/>
      <c r="D158" s="1626"/>
      <c r="E158" s="1626"/>
      <c r="F158" s="1626"/>
      <c r="G158" s="1626"/>
      <c r="H158" s="1626"/>
      <c r="I158" s="1626"/>
      <c r="J158" s="1626"/>
      <c r="K158" s="1626"/>
    </row>
    <row r="159" spans="1:11" x14ac:dyDescent="0.2">
      <c r="C159" s="1626"/>
      <c r="D159" s="1626"/>
      <c r="E159" s="1626"/>
      <c r="F159" s="1626"/>
      <c r="G159" s="1626"/>
      <c r="H159" s="1626"/>
      <c r="I159" s="1626"/>
      <c r="J159" s="1626"/>
      <c r="K159" s="1626"/>
    </row>
    <row r="160" spans="1:11" x14ac:dyDescent="0.2">
      <c r="C160" s="1626"/>
      <c r="D160" s="1626"/>
      <c r="E160" s="1626"/>
      <c r="F160" s="1626"/>
      <c r="G160" s="1626"/>
      <c r="H160" s="1626"/>
      <c r="I160" s="1626"/>
      <c r="J160" s="1626"/>
      <c r="K160" s="1626"/>
    </row>
    <row r="161" spans="3:11" x14ac:dyDescent="0.2">
      <c r="C161" s="1626"/>
      <c r="D161" s="1626"/>
      <c r="E161" s="1626"/>
      <c r="F161" s="1626"/>
      <c r="G161" s="1626"/>
      <c r="H161" s="1626"/>
      <c r="I161" s="1626"/>
      <c r="J161" s="1626"/>
      <c r="K161" s="1626"/>
    </row>
    <row r="162" spans="3:11" x14ac:dyDescent="0.2">
      <c r="C162" s="1626"/>
      <c r="D162" s="1626"/>
      <c r="E162" s="1626"/>
      <c r="F162" s="1626"/>
      <c r="G162" s="1626"/>
      <c r="H162" s="1626"/>
      <c r="I162" s="1626"/>
      <c r="J162" s="1626"/>
      <c r="K162" s="1626"/>
    </row>
    <row r="163" spans="3:11" x14ac:dyDescent="0.2">
      <c r="C163" s="1626"/>
      <c r="D163" s="1626"/>
      <c r="E163" s="1626"/>
      <c r="F163" s="1626"/>
      <c r="G163" s="1626"/>
      <c r="H163" s="1626"/>
      <c r="I163" s="1626"/>
      <c r="J163" s="1626"/>
      <c r="K163" s="1626"/>
    </row>
    <row r="164" spans="3:11" x14ac:dyDescent="0.2">
      <c r="C164" s="1626"/>
      <c r="D164" s="1626"/>
      <c r="E164" s="1626"/>
      <c r="F164" s="1626"/>
      <c r="G164" s="1626"/>
      <c r="H164" s="1626"/>
      <c r="I164" s="1626"/>
      <c r="J164" s="1626"/>
      <c r="K164" s="1626"/>
    </row>
    <row r="165" spans="3:11" x14ac:dyDescent="0.2">
      <c r="C165" s="1626"/>
      <c r="D165" s="1626"/>
      <c r="E165" s="1626"/>
      <c r="F165" s="1626"/>
      <c r="G165" s="1626"/>
      <c r="H165" s="1626"/>
      <c r="I165" s="1626"/>
      <c r="J165" s="1626"/>
      <c r="K165" s="1626"/>
    </row>
    <row r="166" spans="3:11" x14ac:dyDescent="0.2">
      <c r="C166" s="1626"/>
      <c r="D166" s="1626"/>
      <c r="E166" s="1626"/>
      <c r="F166" s="1626"/>
      <c r="G166" s="1626"/>
      <c r="H166" s="1626"/>
      <c r="I166" s="1626"/>
      <c r="J166" s="1626"/>
      <c r="K166" s="1626"/>
    </row>
    <row r="167" spans="3:11" x14ac:dyDescent="0.2">
      <c r="C167" s="1626"/>
      <c r="D167" s="1626"/>
      <c r="E167" s="1626"/>
      <c r="F167" s="1626"/>
      <c r="G167" s="1626"/>
      <c r="H167" s="1626"/>
      <c r="I167" s="1626"/>
      <c r="J167" s="1626"/>
      <c r="K167" s="1626"/>
    </row>
    <row r="168" spans="3:11" x14ac:dyDescent="0.2">
      <c r="C168" s="1626"/>
      <c r="D168" s="1626"/>
      <c r="E168" s="1626"/>
      <c r="F168" s="1626"/>
      <c r="G168" s="1626"/>
      <c r="H168" s="1626"/>
      <c r="I168" s="1626"/>
      <c r="J168" s="1626"/>
      <c r="K168" s="1626"/>
    </row>
    <row r="169" spans="3:11" x14ac:dyDescent="0.2">
      <c r="C169" s="1626"/>
      <c r="D169" s="1626"/>
      <c r="E169" s="1626"/>
      <c r="F169" s="1626"/>
      <c r="G169" s="1626"/>
      <c r="H169" s="1626"/>
      <c r="I169" s="1626"/>
      <c r="J169" s="1626"/>
      <c r="K169" s="1626"/>
    </row>
    <row r="170" spans="3:11" x14ac:dyDescent="0.2">
      <c r="C170" s="1626"/>
      <c r="D170" s="1626"/>
      <c r="E170" s="1626"/>
      <c r="F170" s="1626"/>
      <c r="G170" s="1626"/>
      <c r="H170" s="1626"/>
      <c r="I170" s="1626"/>
      <c r="J170" s="1626"/>
      <c r="K170" s="1626"/>
    </row>
    <row r="171" spans="3:11" x14ac:dyDescent="0.2">
      <c r="C171" s="1626"/>
      <c r="D171" s="1626"/>
      <c r="E171" s="1626"/>
      <c r="F171" s="1626"/>
      <c r="G171" s="1626"/>
      <c r="H171" s="1626"/>
      <c r="I171" s="1626"/>
      <c r="J171" s="1626"/>
      <c r="K171" s="1626"/>
    </row>
    <row r="172" spans="3:11" x14ac:dyDescent="0.2">
      <c r="C172" s="1626"/>
      <c r="D172" s="1626"/>
      <c r="E172" s="1626"/>
      <c r="F172" s="1626"/>
      <c r="G172" s="1626"/>
      <c r="H172" s="1626"/>
      <c r="I172" s="1626"/>
      <c r="J172" s="1626"/>
      <c r="K172" s="1626"/>
    </row>
    <row r="173" spans="3:11" x14ac:dyDescent="0.2">
      <c r="C173" s="1626"/>
      <c r="D173" s="1626"/>
      <c r="E173" s="1626"/>
      <c r="F173" s="1626"/>
      <c r="G173" s="1626"/>
      <c r="H173" s="1626"/>
      <c r="I173" s="1626"/>
      <c r="J173" s="1626"/>
      <c r="K173" s="1626"/>
    </row>
    <row r="174" spans="3:11" x14ac:dyDescent="0.2">
      <c r="C174" s="1626"/>
      <c r="D174" s="1626"/>
      <c r="E174" s="1626"/>
      <c r="F174" s="1626"/>
      <c r="G174" s="1626"/>
      <c r="H174" s="1626"/>
      <c r="I174" s="1626"/>
      <c r="J174" s="1626"/>
      <c r="K174" s="1626"/>
    </row>
    <row r="175" spans="3:11" x14ac:dyDescent="0.2">
      <c r="C175" s="1626"/>
      <c r="D175" s="1626"/>
      <c r="E175" s="1626"/>
      <c r="F175" s="1626"/>
      <c r="G175" s="1626"/>
      <c r="H175" s="1626"/>
      <c r="I175" s="1626"/>
      <c r="J175" s="1626"/>
      <c r="K175" s="1626"/>
    </row>
    <row r="176" spans="3:11" x14ac:dyDescent="0.2">
      <c r="C176" s="1626"/>
      <c r="D176" s="1626"/>
      <c r="E176" s="1626"/>
      <c r="F176" s="1626"/>
      <c r="G176" s="1626"/>
      <c r="H176" s="1626"/>
      <c r="I176" s="1626"/>
      <c r="J176" s="1626"/>
      <c r="K176" s="1626"/>
    </row>
    <row r="177" spans="3:11" x14ac:dyDescent="0.2">
      <c r="C177" s="1626"/>
      <c r="D177" s="1626"/>
      <c r="E177" s="1626"/>
      <c r="F177" s="1626"/>
      <c r="G177" s="1626"/>
      <c r="H177" s="1626"/>
      <c r="I177" s="1626"/>
      <c r="J177" s="1626"/>
      <c r="K177" s="1626"/>
    </row>
    <row r="178" spans="3:11" x14ac:dyDescent="0.2">
      <c r="C178" s="1626"/>
      <c r="D178" s="1626"/>
      <c r="E178" s="1626"/>
      <c r="F178" s="1626"/>
      <c r="G178" s="1626"/>
      <c r="H178" s="1626"/>
      <c r="I178" s="1626"/>
      <c r="J178" s="1626"/>
      <c r="K178" s="1626"/>
    </row>
    <row r="179" spans="3:11" x14ac:dyDescent="0.2">
      <c r="C179" s="1626"/>
      <c r="D179" s="1626"/>
      <c r="E179" s="1626"/>
      <c r="F179" s="1626"/>
      <c r="G179" s="1626"/>
      <c r="H179" s="1626"/>
      <c r="I179" s="1626"/>
      <c r="J179" s="1626"/>
      <c r="K179" s="1626"/>
    </row>
    <row r="180" spans="3:11" x14ac:dyDescent="0.2">
      <c r="C180" s="1626"/>
      <c r="D180" s="1626"/>
      <c r="E180" s="1626"/>
      <c r="F180" s="1626"/>
      <c r="G180" s="1626"/>
      <c r="H180" s="1626"/>
      <c r="I180" s="1626"/>
      <c r="J180" s="1626"/>
      <c r="K180" s="1626"/>
    </row>
    <row r="181" spans="3:11" x14ac:dyDescent="0.2">
      <c r="C181" s="1626"/>
      <c r="D181" s="1626"/>
      <c r="E181" s="1626"/>
      <c r="F181" s="1626"/>
      <c r="G181" s="1626"/>
      <c r="H181" s="1626"/>
      <c r="I181" s="1626"/>
      <c r="J181" s="1626"/>
      <c r="K181" s="1626"/>
    </row>
    <row r="182" spans="3:11" x14ac:dyDescent="0.2">
      <c r="C182" s="1626"/>
      <c r="D182" s="1626"/>
      <c r="E182" s="1626"/>
      <c r="F182" s="1626"/>
      <c r="G182" s="1626"/>
      <c r="H182" s="1626"/>
      <c r="I182" s="1626"/>
      <c r="J182" s="1626"/>
      <c r="K182" s="1626"/>
    </row>
    <row r="183" spans="3:11" x14ac:dyDescent="0.2">
      <c r="C183" s="1626"/>
      <c r="D183" s="1626"/>
      <c r="E183" s="1626"/>
      <c r="F183" s="1626"/>
      <c r="G183" s="1626"/>
      <c r="H183" s="1626"/>
      <c r="I183" s="1626"/>
      <c r="J183" s="1626"/>
      <c r="K183" s="1626"/>
    </row>
    <row r="184" spans="3:11" x14ac:dyDescent="0.2">
      <c r="C184" s="1626"/>
      <c r="D184" s="1626"/>
      <c r="E184" s="1626"/>
      <c r="F184" s="1626"/>
      <c r="G184" s="1626"/>
      <c r="H184" s="1626"/>
      <c r="I184" s="1626"/>
      <c r="J184" s="1626"/>
      <c r="K184" s="1626"/>
    </row>
    <row r="185" spans="3:11" x14ac:dyDescent="0.2">
      <c r="C185" s="1626"/>
      <c r="D185" s="1626"/>
      <c r="E185" s="1626"/>
      <c r="F185" s="1626"/>
      <c r="G185" s="1626"/>
      <c r="H185" s="1626"/>
      <c r="I185" s="1626"/>
      <c r="J185" s="1626"/>
      <c r="K185" s="1626"/>
    </row>
    <row r="186" spans="3:11" x14ac:dyDescent="0.2">
      <c r="C186" s="1626"/>
      <c r="D186" s="1626"/>
      <c r="E186" s="1626"/>
      <c r="F186" s="1626"/>
      <c r="G186" s="1626"/>
      <c r="H186" s="1626"/>
      <c r="I186" s="1626"/>
      <c r="J186" s="1626"/>
      <c r="K186" s="1626"/>
    </row>
    <row r="187" spans="3:11" x14ac:dyDescent="0.2">
      <c r="C187" s="1626"/>
      <c r="D187" s="1626"/>
      <c r="E187" s="1626"/>
      <c r="F187" s="1626"/>
      <c r="G187" s="1626"/>
      <c r="H187" s="1626"/>
      <c r="I187" s="1626"/>
      <c r="J187" s="1626"/>
      <c r="K187" s="1626"/>
    </row>
    <row r="188" spans="3:11" x14ac:dyDescent="0.2">
      <c r="C188" s="1626"/>
      <c r="D188" s="1626"/>
      <c r="E188" s="1626"/>
      <c r="F188" s="1626"/>
      <c r="G188" s="1626"/>
      <c r="H188" s="1626"/>
      <c r="I188" s="1626"/>
      <c r="J188" s="1626"/>
      <c r="K188" s="1626"/>
    </row>
    <row r="189" spans="3:11" x14ac:dyDescent="0.2">
      <c r="C189" s="1626"/>
      <c r="D189" s="1626"/>
      <c r="E189" s="1626"/>
      <c r="F189" s="1626"/>
      <c r="G189" s="1626"/>
      <c r="H189" s="1626"/>
      <c r="I189" s="1626"/>
      <c r="J189" s="1626"/>
      <c r="K189" s="1626"/>
    </row>
    <row r="190" spans="3:11" x14ac:dyDescent="0.2">
      <c r="C190" s="1626"/>
      <c r="D190" s="1626"/>
      <c r="E190" s="1626"/>
      <c r="F190" s="1626"/>
      <c r="G190" s="1626"/>
      <c r="H190" s="1626"/>
      <c r="I190" s="1626"/>
      <c r="J190" s="1626"/>
      <c r="K190" s="1626"/>
    </row>
    <row r="191" spans="3:11" x14ac:dyDescent="0.2">
      <c r="C191" s="1626"/>
      <c r="D191" s="1626"/>
      <c r="E191" s="1626"/>
      <c r="F191" s="1626"/>
      <c r="G191" s="1626"/>
      <c r="H191" s="1626"/>
      <c r="I191" s="1626"/>
      <c r="J191" s="1626"/>
      <c r="K191" s="1626"/>
    </row>
    <row r="192" spans="3:11" x14ac:dyDescent="0.2">
      <c r="C192" s="1626"/>
      <c r="D192" s="1626"/>
      <c r="E192" s="1626"/>
      <c r="F192" s="1626"/>
      <c r="G192" s="1626"/>
      <c r="H192" s="1626"/>
      <c r="I192" s="1626"/>
      <c r="J192" s="1626"/>
      <c r="K192" s="1626"/>
    </row>
    <row r="193" spans="3:11" x14ac:dyDescent="0.2">
      <c r="C193" s="1626"/>
      <c r="D193" s="1626"/>
      <c r="E193" s="1626"/>
      <c r="F193" s="1626"/>
      <c r="G193" s="1626"/>
      <c r="H193" s="1626"/>
      <c r="I193" s="1626"/>
      <c r="J193" s="1626"/>
      <c r="K193" s="1626"/>
    </row>
    <row r="194" spans="3:11" x14ac:dyDescent="0.2">
      <c r="C194" s="1626"/>
      <c r="D194" s="1626"/>
      <c r="E194" s="1626"/>
      <c r="F194" s="1626"/>
      <c r="G194" s="1626"/>
      <c r="H194" s="1626"/>
      <c r="I194" s="1626"/>
      <c r="J194" s="1626"/>
      <c r="K194" s="1626"/>
    </row>
    <row r="195" spans="3:11" x14ac:dyDescent="0.2">
      <c r="C195" s="1626"/>
      <c r="D195" s="1626"/>
      <c r="E195" s="1626"/>
      <c r="F195" s="1626"/>
      <c r="G195" s="1626"/>
      <c r="H195" s="1626"/>
      <c r="I195" s="1626"/>
      <c r="J195" s="1626"/>
      <c r="K195" s="1626"/>
    </row>
    <row r="196" spans="3:11" x14ac:dyDescent="0.2">
      <c r="C196" s="1626"/>
      <c r="D196" s="1626"/>
      <c r="E196" s="1626"/>
      <c r="F196" s="1626"/>
      <c r="G196" s="1626"/>
      <c r="H196" s="1626"/>
      <c r="I196" s="1626"/>
      <c r="J196" s="1626"/>
      <c r="K196" s="1626"/>
    </row>
    <row r="197" spans="3:11" x14ac:dyDescent="0.2">
      <c r="C197" s="1626"/>
      <c r="D197" s="1626"/>
      <c r="E197" s="1626"/>
      <c r="F197" s="1626"/>
      <c r="G197" s="1626"/>
      <c r="H197" s="1626"/>
      <c r="I197" s="1626"/>
      <c r="J197" s="1626"/>
      <c r="K197" s="1626"/>
    </row>
    <row r="198" spans="3:11" x14ac:dyDescent="0.2">
      <c r="C198" s="1626"/>
      <c r="D198" s="1626"/>
      <c r="E198" s="1626"/>
      <c r="F198" s="1626"/>
      <c r="G198" s="1626"/>
      <c r="H198" s="1626"/>
      <c r="I198" s="1626"/>
      <c r="J198" s="1626"/>
      <c r="K198" s="1626"/>
    </row>
    <row r="199" spans="3:11" x14ac:dyDescent="0.2">
      <c r="C199" s="1626"/>
      <c r="D199" s="1626"/>
      <c r="E199" s="1626"/>
      <c r="F199" s="1626"/>
      <c r="G199" s="1626"/>
      <c r="H199" s="1626"/>
      <c r="I199" s="1626"/>
      <c r="J199" s="1626"/>
      <c r="K199" s="1626"/>
    </row>
    <row r="200" spans="3:11" x14ac:dyDescent="0.2">
      <c r="C200" s="1626"/>
      <c r="D200" s="1626"/>
      <c r="E200" s="1626"/>
      <c r="F200" s="1626"/>
      <c r="G200" s="1626"/>
      <c r="H200" s="1626"/>
      <c r="I200" s="1626"/>
      <c r="J200" s="1626"/>
      <c r="K200" s="1626"/>
    </row>
    <row r="201" spans="3:11" x14ac:dyDescent="0.2">
      <c r="C201" s="1626"/>
      <c r="D201" s="1626"/>
      <c r="E201" s="1626"/>
      <c r="F201" s="1626"/>
      <c r="G201" s="1626"/>
      <c r="H201" s="1626"/>
      <c r="I201" s="1626"/>
      <c r="J201" s="1626"/>
      <c r="K201" s="1626"/>
    </row>
    <row r="202" spans="3:11" x14ac:dyDescent="0.2">
      <c r="C202" s="1626"/>
      <c r="D202" s="1626"/>
      <c r="E202" s="1626"/>
      <c r="F202" s="1626"/>
      <c r="G202" s="1626"/>
      <c r="H202" s="1626"/>
      <c r="I202" s="1626"/>
      <c r="J202" s="1626"/>
      <c r="K202" s="1626"/>
    </row>
    <row r="203" spans="3:11" x14ac:dyDescent="0.2">
      <c r="C203" s="1626"/>
      <c r="D203" s="1626"/>
      <c r="E203" s="1626"/>
      <c r="F203" s="1626"/>
      <c r="G203" s="1626"/>
      <c r="H203" s="1626"/>
      <c r="I203" s="1626"/>
      <c r="J203" s="1626"/>
      <c r="K203" s="1626"/>
    </row>
    <row r="204" spans="3:11" x14ac:dyDescent="0.2">
      <c r="C204" s="1626"/>
      <c r="D204" s="1626"/>
      <c r="E204" s="1626"/>
      <c r="F204" s="1626"/>
      <c r="G204" s="1626"/>
      <c r="H204" s="1626"/>
      <c r="I204" s="1626"/>
      <c r="J204" s="1626"/>
      <c r="K204" s="1626"/>
    </row>
    <row r="205" spans="3:11" x14ac:dyDescent="0.2">
      <c r="C205" s="1626"/>
      <c r="D205" s="1626"/>
      <c r="E205" s="1626"/>
      <c r="F205" s="1626"/>
      <c r="G205" s="1626"/>
      <c r="H205" s="1626"/>
      <c r="I205" s="1626"/>
      <c r="J205" s="1626"/>
      <c r="K205" s="1626"/>
    </row>
    <row r="206" spans="3:11" x14ac:dyDescent="0.2">
      <c r="C206" s="1626"/>
      <c r="D206" s="1626"/>
      <c r="E206" s="1626"/>
      <c r="F206" s="1626"/>
      <c r="G206" s="1626"/>
      <c r="H206" s="1626"/>
      <c r="I206" s="1626"/>
      <c r="J206" s="1626"/>
      <c r="K206" s="1626"/>
    </row>
    <row r="207" spans="3:11" x14ac:dyDescent="0.2">
      <c r="C207" s="1626"/>
      <c r="D207" s="1626"/>
      <c r="E207" s="1626"/>
      <c r="F207" s="1626"/>
      <c r="G207" s="1626"/>
      <c r="H207" s="1626"/>
      <c r="I207" s="1626"/>
      <c r="J207" s="1626"/>
      <c r="K207" s="1626"/>
    </row>
    <row r="208" spans="3:11" x14ac:dyDescent="0.2">
      <c r="C208" s="1626"/>
      <c r="D208" s="1626"/>
      <c r="E208" s="1626"/>
      <c r="F208" s="1626"/>
      <c r="G208" s="1626"/>
      <c r="H208" s="1626"/>
      <c r="I208" s="1626"/>
      <c r="J208" s="1626"/>
      <c r="K208" s="1626"/>
    </row>
    <row r="209" spans="3:11" x14ac:dyDescent="0.2">
      <c r="C209" s="1626"/>
      <c r="D209" s="1626"/>
      <c r="E209" s="1626"/>
      <c r="F209" s="1626"/>
      <c r="G209" s="1626"/>
      <c r="H209" s="1626"/>
      <c r="I209" s="1626"/>
      <c r="J209" s="1626"/>
      <c r="K209" s="1626"/>
    </row>
    <row r="210" spans="3:11" x14ac:dyDescent="0.2">
      <c r="C210" s="1626"/>
      <c r="D210" s="1626"/>
      <c r="E210" s="1626"/>
      <c r="F210" s="1626"/>
      <c r="G210" s="1626"/>
      <c r="H210" s="1626"/>
      <c r="I210" s="1626"/>
      <c r="J210" s="1626"/>
      <c r="K210" s="1626"/>
    </row>
    <row r="211" spans="3:11" x14ac:dyDescent="0.2">
      <c r="C211" s="1626"/>
      <c r="D211" s="1626"/>
      <c r="E211" s="1626"/>
      <c r="F211" s="1626"/>
      <c r="G211" s="1626"/>
      <c r="H211" s="1626"/>
      <c r="I211" s="1626"/>
      <c r="J211" s="1626"/>
      <c r="K211" s="1626"/>
    </row>
    <row r="212" spans="3:11" x14ac:dyDescent="0.2">
      <c r="C212" s="1626"/>
      <c r="D212" s="1626"/>
      <c r="E212" s="1626"/>
      <c r="F212" s="1626"/>
      <c r="G212" s="1626"/>
      <c r="H212" s="1626"/>
      <c r="I212" s="1626"/>
      <c r="J212" s="1626"/>
      <c r="K212" s="1626"/>
    </row>
    <row r="213" spans="3:11" x14ac:dyDescent="0.2">
      <c r="C213" s="1626"/>
      <c r="D213" s="1626"/>
      <c r="E213" s="1626"/>
      <c r="F213" s="1626"/>
      <c r="G213" s="1626"/>
      <c r="H213" s="1626"/>
      <c r="I213" s="1626"/>
      <c r="J213" s="1626"/>
      <c r="K213" s="1626"/>
    </row>
    <row r="214" spans="3:11" x14ac:dyDescent="0.2">
      <c r="C214" s="1626"/>
      <c r="D214" s="1626"/>
      <c r="E214" s="1626"/>
      <c r="F214" s="1626"/>
      <c r="G214" s="1626"/>
      <c r="H214" s="1626"/>
      <c r="I214" s="1626"/>
      <c r="J214" s="1626"/>
      <c r="K214" s="1626"/>
    </row>
    <row r="215" spans="3:11" x14ac:dyDescent="0.2">
      <c r="C215" s="1626"/>
      <c r="D215" s="1626"/>
      <c r="E215" s="1626"/>
      <c r="F215" s="1626"/>
      <c r="G215" s="1626"/>
      <c r="H215" s="1626"/>
      <c r="I215" s="1626"/>
      <c r="J215" s="1626"/>
      <c r="K215" s="1626"/>
    </row>
    <row r="216" spans="3:11" x14ac:dyDescent="0.2">
      <c r="C216" s="1626"/>
      <c r="D216" s="1626"/>
      <c r="E216" s="1626"/>
      <c r="F216" s="1626"/>
      <c r="G216" s="1626"/>
      <c r="H216" s="1626"/>
      <c r="I216" s="1626"/>
      <c r="J216" s="1626"/>
      <c r="K216" s="1626"/>
    </row>
    <row r="217" spans="3:11" x14ac:dyDescent="0.2">
      <c r="C217" s="1626"/>
      <c r="D217" s="1626"/>
      <c r="E217" s="1626"/>
      <c r="F217" s="1626"/>
      <c r="G217" s="1626"/>
      <c r="H217" s="1626"/>
      <c r="I217" s="1626"/>
      <c r="J217" s="1626"/>
      <c r="K217" s="1626"/>
    </row>
    <row r="218" spans="3:11" x14ac:dyDescent="0.2">
      <c r="C218" s="1626"/>
      <c r="D218" s="1626"/>
      <c r="E218" s="1626"/>
      <c r="F218" s="1626"/>
      <c r="I218" s="1626"/>
      <c r="J218" s="1626"/>
      <c r="K218" s="1626"/>
    </row>
    <row r="219" spans="3:11" x14ac:dyDescent="0.2">
      <c r="C219" s="1626"/>
      <c r="D219" s="1626"/>
      <c r="E219" s="1626"/>
      <c r="F219" s="1626"/>
      <c r="I219" s="1626"/>
      <c r="J219" s="1626"/>
      <c r="K219" s="1626"/>
    </row>
  </sheetData>
  <mergeCells count="13">
    <mergeCell ref="B7:K7"/>
    <mergeCell ref="C1:K1"/>
    <mergeCell ref="B3:K3"/>
    <mergeCell ref="B4:K4"/>
    <mergeCell ref="B5:K5"/>
    <mergeCell ref="B6:K6"/>
    <mergeCell ref="K10:K12"/>
    <mergeCell ref="A9:A12"/>
    <mergeCell ref="B10:B12"/>
    <mergeCell ref="C10:D11"/>
    <mergeCell ref="E10:F11"/>
    <mergeCell ref="G10:H11"/>
    <mergeCell ref="I10:J1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5"/>
  <sheetViews>
    <sheetView workbookViewId="0">
      <selection activeCell="B1" sqref="B1:E1"/>
    </sheetView>
  </sheetViews>
  <sheetFormatPr defaultRowHeight="12.75" x14ac:dyDescent="0.2"/>
  <cols>
    <col min="1" max="1" width="13.42578125" style="300" bestFit="1" customWidth="1"/>
    <col min="2" max="2" width="3.42578125" style="300" bestFit="1" customWidth="1"/>
    <col min="3" max="3" width="102.5703125" style="300" bestFit="1" customWidth="1"/>
    <col min="4" max="4" width="15.5703125" style="300" customWidth="1"/>
    <col min="5" max="5" width="14.7109375" style="300" bestFit="1" customWidth="1"/>
    <col min="6" max="6" width="15.140625" style="300" bestFit="1" customWidth="1"/>
    <col min="7" max="7" width="16.28515625" style="300" bestFit="1" customWidth="1"/>
    <col min="8" max="8" width="9.5703125" style="300" bestFit="1" customWidth="1"/>
    <col min="9" max="16384" width="9.140625" style="300"/>
  </cols>
  <sheetData>
    <row r="1" spans="1:6" s="4" customFormat="1" ht="12.75" customHeight="1" x14ac:dyDescent="0.2">
      <c r="B1" s="2153" t="s">
        <v>2087</v>
      </c>
      <c r="C1" s="2153"/>
      <c r="D1" s="2153"/>
      <c r="E1" s="2153"/>
      <c r="F1" s="1655"/>
    </row>
    <row r="2" spans="1:6" s="1657" customFormat="1" ht="12.75" customHeight="1" x14ac:dyDescent="0.2">
      <c r="A2" s="1656"/>
      <c r="B2" s="1885" t="s">
        <v>77</v>
      </c>
      <c r="C2" s="1885"/>
      <c r="D2" s="1885"/>
      <c r="E2" s="1885"/>
    </row>
    <row r="3" spans="1:6" s="1657" customFormat="1" ht="12.75" customHeight="1" x14ac:dyDescent="0.2">
      <c r="A3" s="1656"/>
      <c r="B3" s="1885" t="s">
        <v>1362</v>
      </c>
      <c r="C3" s="1885"/>
      <c r="D3" s="1885"/>
      <c r="E3" s="1885"/>
    </row>
    <row r="4" spans="1:6" s="4" customFormat="1" x14ac:dyDescent="0.2">
      <c r="A4" s="1885" t="s">
        <v>1680</v>
      </c>
      <c r="B4" s="1885"/>
      <c r="C4" s="1885"/>
      <c r="D4" s="1885"/>
      <c r="E4" s="1885"/>
    </row>
    <row r="5" spans="1:6" s="1657" customFormat="1" ht="12.75" customHeight="1" x14ac:dyDescent="0.2">
      <c r="A5" s="1512"/>
      <c r="B5" s="1885" t="s">
        <v>1401</v>
      </c>
      <c r="C5" s="1885"/>
      <c r="D5" s="1885"/>
      <c r="E5" s="1885"/>
    </row>
    <row r="6" spans="1:6" s="4" customFormat="1" ht="13.5" x14ac:dyDescent="0.25">
      <c r="A6" s="2154"/>
      <c r="B6" s="2154"/>
      <c r="C6" s="2155"/>
      <c r="D6" s="2155"/>
      <c r="E6" s="2155"/>
    </row>
    <row r="7" spans="1:6" s="4" customFormat="1" ht="13.5" x14ac:dyDescent="0.25">
      <c r="A7" s="1428"/>
      <c r="B7" s="2152"/>
      <c r="C7" s="1435" t="s">
        <v>57</v>
      </c>
      <c r="D7" s="1435" t="s">
        <v>58</v>
      </c>
      <c r="E7" s="1435" t="s">
        <v>60</v>
      </c>
    </row>
    <row r="8" spans="1:6" s="1659" customFormat="1" ht="13.5" x14ac:dyDescent="0.2">
      <c r="A8" s="1658" t="s">
        <v>1681</v>
      </c>
      <c r="B8" s="2152"/>
      <c r="C8" s="1510" t="s">
        <v>85</v>
      </c>
      <c r="D8" s="1510" t="s">
        <v>1682</v>
      </c>
      <c r="E8" s="1510" t="s">
        <v>1683</v>
      </c>
    </row>
    <row r="9" spans="1:6" s="1659" customFormat="1" ht="13.5" x14ac:dyDescent="0.2">
      <c r="A9" s="1660"/>
      <c r="B9" s="1660"/>
      <c r="C9" s="1661"/>
      <c r="D9" s="1661"/>
      <c r="E9" s="1661"/>
    </row>
    <row r="10" spans="1:6" s="1659" customFormat="1" ht="13.5" x14ac:dyDescent="0.2">
      <c r="A10" s="1660"/>
      <c r="B10" s="1440" t="s">
        <v>478</v>
      </c>
      <c r="C10" s="1662" t="s">
        <v>1476</v>
      </c>
      <c r="D10" s="1661"/>
      <c r="E10" s="1661"/>
    </row>
    <row r="11" spans="1:6" s="1659" customFormat="1" ht="13.5" x14ac:dyDescent="0.2">
      <c r="A11" s="1660"/>
      <c r="B11" s="1440"/>
      <c r="C11" s="1663" t="s">
        <v>1684</v>
      </c>
      <c r="D11" s="1661"/>
      <c r="E11" s="1661"/>
    </row>
    <row r="12" spans="1:6" s="4" customFormat="1" x14ac:dyDescent="0.2">
      <c r="A12" s="4">
        <v>12111</v>
      </c>
      <c r="B12" s="1440" t="s">
        <v>486</v>
      </c>
      <c r="C12" s="4" t="s">
        <v>1685</v>
      </c>
      <c r="D12" s="257">
        <v>332492420</v>
      </c>
      <c r="E12" s="1664"/>
    </row>
    <row r="13" spans="1:6" s="4" customFormat="1" x14ac:dyDescent="0.2">
      <c r="A13" s="4">
        <v>12121</v>
      </c>
      <c r="B13" s="1440" t="s">
        <v>487</v>
      </c>
      <c r="C13" s="4" t="s">
        <v>1686</v>
      </c>
      <c r="D13" s="257">
        <v>7513516053</v>
      </c>
      <c r="E13" s="1664"/>
    </row>
    <row r="14" spans="1:6" s="4" customFormat="1" x14ac:dyDescent="0.2">
      <c r="A14" s="4">
        <v>121311</v>
      </c>
      <c r="B14" s="1440" t="s">
        <v>488</v>
      </c>
      <c r="C14" s="4" t="s">
        <v>1687</v>
      </c>
      <c r="D14" s="257">
        <v>17640844</v>
      </c>
      <c r="E14" s="1664"/>
    </row>
    <row r="15" spans="1:6" s="4" customFormat="1" x14ac:dyDescent="0.2">
      <c r="A15" s="4">
        <v>121491</v>
      </c>
      <c r="B15" s="1440" t="s">
        <v>489</v>
      </c>
      <c r="C15" s="4" t="s">
        <v>1688</v>
      </c>
      <c r="D15" s="257">
        <v>2400468884</v>
      </c>
      <c r="E15" s="1664"/>
      <c r="F15" s="257"/>
    </row>
    <row r="16" spans="1:6" s="4" customFormat="1" x14ac:dyDescent="0.2">
      <c r="A16" s="4">
        <v>121321</v>
      </c>
      <c r="B16" s="1440" t="s">
        <v>490</v>
      </c>
      <c r="C16" s="4" t="s">
        <v>1689</v>
      </c>
      <c r="D16" s="257">
        <v>2640000</v>
      </c>
      <c r="E16" s="1664"/>
    </row>
    <row r="17" spans="1:8" s="4" customFormat="1" x14ac:dyDescent="0.2">
      <c r="B17" s="1440" t="s">
        <v>491</v>
      </c>
      <c r="C17" s="4" t="s">
        <v>1690</v>
      </c>
      <c r="D17" s="257">
        <v>303240</v>
      </c>
      <c r="E17" s="1664"/>
    </row>
    <row r="18" spans="1:8" s="1240" customFormat="1" x14ac:dyDescent="0.2">
      <c r="B18" s="1440"/>
      <c r="C18" s="1665" t="s">
        <v>1691</v>
      </c>
      <c r="D18" s="258"/>
      <c r="E18" s="1664"/>
    </row>
    <row r="19" spans="1:8" s="1240" customFormat="1" x14ac:dyDescent="0.2">
      <c r="B19" s="1440" t="s">
        <v>492</v>
      </c>
      <c r="C19" s="4" t="s">
        <v>1686</v>
      </c>
      <c r="D19" s="258">
        <v>1024831200</v>
      </c>
      <c r="E19" s="1664"/>
    </row>
    <row r="20" spans="1:8" s="1240" customFormat="1" x14ac:dyDescent="0.2">
      <c r="B20" s="1440" t="s">
        <v>493</v>
      </c>
      <c r="C20" s="4" t="s">
        <v>1688</v>
      </c>
      <c r="D20" s="258">
        <v>983637602</v>
      </c>
      <c r="E20" s="1664"/>
    </row>
    <row r="21" spans="1:8" s="1659" customFormat="1" ht="13.5" x14ac:dyDescent="0.2">
      <c r="A21" s="1660"/>
      <c r="B21" s="1440" t="s">
        <v>529</v>
      </c>
      <c r="C21" s="1666" t="s">
        <v>1692</v>
      </c>
      <c r="D21" s="1667">
        <f>D12+D13+D14+D15+D16+D17+D19+D20</f>
        <v>12275530243</v>
      </c>
      <c r="E21" s="1667"/>
    </row>
    <row r="22" spans="1:8" s="1659" customFormat="1" ht="13.5" x14ac:dyDescent="0.2">
      <c r="A22" s="1660"/>
      <c r="B22" s="1440" t="s">
        <v>530</v>
      </c>
      <c r="C22" s="1666" t="s">
        <v>1693</v>
      </c>
      <c r="D22" s="1667">
        <v>12841673426</v>
      </c>
      <c r="E22" s="1668"/>
    </row>
    <row r="23" spans="1:8" s="1659" customFormat="1" ht="13.5" x14ac:dyDescent="0.2">
      <c r="A23" s="1660"/>
      <c r="B23" s="1440" t="s">
        <v>531</v>
      </c>
      <c r="C23" s="1666" t="s">
        <v>1694</v>
      </c>
      <c r="D23" s="1667">
        <f>D21-D22</f>
        <v>-566143183</v>
      </c>
      <c r="E23" s="1669"/>
    </row>
    <row r="24" spans="1:8" s="1673" customFormat="1" x14ac:dyDescent="0.2">
      <c r="A24" s="1440"/>
      <c r="B24" s="1440"/>
      <c r="C24" s="1670"/>
      <c r="D24" s="1671"/>
      <c r="E24" s="1672"/>
    </row>
    <row r="25" spans="1:8" s="1676" customFormat="1" x14ac:dyDescent="0.2">
      <c r="A25" s="1674"/>
      <c r="B25" s="1440" t="s">
        <v>532</v>
      </c>
      <c r="C25" s="4" t="s">
        <v>1695</v>
      </c>
      <c r="D25" s="257">
        <v>2662324</v>
      </c>
      <c r="E25" s="257"/>
      <c r="F25" s="1675"/>
      <c r="G25" s="1675"/>
    </row>
    <row r="26" spans="1:8" s="1676" customFormat="1" x14ac:dyDescent="0.2">
      <c r="A26" s="1674"/>
      <c r="B26" s="1440" t="s">
        <v>533</v>
      </c>
      <c r="C26" s="4" t="s">
        <v>1696</v>
      </c>
      <c r="D26" s="257">
        <v>1566118181</v>
      </c>
      <c r="E26" s="257"/>
      <c r="F26" s="257"/>
      <c r="G26" s="257"/>
    </row>
    <row r="27" spans="1:8" s="4" customFormat="1" x14ac:dyDescent="0.2">
      <c r="A27" s="4">
        <v>12112</v>
      </c>
      <c r="B27" s="1440" t="s">
        <v>534</v>
      </c>
      <c r="C27" s="4" t="s">
        <v>1697</v>
      </c>
      <c r="D27" s="257">
        <v>1845200718</v>
      </c>
      <c r="E27" s="257"/>
      <c r="F27" s="257"/>
      <c r="G27" s="257"/>
    </row>
    <row r="28" spans="1:8" s="4" customFormat="1" x14ac:dyDescent="0.2">
      <c r="A28" s="4">
        <v>12122</v>
      </c>
      <c r="B28" s="1440" t="s">
        <v>535</v>
      </c>
      <c r="C28" s="4" t="s">
        <v>1698</v>
      </c>
      <c r="D28" s="257">
        <v>1665584496</v>
      </c>
      <c r="E28" s="257"/>
      <c r="F28" s="257"/>
      <c r="G28" s="257"/>
    </row>
    <row r="29" spans="1:8" s="4" customFormat="1" x14ac:dyDescent="0.2">
      <c r="A29" s="4">
        <v>121312</v>
      </c>
      <c r="B29" s="1440" t="s">
        <v>536</v>
      </c>
      <c r="C29" s="4" t="s">
        <v>1699</v>
      </c>
      <c r="D29" s="257">
        <v>22627200</v>
      </c>
      <c r="E29" s="257"/>
      <c r="F29" s="257"/>
    </row>
    <row r="30" spans="1:8" s="4" customFormat="1" x14ac:dyDescent="0.2">
      <c r="A30" s="4">
        <v>121492</v>
      </c>
      <c r="B30" s="1440" t="s">
        <v>538</v>
      </c>
      <c r="C30" s="140" t="s">
        <v>1700</v>
      </c>
      <c r="D30" s="259">
        <f>SUM(D25:D29)</f>
        <v>5102192919</v>
      </c>
      <c r="E30" s="1677"/>
      <c r="F30" s="257"/>
      <c r="G30" s="257"/>
      <c r="H30" s="257"/>
    </row>
    <row r="31" spans="1:8" s="1678" customFormat="1" x14ac:dyDescent="0.2">
      <c r="B31" s="1440" t="s">
        <v>539</v>
      </c>
      <c r="C31" s="1666" t="s">
        <v>1693</v>
      </c>
      <c r="D31" s="1667">
        <v>4677686957</v>
      </c>
      <c r="E31" s="1668"/>
    </row>
    <row r="32" spans="1:8" s="1679" customFormat="1" ht="13.5" x14ac:dyDescent="0.25">
      <c r="B32" s="1440" t="s">
        <v>540</v>
      </c>
      <c r="C32" s="1666" t="s">
        <v>1694</v>
      </c>
      <c r="D32" s="1667">
        <f>D30-D31</f>
        <v>424505962</v>
      </c>
      <c r="E32" s="1668"/>
      <c r="F32" s="1680"/>
    </row>
    <row r="33" spans="1:6" s="4" customFormat="1" x14ac:dyDescent="0.2">
      <c r="A33" s="1240"/>
      <c r="B33" s="1440"/>
      <c r="C33" s="1240"/>
      <c r="D33" s="258"/>
      <c r="E33" s="1681"/>
    </row>
    <row r="34" spans="1:6" s="4" customFormat="1" x14ac:dyDescent="0.2">
      <c r="A34" s="4">
        <v>121131</v>
      </c>
      <c r="B34" s="1440" t="s">
        <v>541</v>
      </c>
      <c r="C34" s="4" t="s">
        <v>1701</v>
      </c>
      <c r="D34" s="257">
        <v>70547938</v>
      </c>
      <c r="E34" s="257"/>
    </row>
    <row r="35" spans="1:6" s="4" customFormat="1" x14ac:dyDescent="0.2">
      <c r="A35" s="4">
        <v>121231</v>
      </c>
      <c r="B35" s="1440" t="s">
        <v>542</v>
      </c>
      <c r="C35" s="4" t="s">
        <v>1702</v>
      </c>
      <c r="D35" s="257">
        <v>74006060</v>
      </c>
      <c r="E35" s="257"/>
    </row>
    <row r="36" spans="1:6" s="4" customFormat="1" x14ac:dyDescent="0.2">
      <c r="A36" s="4">
        <v>1213131</v>
      </c>
      <c r="B36" s="1440" t="s">
        <v>543</v>
      </c>
      <c r="C36" s="4" t="s">
        <v>1703</v>
      </c>
      <c r="D36" s="257">
        <v>20423447</v>
      </c>
      <c r="E36" s="257"/>
    </row>
    <row r="37" spans="1:6" s="4" customFormat="1" x14ac:dyDescent="0.2">
      <c r="B37" s="1440" t="s">
        <v>544</v>
      </c>
      <c r="C37" s="4" t="s">
        <v>1704</v>
      </c>
      <c r="D37" s="257">
        <v>127953177</v>
      </c>
      <c r="E37" s="257"/>
    </row>
    <row r="38" spans="1:6" s="4" customFormat="1" x14ac:dyDescent="0.2">
      <c r="A38" s="4">
        <v>121423</v>
      </c>
      <c r="B38" s="1440" t="s">
        <v>545</v>
      </c>
      <c r="C38" s="4" t="s">
        <v>1705</v>
      </c>
      <c r="D38" s="257">
        <v>210532</v>
      </c>
      <c r="E38" s="257"/>
    </row>
    <row r="39" spans="1:6" s="4" customFormat="1" x14ac:dyDescent="0.2">
      <c r="A39" s="4">
        <v>1213133</v>
      </c>
      <c r="B39" s="1440" t="s">
        <v>563</v>
      </c>
      <c r="C39" s="4" t="s">
        <v>1706</v>
      </c>
      <c r="D39" s="257">
        <v>18991114</v>
      </c>
      <c r="E39" s="257"/>
    </row>
    <row r="40" spans="1:6" s="4" customFormat="1" x14ac:dyDescent="0.2">
      <c r="A40" s="4">
        <v>1214933</v>
      </c>
      <c r="B40" s="1440" t="s">
        <v>564</v>
      </c>
      <c r="C40" s="4" t="s">
        <v>1707</v>
      </c>
      <c r="D40" s="257">
        <v>125206027</v>
      </c>
      <c r="E40" s="257"/>
    </row>
    <row r="41" spans="1:6" s="1678" customFormat="1" x14ac:dyDescent="0.2">
      <c r="B41" s="1440" t="s">
        <v>565</v>
      </c>
      <c r="C41" s="1678" t="s">
        <v>1708</v>
      </c>
      <c r="D41" s="1677">
        <f>SUM(D34:D40)</f>
        <v>437338295</v>
      </c>
      <c r="E41" s="1677"/>
      <c r="F41" s="1677"/>
    </row>
    <row r="42" spans="1:6" s="4" customFormat="1" x14ac:dyDescent="0.2">
      <c r="A42" s="4">
        <v>121132</v>
      </c>
      <c r="B42" s="1440" t="s">
        <v>566</v>
      </c>
      <c r="C42" s="4" t="s">
        <v>1709</v>
      </c>
      <c r="D42" s="257">
        <v>7680631</v>
      </c>
      <c r="E42" s="257"/>
    </row>
    <row r="43" spans="1:6" s="4" customFormat="1" x14ac:dyDescent="0.2">
      <c r="A43" s="4">
        <v>121311</v>
      </c>
      <c r="B43" s="1440" t="s">
        <v>567</v>
      </c>
      <c r="C43" s="4" t="s">
        <v>1710</v>
      </c>
      <c r="D43" s="257">
        <v>727987660</v>
      </c>
      <c r="E43" s="257"/>
    </row>
    <row r="44" spans="1:6" s="4" customFormat="1" x14ac:dyDescent="0.2">
      <c r="A44" s="4">
        <v>1213132</v>
      </c>
      <c r="B44" s="1440" t="s">
        <v>568</v>
      </c>
      <c r="C44" s="4" t="s">
        <v>1711</v>
      </c>
      <c r="D44" s="257">
        <v>359821962</v>
      </c>
      <c r="E44" s="257"/>
    </row>
    <row r="45" spans="1:6" s="4" customFormat="1" x14ac:dyDescent="0.2">
      <c r="A45" s="4">
        <v>1214932</v>
      </c>
      <c r="B45" s="1440" t="s">
        <v>569</v>
      </c>
      <c r="C45" s="4" t="s">
        <v>1712</v>
      </c>
      <c r="D45" s="257">
        <v>650026112</v>
      </c>
      <c r="E45" s="257"/>
    </row>
    <row r="46" spans="1:6" s="4" customFormat="1" x14ac:dyDescent="0.2">
      <c r="B46" s="1440" t="s">
        <v>570</v>
      </c>
      <c r="C46" s="4" t="s">
        <v>1713</v>
      </c>
      <c r="D46" s="257">
        <v>1511674</v>
      </c>
      <c r="E46" s="257"/>
    </row>
    <row r="47" spans="1:6" s="1678" customFormat="1" x14ac:dyDescent="0.2">
      <c r="B47" s="1440" t="s">
        <v>571</v>
      </c>
      <c r="C47" s="1678" t="s">
        <v>1714</v>
      </c>
      <c r="D47" s="1677">
        <f>SUM(D42:D46)</f>
        <v>1747028039</v>
      </c>
      <c r="E47" s="1677"/>
      <c r="F47" s="1677"/>
    </row>
    <row r="48" spans="1:6" s="1679" customFormat="1" ht="13.5" x14ac:dyDescent="0.25">
      <c r="B48" s="1440" t="s">
        <v>622</v>
      </c>
      <c r="C48" s="140" t="s">
        <v>1715</v>
      </c>
      <c r="D48" s="259">
        <f>D41+D47</f>
        <v>2184366334</v>
      </c>
      <c r="E48" s="259"/>
      <c r="F48" s="1680"/>
    </row>
    <row r="49" spans="1:8" s="1659" customFormat="1" ht="13.5" x14ac:dyDescent="0.2">
      <c r="A49" s="1660"/>
      <c r="B49" s="1440" t="s">
        <v>623</v>
      </c>
      <c r="C49" s="1666" t="s">
        <v>1693</v>
      </c>
      <c r="D49" s="1682">
        <v>2042729113</v>
      </c>
      <c r="E49" s="1668"/>
    </row>
    <row r="50" spans="1:8" s="1659" customFormat="1" ht="13.5" x14ac:dyDescent="0.2">
      <c r="A50" s="1660"/>
      <c r="B50" s="1440" t="s">
        <v>624</v>
      </c>
      <c r="C50" s="1666" t="s">
        <v>1694</v>
      </c>
      <c r="D50" s="1667">
        <f>D48-D49</f>
        <v>141637221</v>
      </c>
      <c r="E50" s="1668"/>
    </row>
    <row r="51" spans="1:8" s="1683" customFormat="1" ht="13.5" x14ac:dyDescent="0.25">
      <c r="C51" s="1446"/>
      <c r="D51" s="258"/>
      <c r="E51" s="362"/>
    </row>
    <row r="52" spans="1:8" s="1683" customFormat="1" ht="24" customHeight="1" x14ac:dyDescent="0.25">
      <c r="B52" s="1684" t="s">
        <v>625</v>
      </c>
      <c r="C52" s="1685" t="s">
        <v>1716</v>
      </c>
      <c r="D52" s="259">
        <f>D48+D30+D21</f>
        <v>19562089496</v>
      </c>
      <c r="E52" s="259">
        <v>17179189861</v>
      </c>
      <c r="F52" s="257"/>
      <c r="G52" s="1680"/>
      <c r="H52" s="1679"/>
    </row>
    <row r="53" spans="1:8" s="1679" customFormat="1" ht="12" customHeight="1" x14ac:dyDescent="0.25">
      <c r="B53" s="1684" t="s">
        <v>115</v>
      </c>
      <c r="C53" s="1666" t="s">
        <v>1693</v>
      </c>
      <c r="D53" s="259">
        <f>D49+D31+D22</f>
        <v>19562089496</v>
      </c>
      <c r="E53" s="259"/>
    </row>
    <row r="54" spans="1:8" s="1679" customFormat="1" ht="12" customHeight="1" x14ac:dyDescent="0.25">
      <c r="B54" s="1684" t="s">
        <v>650</v>
      </c>
      <c r="C54" s="1666" t="s">
        <v>1694</v>
      </c>
      <c r="D54" s="259">
        <f>D52-D53</f>
        <v>0</v>
      </c>
      <c r="E54" s="259"/>
    </row>
    <row r="55" spans="1:8" s="1679" customFormat="1" ht="12" customHeight="1" x14ac:dyDescent="0.25">
      <c r="B55" s="1684"/>
      <c r="C55" s="1666"/>
      <c r="D55" s="259"/>
      <c r="E55" s="259"/>
    </row>
    <row r="56" spans="1:8" s="1679" customFormat="1" ht="13.5" x14ac:dyDescent="0.25">
      <c r="B56" s="1684" t="s">
        <v>651</v>
      </c>
      <c r="C56" s="1686" t="s">
        <v>665</v>
      </c>
      <c r="D56" s="1680"/>
      <c r="E56" s="1680"/>
    </row>
    <row r="57" spans="1:8" s="1679" customFormat="1" ht="13.5" x14ac:dyDescent="0.25">
      <c r="B57" s="1684" t="s">
        <v>118</v>
      </c>
      <c r="C57" s="4" t="s">
        <v>1717</v>
      </c>
      <c r="D57" s="257">
        <v>780000</v>
      </c>
      <c r="E57" s="257">
        <v>416277</v>
      </c>
    </row>
    <row r="58" spans="1:8" s="1679" customFormat="1" ht="13.5" x14ac:dyDescent="0.25">
      <c r="B58" s="1684" t="s">
        <v>119</v>
      </c>
      <c r="C58" s="4" t="s">
        <v>1718</v>
      </c>
      <c r="D58" s="257"/>
      <c r="E58" s="257"/>
    </row>
    <row r="59" spans="1:8" s="1683" customFormat="1" ht="13.5" x14ac:dyDescent="0.25">
      <c r="B59" s="1684"/>
      <c r="C59" s="4"/>
      <c r="D59" s="257"/>
      <c r="E59" s="257"/>
      <c r="F59" s="1679"/>
    </row>
    <row r="60" spans="1:8" s="4" customFormat="1" ht="24" customHeight="1" x14ac:dyDescent="0.2">
      <c r="B60" s="1684" t="s">
        <v>120</v>
      </c>
      <c r="C60" s="1685" t="s">
        <v>1719</v>
      </c>
      <c r="D60" s="260">
        <f>D52+D57</f>
        <v>19562869496</v>
      </c>
      <c r="E60" s="260">
        <f>E52+E57</f>
        <v>17179606138</v>
      </c>
    </row>
    <row r="61" spans="1:8" x14ac:dyDescent="0.2">
      <c r="B61" s="4"/>
      <c r="C61" s="4"/>
      <c r="D61" s="4"/>
      <c r="E61" s="4"/>
    </row>
    <row r="62" spans="1:8" x14ac:dyDescent="0.2">
      <c r="E62" s="1446"/>
    </row>
    <row r="63" spans="1:8" x14ac:dyDescent="0.2">
      <c r="E63" s="1446"/>
    </row>
    <row r="64" spans="1:8" ht="13.5" x14ac:dyDescent="0.25">
      <c r="C64" s="1687"/>
      <c r="D64" s="1688"/>
      <c r="E64" s="1688"/>
    </row>
    <row r="65" spans="2:5" x14ac:dyDescent="0.2">
      <c r="B65" s="1689"/>
      <c r="C65" s="1690"/>
      <c r="D65" s="1690"/>
      <c r="E65" s="1690"/>
    </row>
  </sheetData>
  <mergeCells count="7">
    <mergeCell ref="B7:B8"/>
    <mergeCell ref="B1:E1"/>
    <mergeCell ref="B2:E2"/>
    <mergeCell ref="B3:E3"/>
    <mergeCell ref="A4:E4"/>
    <mergeCell ref="B5:E5"/>
    <mergeCell ref="A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86" customWidth="1"/>
    <col min="2" max="2" width="9.85546875" style="186" hidden="1" customWidth="1"/>
    <col min="3" max="3" width="11.7109375" style="186" hidden="1" customWidth="1"/>
    <col min="4" max="4" width="9.85546875" style="186" hidden="1" customWidth="1"/>
    <col min="5" max="5" width="15.85546875" style="190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857" t="s">
        <v>1214</v>
      </c>
      <c r="B1" s="1857"/>
      <c r="C1" s="1857"/>
      <c r="D1" s="1857"/>
      <c r="E1" s="1857"/>
      <c r="F1" s="1857"/>
      <c r="G1" s="1857"/>
      <c r="H1" s="1857"/>
      <c r="I1" s="1857"/>
      <c r="J1" s="1026"/>
      <c r="K1" s="1026"/>
      <c r="L1" s="1026"/>
      <c r="M1" s="1026"/>
      <c r="N1" s="1026"/>
      <c r="O1" s="1026"/>
      <c r="P1" s="1026"/>
      <c r="Q1" s="1026"/>
      <c r="R1" s="1026"/>
    </row>
    <row r="2" spans="1:257" x14ac:dyDescent="0.2">
      <c r="A2" s="1027"/>
      <c r="B2" s="1027"/>
      <c r="C2" s="1027"/>
      <c r="D2" s="1027"/>
      <c r="E2" s="1028"/>
      <c r="F2" s="1858"/>
      <c r="G2" s="1858"/>
      <c r="H2" s="1858"/>
      <c r="I2" s="1858"/>
      <c r="J2" s="1026"/>
      <c r="K2" s="1026"/>
      <c r="L2" s="1026"/>
      <c r="M2" s="1026"/>
      <c r="N2" s="1026"/>
      <c r="O2" s="1026"/>
      <c r="P2" s="1026"/>
      <c r="Q2" s="1026"/>
      <c r="R2" s="1026"/>
    </row>
    <row r="3" spans="1:257" ht="30" customHeight="1" x14ac:dyDescent="0.2">
      <c r="A3" s="1859" t="s">
        <v>77</v>
      </c>
      <c r="B3" s="1859"/>
      <c r="C3" s="1859"/>
      <c r="D3" s="1859"/>
      <c r="E3" s="1859"/>
      <c r="F3" s="1860"/>
      <c r="G3" s="1860"/>
      <c r="H3" s="1860"/>
      <c r="I3" s="1860"/>
      <c r="J3" s="1026"/>
      <c r="K3" s="1026"/>
      <c r="L3" s="1026"/>
      <c r="M3" s="1026"/>
      <c r="N3" s="1026"/>
      <c r="O3" s="1026"/>
      <c r="P3" s="1026"/>
      <c r="Q3" s="1026"/>
      <c r="R3" s="1026"/>
    </row>
    <row r="4" spans="1:257" ht="33" customHeight="1" thickBot="1" x14ac:dyDescent="0.25">
      <c r="A4" s="1859" t="s">
        <v>1171</v>
      </c>
      <c r="B4" s="1859"/>
      <c r="C4" s="1859"/>
      <c r="D4" s="1859"/>
      <c r="E4" s="1859"/>
      <c r="F4" s="1860"/>
      <c r="G4" s="1860"/>
      <c r="H4" s="1860"/>
      <c r="I4" s="1860"/>
      <c r="J4" s="1026"/>
      <c r="K4" s="1026"/>
      <c r="L4" s="1026"/>
      <c r="M4" s="1026"/>
      <c r="N4" s="1026"/>
      <c r="O4" s="1026"/>
      <c r="P4" s="1026"/>
      <c r="Q4" s="1026"/>
      <c r="R4" s="1026"/>
    </row>
    <row r="5" spans="1:257" ht="30.75" customHeight="1" thickBot="1" x14ac:dyDescent="0.25">
      <c r="A5" s="1861" t="s">
        <v>78</v>
      </c>
      <c r="B5" s="1863" t="s">
        <v>106</v>
      </c>
      <c r="C5" s="1864"/>
      <c r="D5" s="1864"/>
      <c r="E5" s="1864"/>
      <c r="F5" s="1865" t="s">
        <v>1129</v>
      </c>
      <c r="G5" s="1866"/>
      <c r="H5" s="1866"/>
      <c r="I5" s="1867"/>
      <c r="J5" s="1026"/>
      <c r="K5" s="1026"/>
      <c r="L5" s="1026"/>
      <c r="M5" s="1026"/>
      <c r="N5" s="1026"/>
      <c r="O5" s="1026"/>
      <c r="P5" s="1026"/>
      <c r="Q5" s="1026"/>
      <c r="R5" s="1026"/>
    </row>
    <row r="6" spans="1:257" ht="36.75" thickBot="1" x14ac:dyDescent="0.25">
      <c r="A6" s="1862"/>
      <c r="B6" s="1029" t="s">
        <v>79</v>
      </c>
      <c r="C6" s="1030" t="s">
        <v>80</v>
      </c>
      <c r="D6" s="1030" t="s">
        <v>677</v>
      </c>
      <c r="E6" s="1031" t="s">
        <v>81</v>
      </c>
      <c r="F6" s="1029" t="s">
        <v>79</v>
      </c>
      <c r="G6" s="1030" t="s">
        <v>80</v>
      </c>
      <c r="H6" s="1030" t="s">
        <v>677</v>
      </c>
      <c r="I6" s="1031" t="s">
        <v>81</v>
      </c>
      <c r="J6" s="1032"/>
      <c r="K6" s="1032"/>
      <c r="L6" s="1032"/>
      <c r="M6" s="1032"/>
      <c r="N6" s="1032"/>
      <c r="O6" s="1032"/>
      <c r="P6" s="1032"/>
      <c r="Q6" s="1032"/>
      <c r="R6" s="1032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033" t="s">
        <v>82</v>
      </c>
      <c r="B7" s="1034"/>
      <c r="C7" s="1034"/>
      <c r="D7" s="1034"/>
      <c r="E7" s="1034"/>
      <c r="F7" s="1035"/>
      <c r="G7" s="1035"/>
      <c r="H7" s="1035"/>
      <c r="I7" s="1035"/>
      <c r="J7" s="1036"/>
      <c r="K7" s="1026"/>
      <c r="L7" s="1026"/>
      <c r="M7" s="1026"/>
      <c r="N7" s="1026"/>
      <c r="O7" s="1026"/>
      <c r="P7" s="1026"/>
      <c r="Q7" s="1026"/>
      <c r="R7" s="1026"/>
    </row>
    <row r="8" spans="1:257" ht="12.75" x14ac:dyDescent="0.2">
      <c r="A8" s="1037" t="s">
        <v>796</v>
      </c>
      <c r="B8" s="629"/>
      <c r="C8" s="629"/>
      <c r="D8" s="629"/>
      <c r="E8" s="629"/>
      <c r="F8" s="690"/>
      <c r="G8" s="690"/>
      <c r="H8" s="690"/>
      <c r="I8" s="690"/>
      <c r="J8" s="1036"/>
      <c r="K8" s="1026"/>
      <c r="L8" s="1026"/>
      <c r="M8" s="1026"/>
      <c r="N8" s="1026"/>
      <c r="O8" s="1026"/>
      <c r="P8" s="1026"/>
      <c r="Q8" s="1026"/>
      <c r="R8" s="1026"/>
    </row>
    <row r="9" spans="1:257" ht="36" x14ac:dyDescent="0.2">
      <c r="A9" s="626" t="s">
        <v>797</v>
      </c>
      <c r="B9" s="507">
        <v>4865</v>
      </c>
      <c r="C9" s="627">
        <v>18.690000000000001</v>
      </c>
      <c r="D9" s="507">
        <v>4580000</v>
      </c>
      <c r="E9" s="507">
        <f>C9*D9</f>
        <v>85600200</v>
      </c>
      <c r="F9" s="737" t="s">
        <v>1130</v>
      </c>
      <c r="G9" s="505">
        <v>18.420000000000002</v>
      </c>
      <c r="H9" s="505">
        <v>4580000</v>
      </c>
      <c r="I9" s="506">
        <f>G9*H9</f>
        <v>84363600.000000015</v>
      </c>
      <c r="J9" s="1036"/>
      <c r="K9" s="1026"/>
      <c r="L9" s="1026"/>
      <c r="M9" s="1026"/>
      <c r="N9" s="1026"/>
      <c r="O9" s="1026"/>
      <c r="P9" s="1026"/>
      <c r="Q9" s="1026"/>
      <c r="R9" s="1026"/>
    </row>
    <row r="10" spans="1:257" ht="12.75" x14ac:dyDescent="0.2">
      <c r="A10" s="510" t="s">
        <v>1131</v>
      </c>
      <c r="B10" s="629"/>
      <c r="C10" s="629"/>
      <c r="D10" s="629"/>
      <c r="E10" s="629"/>
      <c r="F10" s="586"/>
      <c r="G10" s="634"/>
      <c r="H10" s="634"/>
      <c r="I10" s="586"/>
      <c r="J10" s="1036"/>
      <c r="K10" s="1026"/>
      <c r="L10" s="1026"/>
      <c r="M10" s="1026"/>
      <c r="N10" s="1026"/>
      <c r="O10" s="1026"/>
      <c r="P10" s="1026"/>
      <c r="Q10" s="1026"/>
      <c r="R10" s="1026"/>
    </row>
    <row r="11" spans="1:257" ht="12.75" x14ac:dyDescent="0.2">
      <c r="A11" s="626" t="s">
        <v>799</v>
      </c>
      <c r="B11" s="629"/>
      <c r="C11" s="638"/>
      <c r="D11" s="629" t="s">
        <v>294</v>
      </c>
      <c r="E11" s="629">
        <v>8328800</v>
      </c>
      <c r="F11" s="1038"/>
      <c r="G11" s="634"/>
      <c r="H11" s="505" t="s">
        <v>294</v>
      </c>
      <c r="I11" s="506">
        <v>8329050</v>
      </c>
      <c r="J11" s="1036"/>
      <c r="K11" s="1026"/>
      <c r="L11" s="1026"/>
      <c r="M11" s="1026"/>
      <c r="N11" s="1026"/>
      <c r="O11" s="1026"/>
      <c r="P11" s="1026"/>
      <c r="Q11" s="1026"/>
      <c r="R11" s="1026"/>
    </row>
    <row r="12" spans="1:257" ht="12.75" x14ac:dyDescent="0.2">
      <c r="A12" s="626" t="s">
        <v>1172</v>
      </c>
      <c r="B12" s="507"/>
      <c r="C12" s="508"/>
      <c r="D12" s="507"/>
      <c r="E12" s="507"/>
      <c r="F12" s="506"/>
      <c r="G12" s="505"/>
      <c r="H12" s="505"/>
      <c r="I12" s="506">
        <v>-8329050</v>
      </c>
      <c r="J12" s="1036"/>
      <c r="K12" s="1026"/>
      <c r="L12" s="1026"/>
      <c r="M12" s="1026"/>
      <c r="N12" s="1026"/>
      <c r="O12" s="1026"/>
      <c r="P12" s="1026"/>
      <c r="Q12" s="1026"/>
      <c r="R12" s="1026"/>
    </row>
    <row r="13" spans="1:257" ht="24" x14ac:dyDescent="0.2">
      <c r="A13" s="626" t="s">
        <v>1173</v>
      </c>
      <c r="B13" s="507"/>
      <c r="C13" s="508"/>
      <c r="D13" s="507"/>
      <c r="E13" s="507"/>
      <c r="F13" s="506"/>
      <c r="G13" s="505"/>
      <c r="H13" s="505"/>
      <c r="I13" s="506">
        <f>I11+I12</f>
        <v>0</v>
      </c>
      <c r="J13" s="1036"/>
      <c r="K13" s="1026"/>
      <c r="L13" s="1026"/>
      <c r="M13" s="1026"/>
      <c r="N13" s="1026"/>
      <c r="O13" s="1026"/>
      <c r="P13" s="1026"/>
      <c r="Q13" s="1026"/>
      <c r="R13" s="1026"/>
    </row>
    <row r="14" spans="1:257" ht="12.75" x14ac:dyDescent="0.2">
      <c r="A14" s="510" t="s">
        <v>802</v>
      </c>
      <c r="B14" s="629"/>
      <c r="C14" s="629"/>
      <c r="D14" s="694" t="s">
        <v>295</v>
      </c>
      <c r="E14" s="629">
        <v>18272000</v>
      </c>
      <c r="F14" s="1038"/>
      <c r="G14" s="634"/>
      <c r="H14" s="1039" t="s">
        <v>295</v>
      </c>
      <c r="I14" s="506">
        <v>18304000</v>
      </c>
      <c r="J14" s="1036"/>
      <c r="K14" s="1026"/>
      <c r="L14" s="1026"/>
      <c r="M14" s="1026"/>
      <c r="N14" s="1026"/>
      <c r="O14" s="1026"/>
      <c r="P14" s="1026"/>
      <c r="Q14" s="1026"/>
      <c r="R14" s="1026"/>
    </row>
    <row r="15" spans="1:257" ht="12.75" x14ac:dyDescent="0.2">
      <c r="A15" s="510" t="s">
        <v>1172</v>
      </c>
      <c r="B15" s="629"/>
      <c r="C15" s="629"/>
      <c r="D15" s="694"/>
      <c r="E15" s="629"/>
      <c r="F15" s="586"/>
      <c r="G15" s="634"/>
      <c r="H15" s="634"/>
      <c r="I15" s="506">
        <v>-18304000</v>
      </c>
      <c r="J15" s="1036"/>
      <c r="K15" s="1026"/>
      <c r="L15" s="1026"/>
      <c r="M15" s="1026"/>
      <c r="N15" s="1026"/>
      <c r="O15" s="1026"/>
      <c r="P15" s="1026"/>
      <c r="Q15" s="1026"/>
      <c r="R15" s="1026"/>
    </row>
    <row r="16" spans="1:257" ht="12.75" x14ac:dyDescent="0.2">
      <c r="A16" s="510" t="s">
        <v>1174</v>
      </c>
      <c r="B16" s="629"/>
      <c r="C16" s="629"/>
      <c r="D16" s="694"/>
      <c r="E16" s="629"/>
      <c r="F16" s="586"/>
      <c r="G16" s="634"/>
      <c r="H16" s="634"/>
      <c r="I16" s="506">
        <f>I14+I15</f>
        <v>0</v>
      </c>
      <c r="J16" s="1036"/>
      <c r="K16" s="1026"/>
      <c r="L16" s="1026"/>
      <c r="M16" s="1026"/>
      <c r="N16" s="1026"/>
      <c r="O16" s="1026"/>
      <c r="P16" s="1026"/>
      <c r="Q16" s="1026"/>
      <c r="R16" s="1026"/>
    </row>
    <row r="17" spans="1:18" ht="12.75" x14ac:dyDescent="0.2">
      <c r="A17" s="510" t="s">
        <v>804</v>
      </c>
      <c r="B17" s="629"/>
      <c r="C17" s="629" t="s">
        <v>1132</v>
      </c>
      <c r="D17" s="630" t="s">
        <v>678</v>
      </c>
      <c r="E17" s="629">
        <v>1355022</v>
      </c>
      <c r="F17" s="1038"/>
      <c r="G17" s="629"/>
      <c r="H17" s="630"/>
      <c r="I17" s="506">
        <v>100000</v>
      </c>
      <c r="J17" s="1036"/>
      <c r="K17" s="1026"/>
      <c r="L17" s="1026"/>
      <c r="M17" s="1026"/>
      <c r="N17" s="1026"/>
      <c r="O17" s="1026"/>
      <c r="P17" s="1026"/>
      <c r="Q17" s="1026"/>
      <c r="R17" s="1026"/>
    </row>
    <row r="18" spans="1:18" ht="12.75" x14ac:dyDescent="0.2">
      <c r="A18" s="510" t="s">
        <v>1172</v>
      </c>
      <c r="B18" s="629"/>
      <c r="C18" s="629"/>
      <c r="D18" s="630"/>
      <c r="E18" s="629"/>
      <c r="F18" s="586"/>
      <c r="G18" s="629"/>
      <c r="H18" s="630"/>
      <c r="I18" s="506">
        <v>-100000</v>
      </c>
      <c r="J18" s="1036"/>
      <c r="K18" s="1026"/>
      <c r="L18" s="1026"/>
      <c r="M18" s="1026"/>
      <c r="N18" s="1026"/>
      <c r="O18" s="1026"/>
      <c r="P18" s="1026"/>
      <c r="Q18" s="1026"/>
      <c r="R18" s="1026"/>
    </row>
    <row r="19" spans="1:18" ht="12.75" x14ac:dyDescent="0.2">
      <c r="A19" s="510" t="s">
        <v>1175</v>
      </c>
      <c r="B19" s="629"/>
      <c r="C19" s="629"/>
      <c r="D19" s="630"/>
      <c r="E19" s="629"/>
      <c r="F19" s="586"/>
      <c r="G19" s="629"/>
      <c r="H19" s="630"/>
      <c r="I19" s="506">
        <f>I17+I18</f>
        <v>0</v>
      </c>
      <c r="J19" s="1036"/>
      <c r="K19" s="1026"/>
      <c r="L19" s="1026"/>
      <c r="M19" s="1026"/>
      <c r="N19" s="1026"/>
      <c r="O19" s="1026"/>
      <c r="P19" s="1026"/>
      <c r="Q19" s="1026"/>
      <c r="R19" s="1026"/>
    </row>
    <row r="20" spans="1:18" ht="12.75" x14ac:dyDescent="0.2">
      <c r="A20" s="510" t="s">
        <v>808</v>
      </c>
      <c r="B20" s="629"/>
      <c r="C20" s="638"/>
      <c r="D20" s="694" t="s">
        <v>679</v>
      </c>
      <c r="E20" s="629">
        <v>6369620</v>
      </c>
      <c r="F20" s="1038"/>
      <c r="G20" s="634"/>
      <c r="H20" s="628" t="s">
        <v>679</v>
      </c>
      <c r="I20" s="506">
        <v>6212990</v>
      </c>
      <c r="J20" s="1036"/>
      <c r="K20" s="1026"/>
      <c r="L20" s="1026"/>
      <c r="M20" s="1026"/>
      <c r="N20" s="1026"/>
      <c r="O20" s="1026"/>
      <c r="P20" s="1026"/>
      <c r="Q20" s="1026"/>
      <c r="R20" s="1026"/>
    </row>
    <row r="21" spans="1:18" ht="12.75" x14ac:dyDescent="0.2">
      <c r="A21" s="510" t="s">
        <v>1172</v>
      </c>
      <c r="B21" s="629"/>
      <c r="C21" s="638"/>
      <c r="D21" s="694"/>
      <c r="E21" s="629"/>
      <c r="F21" s="586"/>
      <c r="G21" s="634"/>
      <c r="H21" s="694"/>
      <c r="I21" s="506">
        <v>-6212990</v>
      </c>
      <c r="J21" s="1036"/>
      <c r="K21" s="1026"/>
      <c r="L21" s="1026"/>
      <c r="M21" s="1026"/>
      <c r="N21" s="1026"/>
      <c r="O21" s="1026"/>
      <c r="P21" s="1026"/>
      <c r="Q21" s="1026"/>
      <c r="R21" s="1026"/>
    </row>
    <row r="22" spans="1:18" ht="12.75" x14ac:dyDescent="0.2">
      <c r="A22" s="510" t="s">
        <v>1176</v>
      </c>
      <c r="B22" s="629"/>
      <c r="C22" s="638"/>
      <c r="D22" s="694"/>
      <c r="E22" s="629"/>
      <c r="F22" s="586"/>
      <c r="G22" s="634"/>
      <c r="H22" s="694"/>
      <c r="I22" s="506">
        <f>I20+I21</f>
        <v>0</v>
      </c>
      <c r="J22" s="1036"/>
      <c r="K22" s="1026"/>
      <c r="L22" s="1026"/>
      <c r="M22" s="1026"/>
      <c r="N22" s="1026"/>
      <c r="O22" s="1026"/>
      <c r="P22" s="1026"/>
      <c r="Q22" s="1026"/>
      <c r="R22" s="1026"/>
    </row>
    <row r="23" spans="1:18" ht="12.75" x14ac:dyDescent="0.2">
      <c r="A23" s="510" t="s">
        <v>810</v>
      </c>
      <c r="B23" s="629">
        <v>4865</v>
      </c>
      <c r="C23" s="629"/>
      <c r="D23" s="629">
        <v>2700</v>
      </c>
      <c r="E23" s="629">
        <f>B23*D23</f>
        <v>13135500</v>
      </c>
      <c r="F23" s="506">
        <v>4747</v>
      </c>
      <c r="G23" s="505"/>
      <c r="H23" s="507">
        <v>2700</v>
      </c>
      <c r="I23" s="506">
        <f>F23*H23</f>
        <v>12816900</v>
      </c>
      <c r="J23" s="543"/>
      <c r="K23" s="1026"/>
      <c r="L23" s="1026"/>
      <c r="M23" s="1026"/>
      <c r="N23" s="1026"/>
      <c r="O23" s="1026"/>
      <c r="P23" s="1026"/>
      <c r="Q23" s="1026"/>
      <c r="R23" s="1026"/>
    </row>
    <row r="24" spans="1:18" ht="12.75" x14ac:dyDescent="0.2">
      <c r="A24" s="510" t="s">
        <v>1177</v>
      </c>
      <c r="B24" s="507"/>
      <c r="C24" s="507"/>
      <c r="D24" s="507"/>
      <c r="E24" s="507">
        <v>-13135500</v>
      </c>
      <c r="F24" s="506"/>
      <c r="G24" s="505"/>
      <c r="H24" s="505"/>
      <c r="I24" s="506">
        <v>-12816900</v>
      </c>
      <c r="J24" s="1036"/>
      <c r="K24" s="1026"/>
      <c r="L24" s="1026"/>
      <c r="M24" s="1026"/>
      <c r="N24" s="1026"/>
      <c r="O24" s="1026"/>
      <c r="P24" s="1026"/>
      <c r="Q24" s="1026"/>
      <c r="R24" s="1026"/>
    </row>
    <row r="25" spans="1:18" ht="12.75" x14ac:dyDescent="0.2">
      <c r="A25" s="510" t="s">
        <v>1178</v>
      </c>
      <c r="B25" s="507"/>
      <c r="C25" s="507"/>
      <c r="D25" s="507"/>
      <c r="E25" s="507">
        <f>E23+E24</f>
        <v>0</v>
      </c>
      <c r="F25" s="506"/>
      <c r="G25" s="505"/>
      <c r="H25" s="505"/>
      <c r="I25" s="506">
        <f>I23+I24</f>
        <v>0</v>
      </c>
      <c r="J25" s="1036"/>
      <c r="K25" s="1026"/>
      <c r="L25" s="1026"/>
      <c r="M25" s="1026"/>
      <c r="N25" s="1026"/>
      <c r="O25" s="1026"/>
      <c r="P25" s="1026"/>
      <c r="Q25" s="1026"/>
      <c r="R25" s="1026"/>
    </row>
    <row r="26" spans="1:18" ht="12.75" x14ac:dyDescent="0.2">
      <c r="A26" s="510" t="s">
        <v>813</v>
      </c>
      <c r="B26" s="629">
        <v>10</v>
      </c>
      <c r="C26" s="629"/>
      <c r="D26" s="629" t="s">
        <v>297</v>
      </c>
      <c r="E26" s="632">
        <v>25500</v>
      </c>
      <c r="F26" s="506">
        <v>19</v>
      </c>
      <c r="G26" s="505"/>
      <c r="H26" s="507" t="s">
        <v>297</v>
      </c>
      <c r="I26" s="506">
        <v>48450</v>
      </c>
      <c r="J26" s="1036"/>
      <c r="K26" s="1026"/>
      <c r="L26" s="1026"/>
      <c r="M26" s="1026"/>
      <c r="N26" s="1026"/>
      <c r="O26" s="1026"/>
      <c r="P26" s="1026"/>
      <c r="Q26" s="1026"/>
      <c r="R26" s="1026"/>
    </row>
    <row r="27" spans="1:18" ht="12.75" x14ac:dyDescent="0.2">
      <c r="A27" s="510" t="s">
        <v>1179</v>
      </c>
      <c r="B27" s="629"/>
      <c r="C27" s="629"/>
      <c r="D27" s="629"/>
      <c r="E27" s="629">
        <v>-25500</v>
      </c>
      <c r="F27" s="586"/>
      <c r="G27" s="634"/>
      <c r="H27" s="634"/>
      <c r="I27" s="506">
        <v>-48450</v>
      </c>
      <c r="J27" s="1036"/>
      <c r="K27" s="1026"/>
      <c r="L27" s="1026"/>
      <c r="M27" s="1026"/>
      <c r="N27" s="1026"/>
      <c r="O27" s="1026"/>
      <c r="P27" s="1026"/>
      <c r="Q27" s="1026"/>
      <c r="R27" s="1026"/>
    </row>
    <row r="28" spans="1:18" ht="12.75" x14ac:dyDescent="0.2">
      <c r="A28" s="510" t="s">
        <v>1180</v>
      </c>
      <c r="B28" s="629"/>
      <c r="C28" s="629"/>
      <c r="D28" s="629"/>
      <c r="E28" s="632">
        <v>0</v>
      </c>
      <c r="F28" s="586"/>
      <c r="G28" s="634"/>
      <c r="H28" s="634"/>
      <c r="I28" s="506">
        <f>I26+I27</f>
        <v>0</v>
      </c>
      <c r="J28" s="1036"/>
      <c r="K28" s="1026"/>
      <c r="L28" s="1026"/>
      <c r="M28" s="1026"/>
      <c r="N28" s="1026"/>
      <c r="O28" s="1026"/>
      <c r="P28" s="1026"/>
      <c r="Q28" s="1026"/>
      <c r="R28" s="1026"/>
    </row>
    <row r="29" spans="1:18" ht="12.75" x14ac:dyDescent="0.2">
      <c r="A29" s="510" t="s">
        <v>1133</v>
      </c>
      <c r="B29" s="507"/>
      <c r="C29" s="507">
        <v>487729000</v>
      </c>
      <c r="D29" s="508">
        <v>1.55</v>
      </c>
      <c r="E29" s="507">
        <f>C29*D29</f>
        <v>755979950</v>
      </c>
      <c r="F29" s="506"/>
      <c r="G29" s="506">
        <v>600595988</v>
      </c>
      <c r="H29" s="508">
        <v>1</v>
      </c>
      <c r="I29" s="506">
        <f>G29*H29</f>
        <v>600595988</v>
      </c>
      <c r="J29" s="1036"/>
      <c r="K29" s="1026"/>
      <c r="L29" s="1026"/>
      <c r="M29" s="1026"/>
      <c r="N29" s="1026"/>
      <c r="O29" s="1026"/>
      <c r="P29" s="1026"/>
      <c r="Q29" s="1026"/>
      <c r="R29" s="1026"/>
    </row>
    <row r="30" spans="1:18" ht="12.75" x14ac:dyDescent="0.2">
      <c r="A30" s="510" t="s">
        <v>1177</v>
      </c>
      <c r="B30" s="507"/>
      <c r="C30" s="507"/>
      <c r="D30" s="511"/>
      <c r="E30" s="507">
        <v>-98054262</v>
      </c>
      <c r="F30" s="506"/>
      <c r="G30" s="505"/>
      <c r="H30" s="505"/>
      <c r="I30" s="506">
        <v>-80431412</v>
      </c>
      <c r="J30" s="1036"/>
      <c r="K30" s="1026"/>
      <c r="L30" s="1026"/>
      <c r="M30" s="1026"/>
      <c r="N30" s="1026"/>
      <c r="O30" s="1026"/>
      <c r="P30" s="1026"/>
      <c r="Q30" s="1026"/>
      <c r="R30" s="1026"/>
    </row>
    <row r="31" spans="1:18" ht="12.75" x14ac:dyDescent="0.2">
      <c r="A31" s="510" t="s">
        <v>1181</v>
      </c>
      <c r="B31" s="507"/>
      <c r="C31" s="507"/>
      <c r="D31" s="511"/>
      <c r="E31" s="507">
        <f>E29+E30</f>
        <v>657925688</v>
      </c>
      <c r="F31" s="506"/>
      <c r="G31" s="505"/>
      <c r="H31" s="505"/>
      <c r="I31" s="506">
        <f>I29+I30</f>
        <v>520164576</v>
      </c>
      <c r="J31" s="1036"/>
      <c r="K31" s="1026"/>
      <c r="L31" s="1026"/>
      <c r="M31" s="1026"/>
      <c r="N31" s="1026"/>
      <c r="O31" s="1026"/>
      <c r="P31" s="1026"/>
      <c r="Q31" s="1026"/>
      <c r="R31" s="1026"/>
    </row>
    <row r="32" spans="1:18" ht="36" x14ac:dyDescent="0.2">
      <c r="A32" s="626" t="s">
        <v>1202</v>
      </c>
      <c r="B32" s="629"/>
      <c r="C32" s="629"/>
      <c r="D32" s="629"/>
      <c r="E32" s="629"/>
      <c r="F32" s="586"/>
      <c r="G32" s="634"/>
      <c r="H32" s="634"/>
      <c r="I32" s="586"/>
      <c r="J32" s="1036"/>
      <c r="K32" s="635" t="s">
        <v>1182</v>
      </c>
      <c r="M32" s="1026"/>
      <c r="N32" s="635">
        <v>135897496</v>
      </c>
      <c r="O32" s="635">
        <v>-9654694</v>
      </c>
      <c r="P32" s="635">
        <f>N32+O32</f>
        <v>126242802</v>
      </c>
      <c r="Q32" s="1026"/>
      <c r="R32" s="1026"/>
    </row>
    <row r="33" spans="1:19" ht="36" x14ac:dyDescent="0.2">
      <c r="A33" s="626" t="s">
        <v>1203</v>
      </c>
      <c r="B33" s="629"/>
      <c r="C33" s="629"/>
      <c r="D33" s="629"/>
      <c r="E33" s="629"/>
      <c r="F33" s="1038"/>
      <c r="G33" s="634"/>
      <c r="H33" s="634"/>
      <c r="I33" s="506">
        <v>0</v>
      </c>
      <c r="J33" s="1036"/>
      <c r="K33" s="1040"/>
      <c r="M33" s="1026"/>
      <c r="N33" s="1026"/>
      <c r="O33" s="1026"/>
      <c r="P33" s="1026"/>
      <c r="Q33" s="1026"/>
      <c r="R33" s="1026"/>
    </row>
    <row r="34" spans="1:19" ht="36" x14ac:dyDescent="0.2">
      <c r="A34" s="626" t="s">
        <v>1134</v>
      </c>
      <c r="B34" s="629"/>
      <c r="C34" s="629"/>
      <c r="D34" s="629"/>
      <c r="E34" s="629"/>
      <c r="F34" s="737" t="s">
        <v>1135</v>
      </c>
      <c r="G34" s="634"/>
      <c r="H34" s="634"/>
      <c r="I34" s="586"/>
      <c r="J34" s="1036"/>
      <c r="K34" s="1071">
        <f>I9+I13+I16+I19+I22+I25+I28+I31+I32+I33+I34</f>
        <v>604528176</v>
      </c>
      <c r="L34" s="6" t="s">
        <v>888</v>
      </c>
      <c r="M34" s="1026"/>
      <c r="N34" s="1026"/>
      <c r="O34" s="1026"/>
      <c r="P34" s="1026"/>
      <c r="Q34" s="1026"/>
      <c r="R34" s="1026"/>
    </row>
    <row r="35" spans="1:19" ht="12.75" x14ac:dyDescent="0.2">
      <c r="A35" s="633"/>
      <c r="B35" s="629"/>
      <c r="C35" s="629"/>
      <c r="D35" s="629"/>
      <c r="E35" s="629"/>
      <c r="F35" s="586"/>
      <c r="G35" s="634"/>
      <c r="H35" s="634"/>
      <c r="I35" s="586"/>
      <c r="J35" s="1036"/>
      <c r="K35" s="1040"/>
      <c r="L35" s="1026"/>
      <c r="M35" s="1026"/>
      <c r="N35" s="1026"/>
      <c r="O35" s="1026"/>
      <c r="P35" s="1026"/>
      <c r="Q35" s="1026"/>
      <c r="R35" s="1026"/>
    </row>
    <row r="36" spans="1:19" ht="12.75" x14ac:dyDescent="0.2">
      <c r="A36" s="633"/>
      <c r="B36" s="629"/>
      <c r="C36" s="629"/>
      <c r="D36" s="629"/>
      <c r="E36" s="629"/>
      <c r="F36" s="586"/>
      <c r="G36" s="634"/>
      <c r="H36" s="634"/>
      <c r="I36" s="586"/>
      <c r="J36" s="1036"/>
      <c r="K36" s="1040"/>
      <c r="L36" s="1026"/>
      <c r="M36" s="1026"/>
      <c r="N36" s="1026"/>
      <c r="O36" s="1026"/>
      <c r="P36" s="1026"/>
      <c r="Q36" s="1026"/>
      <c r="R36" s="1026"/>
    </row>
    <row r="37" spans="1:19" ht="12.75" x14ac:dyDescent="0.2">
      <c r="A37" s="636" t="s">
        <v>83</v>
      </c>
      <c r="B37" s="507"/>
      <c r="C37" s="507"/>
      <c r="D37" s="507"/>
      <c r="E37" s="507"/>
      <c r="F37" s="506"/>
      <c r="G37" s="505"/>
      <c r="H37" s="505"/>
      <c r="I37" s="506"/>
      <c r="J37" s="1036"/>
      <c r="K37" s="1026"/>
      <c r="L37" s="1026"/>
      <c r="M37" s="1026"/>
      <c r="N37" s="1026"/>
      <c r="O37" s="1026"/>
      <c r="P37" s="1026"/>
      <c r="Q37" s="1026"/>
      <c r="R37" s="1026"/>
    </row>
    <row r="38" spans="1:19" ht="24" x14ac:dyDescent="0.2">
      <c r="A38" s="626" t="s">
        <v>819</v>
      </c>
      <c r="B38" s="507"/>
      <c r="C38" s="507"/>
      <c r="D38" s="507"/>
      <c r="E38" s="507"/>
      <c r="F38" s="506"/>
      <c r="G38" s="505"/>
      <c r="H38" s="505"/>
      <c r="I38" s="506"/>
      <c r="J38" s="1036"/>
      <c r="K38" s="1026"/>
      <c r="L38" s="1026"/>
      <c r="M38" s="1026"/>
      <c r="N38" s="1026"/>
      <c r="O38" s="1026"/>
      <c r="P38" s="1026"/>
      <c r="Q38" s="1026"/>
      <c r="R38" s="1026"/>
    </row>
    <row r="39" spans="1:19" ht="12.75" x14ac:dyDescent="0.2">
      <c r="A39" s="626" t="s">
        <v>820</v>
      </c>
      <c r="B39" s="507"/>
      <c r="C39" s="508">
        <v>13.1</v>
      </c>
      <c r="D39" s="507">
        <v>4152000</v>
      </c>
      <c r="E39" s="507">
        <f>C39*D39*8/12</f>
        <v>36260800</v>
      </c>
      <c r="F39" s="1042" t="s">
        <v>1183</v>
      </c>
      <c r="G39" s="695">
        <v>11.8</v>
      </c>
      <c r="H39" s="1043">
        <v>4371500</v>
      </c>
      <c r="I39" s="506">
        <f>G39*8/12*H39</f>
        <v>34389133.333333336</v>
      </c>
      <c r="J39" s="1036"/>
      <c r="K39" s="1026"/>
      <c r="L39" s="1026"/>
      <c r="M39" s="1026"/>
      <c r="N39" s="1026"/>
      <c r="O39" s="1026"/>
      <c r="P39" s="1026"/>
      <c r="Q39" s="1026"/>
      <c r="R39" s="1026"/>
    </row>
    <row r="40" spans="1:19" ht="12.75" x14ac:dyDescent="0.2">
      <c r="A40" s="626" t="s">
        <v>821</v>
      </c>
      <c r="B40" s="507"/>
      <c r="C40" s="508">
        <v>13.1</v>
      </c>
      <c r="D40" s="509">
        <v>4152000</v>
      </c>
      <c r="E40" s="507">
        <f>C40*D40*4/12</f>
        <v>18130400</v>
      </c>
      <c r="F40" s="1042" t="s">
        <v>1184</v>
      </c>
      <c r="G40" s="637">
        <v>11.6</v>
      </c>
      <c r="H40" s="506">
        <v>4371500</v>
      </c>
      <c r="I40" s="506">
        <f>G40*4/12*H40</f>
        <v>16903133.333333332</v>
      </c>
      <c r="J40" s="1036"/>
      <c r="K40" s="1026"/>
      <c r="L40" s="1026"/>
      <c r="M40" s="1026"/>
      <c r="N40" s="1026"/>
      <c r="O40" s="1026"/>
      <c r="P40" s="1026"/>
      <c r="Q40" s="1026"/>
      <c r="R40" s="1026"/>
    </row>
    <row r="41" spans="1:19" ht="24" x14ac:dyDescent="0.2">
      <c r="A41" s="626" t="s">
        <v>822</v>
      </c>
      <c r="B41" s="507"/>
      <c r="C41" s="507">
        <v>10</v>
      </c>
      <c r="D41" s="507">
        <v>1800000</v>
      </c>
      <c r="E41" s="507">
        <f>C41*D41*8/12</f>
        <v>12000000</v>
      </c>
      <c r="F41" s="737"/>
      <c r="G41" s="637">
        <v>9</v>
      </c>
      <c r="H41" s="506">
        <v>2205000</v>
      </c>
      <c r="I41" s="506">
        <f>G41*H41*8/12</f>
        <v>13230000</v>
      </c>
      <c r="J41" s="1036"/>
      <c r="K41" s="1026"/>
      <c r="L41" s="1026"/>
      <c r="M41" s="1026"/>
      <c r="N41" s="1026"/>
      <c r="O41" s="1026"/>
      <c r="P41" s="1026"/>
      <c r="Q41" s="1026"/>
      <c r="R41" s="1026"/>
    </row>
    <row r="42" spans="1:19" ht="24" x14ac:dyDescent="0.2">
      <c r="A42" s="626" t="s">
        <v>918</v>
      </c>
      <c r="B42" s="507"/>
      <c r="C42" s="507"/>
      <c r="D42" s="507"/>
      <c r="E42" s="507"/>
      <c r="F42" s="506"/>
      <c r="G42" s="637">
        <v>0</v>
      </c>
      <c r="H42" s="506">
        <v>4371500</v>
      </c>
      <c r="I42" s="506">
        <f>G42*H42*8/12</f>
        <v>0</v>
      </c>
      <c r="J42" s="1036"/>
      <c r="K42" s="1026"/>
      <c r="L42" s="1026"/>
      <c r="M42" s="1026"/>
      <c r="N42" s="1026"/>
      <c r="O42" s="1026"/>
      <c r="P42" s="1026"/>
      <c r="Q42" s="1026"/>
      <c r="R42" s="1026"/>
    </row>
    <row r="43" spans="1:19" ht="24" x14ac:dyDescent="0.2">
      <c r="A43" s="626" t="s">
        <v>824</v>
      </c>
      <c r="B43" s="507"/>
      <c r="C43" s="507">
        <v>10</v>
      </c>
      <c r="D43" s="507">
        <v>1800000</v>
      </c>
      <c r="E43" s="507">
        <f>C43*D43*4/12</f>
        <v>6000000</v>
      </c>
      <c r="F43" s="506"/>
      <c r="G43" s="637">
        <v>9</v>
      </c>
      <c r="H43" s="506">
        <v>2205000</v>
      </c>
      <c r="I43" s="506">
        <f>G43*H43*4/12</f>
        <v>6615000</v>
      </c>
      <c r="J43" s="1044"/>
      <c r="K43" s="1026"/>
      <c r="L43" s="1026"/>
      <c r="M43" s="1026"/>
      <c r="N43" s="1026"/>
      <c r="O43" s="1026"/>
      <c r="P43" s="1026"/>
      <c r="Q43" s="1026"/>
      <c r="R43" s="1026"/>
    </row>
    <row r="44" spans="1:19" ht="60" x14ac:dyDescent="0.2">
      <c r="A44" s="626" t="s">
        <v>919</v>
      </c>
      <c r="B44" s="507"/>
      <c r="C44" s="507"/>
      <c r="D44" s="507"/>
      <c r="E44" s="507"/>
      <c r="F44" s="506"/>
      <c r="G44" s="637">
        <v>0</v>
      </c>
      <c r="H44" s="506">
        <v>4371500</v>
      </c>
      <c r="I44" s="506">
        <f>G44*H44*4/12</f>
        <v>0</v>
      </c>
      <c r="J44" s="1044"/>
      <c r="K44" s="787" t="s">
        <v>1136</v>
      </c>
      <c r="L44" s="635">
        <f>I9+I11+I14+I17+I20+I23+I26+I29</f>
        <v>730770978</v>
      </c>
      <c r="M44" s="1026"/>
      <c r="N44" s="788" t="s">
        <v>1137</v>
      </c>
      <c r="O44" s="635">
        <v>135897496</v>
      </c>
      <c r="P44" s="635">
        <v>-9654694</v>
      </c>
      <c r="Q44" s="635">
        <f>I12+I15+I18+I21+I24+I27</f>
        <v>-45811390</v>
      </c>
      <c r="R44" s="635">
        <f>O44+Q44+P44</f>
        <v>80431412</v>
      </c>
      <c r="S44" s="788" t="s">
        <v>890</v>
      </c>
    </row>
    <row r="45" spans="1:19" ht="12.75" x14ac:dyDescent="0.2">
      <c r="A45" s="510" t="s">
        <v>827</v>
      </c>
      <c r="B45" s="507"/>
      <c r="C45" s="507"/>
      <c r="D45" s="507"/>
      <c r="E45" s="507"/>
      <c r="F45" s="506"/>
      <c r="G45" s="505"/>
      <c r="H45" s="505"/>
      <c r="I45" s="506"/>
      <c r="J45" s="543"/>
      <c r="K45" s="1026"/>
      <c r="L45" s="1026"/>
      <c r="M45" s="1026"/>
      <c r="N45" s="1026"/>
      <c r="O45" s="1026"/>
      <c r="P45" s="1026"/>
      <c r="Q45" s="1026"/>
      <c r="R45" s="1026"/>
    </row>
    <row r="46" spans="1:19" ht="24" x14ac:dyDescent="0.2">
      <c r="A46" s="626" t="s">
        <v>920</v>
      </c>
      <c r="B46" s="507"/>
      <c r="C46" s="507">
        <v>142</v>
      </c>
      <c r="D46" s="507">
        <v>70000</v>
      </c>
      <c r="E46" s="507">
        <f>C46*D46*8/12</f>
        <v>6626666.666666667</v>
      </c>
      <c r="F46" s="737"/>
      <c r="G46" s="506">
        <v>128</v>
      </c>
      <c r="H46" s="507">
        <v>97400</v>
      </c>
      <c r="I46" s="506">
        <f>G46*H46*8/12</f>
        <v>8311466.666666667</v>
      </c>
      <c r="J46" s="543"/>
      <c r="K46" s="1026"/>
      <c r="L46" s="1026"/>
      <c r="M46" s="1026"/>
      <c r="N46" s="1026"/>
      <c r="O46" s="1026"/>
      <c r="P46" s="1026"/>
      <c r="Q46" s="1026"/>
      <c r="R46" s="1026"/>
    </row>
    <row r="47" spans="1:19" ht="24" x14ac:dyDescent="0.2">
      <c r="A47" s="626" t="s">
        <v>1138</v>
      </c>
      <c r="B47" s="507"/>
      <c r="C47" s="507">
        <v>142</v>
      </c>
      <c r="D47" s="507">
        <v>70000</v>
      </c>
      <c r="E47" s="507">
        <f>C47*D47*4/12</f>
        <v>3313333.3333333335</v>
      </c>
      <c r="F47" s="737"/>
      <c r="G47" s="506">
        <v>130</v>
      </c>
      <c r="H47" s="507">
        <v>97400</v>
      </c>
      <c r="I47" s="506">
        <f>G47*H47*4/12</f>
        <v>4220666.666666667</v>
      </c>
      <c r="J47" s="1036"/>
      <c r="K47" s="1026"/>
      <c r="L47" s="1026"/>
      <c r="M47" s="1026"/>
      <c r="N47" s="1026"/>
      <c r="O47" s="1026"/>
      <c r="P47" s="1026"/>
      <c r="Q47" s="1026"/>
      <c r="R47" s="1026"/>
    </row>
    <row r="48" spans="1:19" ht="12.75" x14ac:dyDescent="0.2">
      <c r="A48" s="510" t="s">
        <v>876</v>
      </c>
      <c r="B48" s="507"/>
      <c r="C48" s="507"/>
      <c r="D48" s="507"/>
      <c r="E48" s="507"/>
      <c r="F48" s="506"/>
      <c r="G48" s="505"/>
      <c r="H48" s="505"/>
      <c r="I48" s="506"/>
      <c r="J48" s="1036"/>
      <c r="K48" s="1026"/>
      <c r="L48" s="1026"/>
      <c r="M48" s="1026"/>
      <c r="N48" s="1026"/>
      <c r="O48" s="1026"/>
      <c r="P48" s="1026"/>
      <c r="Q48" s="1026"/>
      <c r="R48" s="1026"/>
    </row>
    <row r="49" spans="1:18" ht="48" x14ac:dyDescent="0.2">
      <c r="A49" s="626" t="s">
        <v>1139</v>
      </c>
      <c r="B49" s="507"/>
      <c r="C49" s="507">
        <v>5</v>
      </c>
      <c r="D49" s="641" t="s">
        <v>298</v>
      </c>
      <c r="E49" s="507">
        <v>1760000</v>
      </c>
      <c r="F49" s="506"/>
      <c r="G49" s="505">
        <v>4</v>
      </c>
      <c r="H49" s="506">
        <v>396700</v>
      </c>
      <c r="I49" s="506">
        <f>G49*H49</f>
        <v>1586800</v>
      </c>
      <c r="J49" s="1036"/>
      <c r="K49" s="1026"/>
      <c r="L49" s="1026"/>
      <c r="M49" s="1026"/>
      <c r="N49" s="1026"/>
      <c r="O49" s="1026"/>
      <c r="P49" s="1026"/>
      <c r="Q49" s="1026"/>
      <c r="R49" s="1026"/>
    </row>
    <row r="50" spans="1:18" ht="48" x14ac:dyDescent="0.2">
      <c r="A50" s="626" t="s">
        <v>1140</v>
      </c>
      <c r="B50" s="507"/>
      <c r="C50" s="507"/>
      <c r="D50" s="507"/>
      <c r="E50" s="507"/>
      <c r="F50" s="506"/>
      <c r="G50" s="505">
        <v>0</v>
      </c>
      <c r="H50" s="506">
        <v>363642</v>
      </c>
      <c r="I50" s="506">
        <f>G50*H50</f>
        <v>0</v>
      </c>
      <c r="J50" s="1036"/>
      <c r="K50" s="635"/>
      <c r="M50" s="1026"/>
      <c r="N50" s="1026"/>
      <c r="O50" s="1026"/>
      <c r="P50" s="1026"/>
      <c r="Q50" s="1026"/>
      <c r="R50" s="1026"/>
    </row>
    <row r="51" spans="1:18" ht="12.75" x14ac:dyDescent="0.2">
      <c r="A51" s="626" t="s">
        <v>1141</v>
      </c>
      <c r="B51" s="507"/>
      <c r="C51" s="507"/>
      <c r="D51" s="507"/>
      <c r="E51" s="507"/>
      <c r="F51" s="506"/>
      <c r="G51" s="505">
        <v>0</v>
      </c>
      <c r="H51" s="506">
        <v>563000</v>
      </c>
      <c r="I51" s="506">
        <f>G51*H51</f>
        <v>0</v>
      </c>
      <c r="J51" s="1036"/>
      <c r="K51" s="1071">
        <f>SUM(I39:I51)</f>
        <v>85256200.000000015</v>
      </c>
      <c r="L51" s="6" t="s">
        <v>891</v>
      </c>
      <c r="M51" s="1026"/>
      <c r="N51" s="1026"/>
      <c r="O51" s="1026"/>
      <c r="P51" s="1026"/>
      <c r="Q51" s="1026"/>
      <c r="R51" s="1026"/>
    </row>
    <row r="52" spans="1:18" ht="12.75" x14ac:dyDescent="0.2">
      <c r="A52" s="640"/>
      <c r="B52" s="629"/>
      <c r="C52" s="629"/>
      <c r="D52" s="629"/>
      <c r="E52" s="629"/>
      <c r="F52" s="586"/>
      <c r="G52" s="634"/>
      <c r="H52" s="634"/>
      <c r="I52" s="586"/>
      <c r="J52" s="1036"/>
      <c r="K52" s="1040"/>
      <c r="L52" s="1026"/>
      <c r="M52" s="1026"/>
      <c r="N52" s="1026"/>
      <c r="O52" s="1026"/>
      <c r="P52" s="1026"/>
      <c r="Q52" s="1026"/>
      <c r="R52" s="1026"/>
    </row>
    <row r="53" spans="1:18" ht="12.75" x14ac:dyDescent="0.2">
      <c r="A53" s="636" t="s">
        <v>84</v>
      </c>
      <c r="B53" s="629"/>
      <c r="C53" s="629"/>
      <c r="D53" s="629"/>
      <c r="E53" s="629"/>
      <c r="F53" s="586"/>
      <c r="G53" s="634"/>
      <c r="H53" s="634"/>
      <c r="I53" s="586"/>
      <c r="J53" s="1036"/>
      <c r="K53" s="1026"/>
      <c r="L53" s="1026"/>
      <c r="M53" s="1026"/>
      <c r="N53" s="1026"/>
      <c r="O53" s="1026"/>
      <c r="P53" s="1026"/>
      <c r="Q53" s="1026"/>
      <c r="R53" s="1026"/>
    </row>
    <row r="54" spans="1:18" ht="36" x14ac:dyDescent="0.2">
      <c r="A54" s="510" t="s">
        <v>1142</v>
      </c>
      <c r="B54" s="629"/>
      <c r="C54" s="629"/>
      <c r="D54" s="629"/>
      <c r="E54" s="629">
        <v>0</v>
      </c>
      <c r="F54" s="737" t="s">
        <v>1135</v>
      </c>
      <c r="G54" s="634"/>
      <c r="H54" s="634"/>
      <c r="I54" s="506">
        <v>0</v>
      </c>
      <c r="J54" s="1045"/>
      <c r="K54" s="1026"/>
      <c r="L54" s="1026"/>
      <c r="M54" s="1026"/>
      <c r="N54" s="1026"/>
      <c r="O54" s="1026"/>
      <c r="P54" s="1026"/>
      <c r="Q54" s="1026"/>
      <c r="R54" s="1026"/>
    </row>
    <row r="55" spans="1:18" ht="24" x14ac:dyDescent="0.2">
      <c r="A55" s="626" t="s">
        <v>1143</v>
      </c>
      <c r="B55" s="629"/>
      <c r="C55" s="629"/>
      <c r="D55" s="629"/>
      <c r="E55" s="632">
        <v>0</v>
      </c>
      <c r="F55" s="586"/>
      <c r="G55" s="634"/>
      <c r="H55" s="634"/>
      <c r="I55" s="506">
        <v>0</v>
      </c>
      <c r="J55" s="1036"/>
      <c r="K55" s="1026"/>
      <c r="L55" s="1026"/>
      <c r="M55" s="1026"/>
      <c r="N55" s="1026"/>
      <c r="O55" s="1026"/>
      <c r="P55" s="1026"/>
      <c r="Q55" s="1026"/>
      <c r="R55" s="1026"/>
    </row>
    <row r="56" spans="1:18" ht="12.75" x14ac:dyDescent="0.2">
      <c r="A56" s="510" t="s">
        <v>838</v>
      </c>
      <c r="B56" s="629"/>
      <c r="C56" s="629"/>
      <c r="D56" s="629"/>
      <c r="E56" s="629"/>
      <c r="F56" s="586"/>
      <c r="G56" s="634"/>
      <c r="H56" s="634"/>
      <c r="I56" s="586"/>
      <c r="J56" s="1036"/>
      <c r="K56" s="1026"/>
      <c r="L56" s="1026"/>
      <c r="M56" s="1026"/>
      <c r="N56" s="1026"/>
      <c r="O56" s="1026"/>
      <c r="P56" s="1026"/>
      <c r="Q56" s="1026"/>
      <c r="R56" s="1026"/>
    </row>
    <row r="57" spans="1:18" ht="12.75" x14ac:dyDescent="0.2">
      <c r="A57" s="510" t="s">
        <v>839</v>
      </c>
      <c r="B57" s="629"/>
      <c r="C57" s="629"/>
      <c r="D57" s="629"/>
      <c r="E57" s="629"/>
      <c r="F57" s="586"/>
      <c r="G57" s="634"/>
      <c r="H57" s="634"/>
      <c r="I57" s="586"/>
      <c r="J57" s="1036"/>
      <c r="K57" s="1026"/>
      <c r="L57" s="1026"/>
      <c r="M57" s="1026"/>
      <c r="N57" s="1026"/>
      <c r="O57" s="1026"/>
      <c r="P57" s="1026"/>
      <c r="Q57" s="1026"/>
      <c r="R57" s="1026"/>
    </row>
    <row r="58" spans="1:18" ht="12.75" x14ac:dyDescent="0.2">
      <c r="A58" s="510" t="s">
        <v>840</v>
      </c>
      <c r="B58" s="629"/>
      <c r="C58" s="629"/>
      <c r="D58" s="629"/>
      <c r="E58" s="629"/>
      <c r="F58" s="586"/>
      <c r="G58" s="634"/>
      <c r="H58" s="634"/>
      <c r="I58" s="586"/>
      <c r="J58" s="1036"/>
      <c r="K58" s="1026"/>
      <c r="L58" s="1026"/>
      <c r="M58" s="1026"/>
      <c r="N58" s="1026"/>
      <c r="O58" s="1026"/>
      <c r="P58" s="1026"/>
      <c r="Q58" s="1026"/>
      <c r="R58" s="1026"/>
    </row>
    <row r="59" spans="1:18" ht="12.75" x14ac:dyDescent="0.2">
      <c r="A59" s="640" t="s">
        <v>1185</v>
      </c>
      <c r="B59" s="633"/>
      <c r="C59" s="642"/>
      <c r="D59" s="629"/>
      <c r="E59" s="629">
        <f>C59*D59/2</f>
        <v>0</v>
      </c>
      <c r="F59" s="507"/>
      <c r="G59" s="643"/>
      <c r="H59" s="634"/>
      <c r="I59" s="586"/>
      <c r="J59" s="1045"/>
      <c r="K59" s="1026"/>
      <c r="L59" s="1026"/>
      <c r="M59" s="1026"/>
      <c r="N59" s="1026"/>
      <c r="O59" s="1026"/>
      <c r="P59" s="1026"/>
      <c r="Q59" s="1026"/>
      <c r="R59" s="1026"/>
    </row>
    <row r="60" spans="1:18" ht="24" x14ac:dyDescent="0.2">
      <c r="A60" s="626" t="s">
        <v>877</v>
      </c>
      <c r="B60" s="507"/>
      <c r="C60" s="510"/>
      <c r="D60" s="507"/>
      <c r="E60" s="507"/>
      <c r="F60" s="506"/>
      <c r="G60" s="512">
        <v>0</v>
      </c>
      <c r="H60" s="505"/>
      <c r="I60" s="506"/>
      <c r="J60" s="1045"/>
      <c r="K60" s="1026"/>
      <c r="L60" s="1026"/>
      <c r="M60" s="1026"/>
      <c r="N60" s="1026"/>
      <c r="O60" s="1026"/>
      <c r="P60" s="1026"/>
      <c r="Q60" s="1026"/>
      <c r="R60" s="1026"/>
    </row>
    <row r="61" spans="1:18" ht="24" x14ac:dyDescent="0.2">
      <c r="A61" s="626" t="s">
        <v>1144</v>
      </c>
      <c r="B61" s="507"/>
      <c r="C61" s="510"/>
      <c r="D61" s="507"/>
      <c r="E61" s="507"/>
      <c r="F61" s="506"/>
      <c r="G61" s="511">
        <v>1</v>
      </c>
      <c r="H61" s="505"/>
      <c r="I61" s="506"/>
      <c r="J61" s="1036"/>
      <c r="K61" s="1026"/>
      <c r="L61" s="1026"/>
      <c r="M61" s="1026"/>
      <c r="N61" s="1026"/>
      <c r="O61" s="1026"/>
      <c r="P61" s="1026"/>
      <c r="Q61" s="1026"/>
      <c r="R61" s="1026"/>
    </row>
    <row r="62" spans="1:18" ht="12.75" x14ac:dyDescent="0.2">
      <c r="A62" s="510" t="s">
        <v>844</v>
      </c>
      <c r="B62" s="507"/>
      <c r="C62" s="1046">
        <v>0.97299999999999998</v>
      </c>
      <c r="D62" s="507">
        <v>3000000</v>
      </c>
      <c r="E62" s="507"/>
      <c r="F62" s="506"/>
      <c r="G62" s="511">
        <v>2</v>
      </c>
      <c r="H62" s="507">
        <v>3000000</v>
      </c>
      <c r="I62" s="506">
        <f>(2*1+0)*H62</f>
        <v>6000000</v>
      </c>
      <c r="J62" s="1036"/>
      <c r="K62" s="1026"/>
      <c r="L62" s="1026"/>
      <c r="M62" s="1026"/>
      <c r="N62" s="1026"/>
      <c r="O62" s="1026"/>
      <c r="P62" s="1026"/>
      <c r="Q62" s="1026"/>
      <c r="R62" s="1026"/>
    </row>
    <row r="63" spans="1:18" ht="12.75" x14ac:dyDescent="0.2">
      <c r="A63" s="510" t="s">
        <v>1145</v>
      </c>
      <c r="B63" s="698"/>
      <c r="C63" s="507">
        <v>80</v>
      </c>
      <c r="D63" s="507">
        <v>55360</v>
      </c>
      <c r="E63" s="507">
        <f>C63*D63</f>
        <v>4428800</v>
      </c>
      <c r="F63" s="737"/>
      <c r="G63" s="507">
        <v>73</v>
      </c>
      <c r="H63" s="507">
        <v>55360</v>
      </c>
      <c r="I63" s="507">
        <f>G63*H63</f>
        <v>4041280</v>
      </c>
      <c r="J63" s="1036"/>
      <c r="K63" s="1026"/>
      <c r="L63" s="1026"/>
      <c r="M63" s="1026"/>
      <c r="N63" s="1026"/>
      <c r="O63" s="1026"/>
      <c r="P63" s="1026"/>
      <c r="Q63" s="1026"/>
      <c r="R63" s="1026"/>
    </row>
    <row r="64" spans="1:18" ht="12.75" x14ac:dyDescent="0.2">
      <c r="A64" s="510" t="s">
        <v>1146</v>
      </c>
      <c r="B64" s="645"/>
      <c r="C64" s="629">
        <v>55</v>
      </c>
      <c r="D64" s="629">
        <v>145000</v>
      </c>
      <c r="E64" s="629">
        <f>C64*D64</f>
        <v>7975000</v>
      </c>
      <c r="F64" s="586"/>
      <c r="G64" s="629"/>
      <c r="H64" s="629"/>
      <c r="I64" s="629"/>
      <c r="J64" s="1036"/>
      <c r="K64" s="1026"/>
      <c r="L64" s="1026"/>
      <c r="M64" s="1026"/>
      <c r="N64" s="1026"/>
      <c r="O64" s="1026"/>
      <c r="P64" s="1026"/>
      <c r="Q64" s="1026"/>
      <c r="R64" s="1026"/>
    </row>
    <row r="65" spans="1:18" ht="12.75" x14ac:dyDescent="0.2">
      <c r="A65" s="510" t="s">
        <v>879</v>
      </c>
      <c r="B65" s="698"/>
      <c r="C65" s="507"/>
      <c r="D65" s="507"/>
      <c r="E65" s="507"/>
      <c r="F65" s="737"/>
      <c r="G65" s="507">
        <v>2</v>
      </c>
      <c r="H65" s="507">
        <v>25000</v>
      </c>
      <c r="I65" s="507">
        <f>G65*H65</f>
        <v>50000</v>
      </c>
      <c r="J65" s="1036"/>
      <c r="K65" s="1026"/>
      <c r="L65" s="1026"/>
      <c r="M65" s="1026"/>
      <c r="N65" s="1026"/>
      <c r="O65" s="1026"/>
      <c r="P65" s="1026"/>
      <c r="Q65" s="1026"/>
      <c r="R65" s="1026"/>
    </row>
    <row r="66" spans="1:18" ht="12.75" x14ac:dyDescent="0.2">
      <c r="A66" s="510" t="s">
        <v>880</v>
      </c>
      <c r="B66" s="698"/>
      <c r="C66" s="507"/>
      <c r="D66" s="507"/>
      <c r="E66" s="507"/>
      <c r="F66" s="737"/>
      <c r="G66" s="507">
        <v>52</v>
      </c>
      <c r="H66" s="507">
        <v>210000</v>
      </c>
      <c r="I66" s="507">
        <f>G66*H66</f>
        <v>10920000</v>
      </c>
      <c r="J66" s="1036"/>
      <c r="K66" s="1026"/>
      <c r="L66" s="1026"/>
      <c r="M66" s="1026"/>
      <c r="N66" s="1026"/>
      <c r="O66" s="1026"/>
      <c r="P66" s="1026"/>
      <c r="Q66" s="1026"/>
      <c r="R66" s="1026"/>
    </row>
    <row r="67" spans="1:18" ht="12.75" x14ac:dyDescent="0.2">
      <c r="A67" s="626" t="s">
        <v>1147</v>
      </c>
      <c r="B67" s="697"/>
      <c r="C67" s="507">
        <v>23</v>
      </c>
      <c r="D67" s="507">
        <v>109000</v>
      </c>
      <c r="E67" s="507">
        <f>C67*D67</f>
        <v>2507000</v>
      </c>
      <c r="F67" s="506"/>
      <c r="G67" s="507">
        <v>25</v>
      </c>
      <c r="H67" s="507">
        <v>109000</v>
      </c>
      <c r="I67" s="507">
        <f>G67*H67</f>
        <v>2725000</v>
      </c>
      <c r="J67" s="1036"/>
      <c r="K67" s="1026"/>
      <c r="L67" s="1026"/>
      <c r="M67" s="1026"/>
      <c r="N67" s="1026"/>
      <c r="O67" s="1026"/>
      <c r="P67" s="1026"/>
      <c r="Q67" s="1026"/>
      <c r="R67" s="1026"/>
    </row>
    <row r="68" spans="1:18" ht="12.75" x14ac:dyDescent="0.2">
      <c r="A68" s="626" t="s">
        <v>1148</v>
      </c>
      <c r="B68" s="697"/>
      <c r="C68" s="507"/>
      <c r="D68" s="507"/>
      <c r="E68" s="507"/>
      <c r="F68" s="506"/>
      <c r="G68" s="507"/>
      <c r="H68" s="507"/>
      <c r="I68" s="507"/>
      <c r="J68" s="1036"/>
      <c r="K68" s="1026"/>
      <c r="L68" s="1026"/>
      <c r="M68" s="1026"/>
      <c r="N68" s="1026"/>
      <c r="O68" s="1026"/>
      <c r="P68" s="1026"/>
      <c r="Q68" s="1026"/>
      <c r="R68" s="1026"/>
    </row>
    <row r="69" spans="1:18" ht="24" x14ac:dyDescent="0.2">
      <c r="A69" s="626" t="s">
        <v>1149</v>
      </c>
      <c r="B69" s="697"/>
      <c r="C69" s="507"/>
      <c r="D69" s="507"/>
      <c r="E69" s="507"/>
      <c r="F69" s="506"/>
      <c r="G69" s="511">
        <v>2</v>
      </c>
      <c r="H69" s="507">
        <v>400000</v>
      </c>
      <c r="I69" s="507">
        <f>G69*H69</f>
        <v>800000</v>
      </c>
      <c r="J69" s="1036"/>
      <c r="K69" s="1026"/>
      <c r="L69" s="1026"/>
      <c r="M69" s="1026"/>
      <c r="N69" s="1026"/>
      <c r="O69" s="1026"/>
      <c r="P69" s="1026"/>
      <c r="Q69" s="1026"/>
      <c r="R69" s="1026"/>
    </row>
    <row r="70" spans="1:18" ht="24" x14ac:dyDescent="0.2">
      <c r="A70" s="626" t="s">
        <v>1150</v>
      </c>
      <c r="B70" s="697"/>
      <c r="C70" s="507"/>
      <c r="D70" s="507"/>
      <c r="E70" s="507"/>
      <c r="F70" s="506"/>
      <c r="G70" s="507">
        <v>52</v>
      </c>
      <c r="H70" s="507">
        <v>120000</v>
      </c>
      <c r="I70" s="507">
        <f>G70*H70</f>
        <v>6240000</v>
      </c>
      <c r="J70" s="1036"/>
      <c r="K70" s="1026"/>
      <c r="L70" s="1026"/>
      <c r="M70" s="1026"/>
      <c r="N70" s="1026"/>
      <c r="O70" s="1026"/>
      <c r="P70" s="1026"/>
      <c r="Q70" s="1026"/>
      <c r="R70" s="1026"/>
    </row>
    <row r="71" spans="1:18" ht="24" x14ac:dyDescent="0.2">
      <c r="A71" s="626" t="s">
        <v>1151</v>
      </c>
      <c r="B71" s="698"/>
      <c r="C71" s="507"/>
      <c r="D71" s="507"/>
      <c r="E71" s="507"/>
      <c r="F71" s="506"/>
      <c r="G71" s="505"/>
      <c r="H71" s="505"/>
      <c r="I71" s="855"/>
      <c r="J71" s="1036"/>
      <c r="K71" s="1026"/>
      <c r="L71" s="1026"/>
      <c r="M71" s="1026"/>
      <c r="N71" s="1026"/>
      <c r="O71" s="1026"/>
      <c r="P71" s="1026"/>
      <c r="Q71" s="1026"/>
      <c r="R71" s="1026"/>
    </row>
    <row r="72" spans="1:18" ht="24" x14ac:dyDescent="0.2">
      <c r="A72" s="626" t="s">
        <v>1186</v>
      </c>
      <c r="B72" s="698"/>
      <c r="C72" s="507">
        <v>15</v>
      </c>
      <c r="D72" s="507">
        <v>2606040</v>
      </c>
      <c r="E72" s="507">
        <f>C72*D72</f>
        <v>39090600</v>
      </c>
      <c r="F72" s="737"/>
      <c r="G72" s="507">
        <v>15</v>
      </c>
      <c r="H72" s="507">
        <v>2606040</v>
      </c>
      <c r="I72" s="507">
        <f>G72*H72</f>
        <v>39090600</v>
      </c>
      <c r="J72" s="1036"/>
      <c r="K72" s="1026"/>
      <c r="L72" s="1026"/>
      <c r="M72" s="1026"/>
      <c r="N72" s="1026"/>
      <c r="O72" s="1026"/>
      <c r="P72" s="1026"/>
      <c r="Q72" s="1026"/>
      <c r="R72" s="1026"/>
    </row>
    <row r="73" spans="1:18" ht="12.75" x14ac:dyDescent="0.2">
      <c r="A73" s="510" t="s">
        <v>1152</v>
      </c>
      <c r="B73" s="645"/>
      <c r="C73" s="629"/>
      <c r="D73" s="629"/>
      <c r="E73" s="632">
        <v>37834000</v>
      </c>
      <c r="F73" s="1041"/>
      <c r="G73" s="634"/>
      <c r="H73" s="634"/>
      <c r="I73" s="506">
        <v>40329000</v>
      </c>
      <c r="J73" s="1047"/>
      <c r="K73" s="1026"/>
      <c r="L73" s="1026"/>
      <c r="M73" s="1026"/>
      <c r="N73" s="1026"/>
      <c r="O73" s="1026"/>
      <c r="P73" s="1026"/>
      <c r="Q73" s="1026"/>
      <c r="R73" s="1026"/>
    </row>
    <row r="74" spans="1:18" ht="12.75" x14ac:dyDescent="0.2">
      <c r="A74" s="510" t="s">
        <v>1153</v>
      </c>
      <c r="B74" s="645"/>
      <c r="C74" s="629"/>
      <c r="D74" s="629"/>
      <c r="E74" s="632"/>
      <c r="F74" s="1041"/>
      <c r="G74" s="1048">
        <v>15</v>
      </c>
      <c r="H74" s="506">
        <v>241960</v>
      </c>
      <c r="I74" s="506">
        <f>G74*H74</f>
        <v>3629400</v>
      </c>
      <c r="J74" s="1047"/>
      <c r="K74" s="1026"/>
      <c r="L74" s="1026"/>
      <c r="M74" s="1026"/>
      <c r="N74" s="1026"/>
      <c r="O74" s="1026"/>
      <c r="P74" s="1026"/>
      <c r="Q74" s="1026"/>
      <c r="R74" s="1026"/>
    </row>
    <row r="75" spans="1:18" ht="12.75" x14ac:dyDescent="0.2">
      <c r="A75" s="510" t="s">
        <v>1154</v>
      </c>
      <c r="B75" s="698"/>
      <c r="C75" s="507"/>
      <c r="D75" s="507"/>
      <c r="E75" s="507"/>
      <c r="F75" s="506"/>
      <c r="G75" s="505"/>
      <c r="H75" s="505"/>
      <c r="I75" s="855"/>
      <c r="J75" s="1036"/>
      <c r="K75" s="1026"/>
      <c r="L75" s="1026"/>
      <c r="M75" s="1026"/>
      <c r="N75" s="1026"/>
      <c r="O75" s="1026"/>
      <c r="P75" s="1026"/>
      <c r="Q75" s="1026"/>
      <c r="R75" s="1026"/>
    </row>
    <row r="76" spans="1:18" ht="12.75" x14ac:dyDescent="0.2">
      <c r="A76" s="510" t="s">
        <v>1155</v>
      </c>
      <c r="B76" s="698"/>
      <c r="C76" s="507"/>
      <c r="D76" s="507"/>
      <c r="E76" s="507"/>
      <c r="F76" s="506"/>
      <c r="G76" s="505"/>
      <c r="H76" s="505"/>
      <c r="I76" s="855"/>
      <c r="J76" s="1036"/>
      <c r="K76" s="1026"/>
      <c r="L76" s="1026"/>
      <c r="M76" s="1026"/>
      <c r="N76" s="1026"/>
      <c r="O76" s="1026"/>
      <c r="P76" s="1026"/>
      <c r="Q76" s="1026"/>
      <c r="R76" s="1026"/>
    </row>
    <row r="77" spans="1:18" ht="12.75" x14ac:dyDescent="0.2">
      <c r="A77" s="510" t="s">
        <v>1156</v>
      </c>
      <c r="B77" s="507"/>
      <c r="C77" s="508">
        <v>12.33</v>
      </c>
      <c r="D77" s="507">
        <v>1632000</v>
      </c>
      <c r="E77" s="507">
        <f>C77*D77</f>
        <v>20122560</v>
      </c>
      <c r="F77" s="891" t="s">
        <v>1187</v>
      </c>
      <c r="G77" s="508">
        <v>14.29</v>
      </c>
      <c r="H77" s="507">
        <v>1900000</v>
      </c>
      <c r="I77" s="507">
        <f>G77*H77</f>
        <v>27151000</v>
      </c>
      <c r="J77" s="1049"/>
      <c r="K77" s="1026"/>
      <c r="L77" s="1026"/>
      <c r="M77" s="1026"/>
      <c r="N77" s="1026"/>
      <c r="O77" s="1026"/>
      <c r="P77" s="1026"/>
      <c r="Q77" s="1026"/>
      <c r="R77" s="1026"/>
    </row>
    <row r="78" spans="1:18" ht="12.75" x14ac:dyDescent="0.2">
      <c r="A78" s="510" t="s">
        <v>1157</v>
      </c>
      <c r="B78" s="629"/>
      <c r="C78" s="629"/>
      <c r="D78" s="629"/>
      <c r="E78" s="632">
        <v>7038795</v>
      </c>
      <c r="F78" s="1041"/>
      <c r="G78" s="634"/>
      <c r="H78" s="634"/>
      <c r="I78" s="506">
        <v>22570116</v>
      </c>
      <c r="J78" s="1050"/>
      <c r="K78" s="1026"/>
      <c r="L78" s="1026"/>
      <c r="M78" s="1026"/>
      <c r="N78" s="1026"/>
      <c r="O78" s="1026"/>
      <c r="P78" s="1026"/>
      <c r="Q78" s="1026"/>
      <c r="R78" s="1026"/>
    </row>
    <row r="79" spans="1:18" ht="24" x14ac:dyDescent="0.2">
      <c r="A79" s="626" t="s">
        <v>1158</v>
      </c>
      <c r="B79" s="507"/>
      <c r="C79" s="507"/>
      <c r="D79" s="507"/>
      <c r="E79" s="507"/>
      <c r="F79" s="737"/>
      <c r="G79" s="506">
        <v>136</v>
      </c>
      <c r="H79" s="506">
        <v>285</v>
      </c>
      <c r="I79" s="506">
        <f>G79*H79</f>
        <v>38760</v>
      </c>
      <c r="J79" s="1036"/>
      <c r="K79" s="1026"/>
      <c r="L79" s="1026"/>
      <c r="M79" s="1026"/>
      <c r="N79" s="1026"/>
      <c r="O79" s="1026"/>
      <c r="P79" s="1026"/>
      <c r="Q79" s="1026"/>
      <c r="R79" s="1026"/>
    </row>
    <row r="80" spans="1:18" ht="12.75" x14ac:dyDescent="0.2">
      <c r="A80" s="626" t="s">
        <v>1159</v>
      </c>
      <c r="B80" s="507"/>
      <c r="C80" s="507"/>
      <c r="D80" s="507"/>
      <c r="E80" s="1051"/>
      <c r="F80" s="737"/>
      <c r="G80" s="695"/>
      <c r="H80" s="506"/>
      <c r="I80" s="506"/>
      <c r="J80" s="1036"/>
      <c r="K80" s="1040"/>
      <c r="L80" s="1026"/>
      <c r="M80" s="1026"/>
      <c r="N80" s="1026"/>
      <c r="O80" s="1026"/>
      <c r="P80" s="1026"/>
      <c r="Q80" s="1026"/>
      <c r="R80" s="1026"/>
    </row>
    <row r="81" spans="1:257" ht="12.75" x14ac:dyDescent="0.2">
      <c r="A81" s="626" t="s">
        <v>1160</v>
      </c>
      <c r="B81" s="507"/>
      <c r="C81" s="507"/>
      <c r="D81" s="507"/>
      <c r="E81" s="1051"/>
      <c r="F81" s="737"/>
      <c r="G81" s="695"/>
      <c r="H81" s="506"/>
      <c r="I81" s="506"/>
      <c r="J81" s="1036"/>
      <c r="K81" s="1040"/>
      <c r="L81" s="1026"/>
      <c r="M81" s="1026"/>
      <c r="N81" s="1026"/>
      <c r="O81" s="1026"/>
      <c r="P81" s="1026"/>
      <c r="Q81" s="1026"/>
      <c r="R81" s="1026"/>
    </row>
    <row r="82" spans="1:257" ht="12.75" x14ac:dyDescent="0.2">
      <c r="A82" s="626" t="s">
        <v>996</v>
      </c>
      <c r="B82" s="507"/>
      <c r="C82" s="507"/>
      <c r="D82" s="507"/>
      <c r="E82" s="1051"/>
      <c r="F82" s="737"/>
      <c r="G82" s="695">
        <v>1.3</v>
      </c>
      <c r="H82" s="506">
        <v>4419000</v>
      </c>
      <c r="I82" s="506">
        <f>G82*H82</f>
        <v>5744700</v>
      </c>
      <c r="J82" s="1036"/>
      <c r="K82" s="1040"/>
      <c r="L82" s="1026"/>
      <c r="M82" s="1026"/>
      <c r="N82" s="1026"/>
      <c r="O82" s="1026"/>
      <c r="P82" s="1026"/>
      <c r="Q82" s="1026"/>
      <c r="R82" s="1026"/>
    </row>
    <row r="83" spans="1:257" ht="24" x14ac:dyDescent="0.2">
      <c r="A83" s="626" t="s">
        <v>1027</v>
      </c>
      <c r="B83" s="507"/>
      <c r="C83" s="507"/>
      <c r="D83" s="507"/>
      <c r="E83" s="1051"/>
      <c r="F83" s="737"/>
      <c r="G83" s="695">
        <v>2.5</v>
      </c>
      <c r="H83" s="506">
        <v>2993000</v>
      </c>
      <c r="I83" s="506">
        <f>G83*H83</f>
        <v>7482500</v>
      </c>
      <c r="J83" s="1036"/>
      <c r="K83" s="1040"/>
      <c r="L83" s="1026"/>
      <c r="M83" s="1026"/>
      <c r="N83" s="1026"/>
      <c r="O83" s="1026"/>
      <c r="P83" s="1026"/>
      <c r="Q83" s="1026"/>
      <c r="R83" s="1026"/>
    </row>
    <row r="84" spans="1:257" ht="24" x14ac:dyDescent="0.2">
      <c r="A84" s="626" t="s">
        <v>1161</v>
      </c>
      <c r="B84" s="629"/>
      <c r="C84" s="629"/>
      <c r="D84" s="629"/>
      <c r="E84" s="648"/>
      <c r="F84" s="1041"/>
      <c r="G84" s="1052"/>
      <c r="H84" s="506">
        <v>0</v>
      </c>
      <c r="I84" s="506">
        <v>10223000</v>
      </c>
      <c r="J84" s="1036"/>
      <c r="K84" s="1071">
        <f>SUM(I54:I84)</f>
        <v>187035356</v>
      </c>
      <c r="L84" s="6" t="s">
        <v>893</v>
      </c>
      <c r="M84" s="1026"/>
      <c r="N84" s="1026"/>
      <c r="O84" s="1026"/>
      <c r="P84" s="1026"/>
      <c r="Q84" s="1026"/>
      <c r="R84" s="1026"/>
    </row>
    <row r="85" spans="1:257" ht="12.75" x14ac:dyDescent="0.2">
      <c r="A85" s="640"/>
      <c r="B85" s="629"/>
      <c r="C85" s="629"/>
      <c r="D85" s="629"/>
      <c r="E85" s="648"/>
      <c r="F85" s="692"/>
      <c r="G85" s="1052"/>
      <c r="H85" s="586"/>
      <c r="I85" s="586"/>
      <c r="J85" s="1036"/>
      <c r="K85" s="1040"/>
      <c r="L85" s="1026"/>
      <c r="M85" s="1026"/>
      <c r="N85" s="1026"/>
      <c r="O85" s="1026"/>
      <c r="P85" s="1026"/>
      <c r="Q85" s="1026"/>
      <c r="R85" s="1026"/>
    </row>
    <row r="86" spans="1:257" ht="12.75" x14ac:dyDescent="0.2">
      <c r="A86" s="510" t="s">
        <v>859</v>
      </c>
      <c r="B86" s="507"/>
      <c r="C86" s="507"/>
      <c r="D86" s="507"/>
      <c r="E86" s="1051"/>
      <c r="F86" s="506"/>
      <c r="G86" s="505"/>
      <c r="H86" s="505"/>
      <c r="I86" s="506"/>
      <c r="J86" s="1036"/>
      <c r="K86" s="1026"/>
      <c r="L86" s="1026"/>
      <c r="M86" s="1026"/>
      <c r="N86" s="1026"/>
      <c r="O86" s="1026"/>
      <c r="P86" s="1026"/>
      <c r="Q86" s="1026"/>
      <c r="R86" s="1026"/>
    </row>
    <row r="87" spans="1:257" ht="12.75" x14ac:dyDescent="0.2">
      <c r="A87" s="510" t="s">
        <v>860</v>
      </c>
      <c r="B87" s="507"/>
      <c r="C87" s="507"/>
      <c r="D87" s="507"/>
      <c r="E87" s="1051"/>
      <c r="F87" s="506"/>
      <c r="G87" s="505"/>
      <c r="H87" s="505"/>
      <c r="I87" s="506"/>
      <c r="J87" s="1036"/>
      <c r="K87" s="1026"/>
      <c r="L87" s="1026"/>
      <c r="M87" s="1026"/>
      <c r="N87" s="1026"/>
      <c r="O87" s="1026"/>
      <c r="P87" s="1026"/>
      <c r="Q87" s="1026"/>
      <c r="R87" s="1026"/>
    </row>
    <row r="88" spans="1:257" ht="12.75" x14ac:dyDescent="0.2">
      <c r="A88" s="510" t="s">
        <v>861</v>
      </c>
      <c r="B88" s="507"/>
      <c r="C88" s="507">
        <v>4865</v>
      </c>
      <c r="D88" s="507">
        <v>1140</v>
      </c>
      <c r="E88" s="279"/>
      <c r="F88" s="506"/>
      <c r="G88" s="507">
        <v>4747</v>
      </c>
      <c r="H88" s="507">
        <v>1210</v>
      </c>
      <c r="I88" s="279">
        <f>G88*H88</f>
        <v>5743870</v>
      </c>
      <c r="J88" s="1036"/>
      <c r="K88" s="1026"/>
      <c r="L88" s="1026"/>
      <c r="M88" s="1026"/>
      <c r="N88" s="1026"/>
      <c r="O88" s="1026"/>
      <c r="P88" s="1026"/>
      <c r="Q88" s="1026"/>
      <c r="R88" s="1026"/>
    </row>
    <row r="89" spans="1:257" ht="48" x14ac:dyDescent="0.2">
      <c r="A89" s="626" t="s">
        <v>862</v>
      </c>
      <c r="B89" s="629"/>
      <c r="C89" s="629"/>
      <c r="D89" s="629"/>
      <c r="E89" s="649"/>
      <c r="F89" s="737" t="s">
        <v>999</v>
      </c>
      <c r="G89" s="507" t="s">
        <v>1188</v>
      </c>
      <c r="H89" s="629"/>
      <c r="I89" s="279">
        <v>0</v>
      </c>
      <c r="J89" s="1036"/>
      <c r="K89" s="1026"/>
      <c r="L89" s="1026"/>
      <c r="M89" s="1026"/>
      <c r="N89" s="1026"/>
      <c r="O89" s="1026"/>
      <c r="P89" s="1026"/>
      <c r="Q89" s="1026"/>
      <c r="R89" s="1026"/>
    </row>
    <row r="90" spans="1:257" ht="48" x14ac:dyDescent="0.2">
      <c r="A90" s="626" t="s">
        <v>1000</v>
      </c>
      <c r="B90" s="507"/>
      <c r="C90" s="507"/>
      <c r="D90" s="507"/>
      <c r="E90" s="279"/>
      <c r="F90" s="737" t="s">
        <v>1001</v>
      </c>
      <c r="G90" s="507"/>
      <c r="H90" s="507"/>
      <c r="I90" s="279">
        <v>0</v>
      </c>
      <c r="J90" s="1036"/>
      <c r="K90" s="1071">
        <f>I88+I89+I90</f>
        <v>5743870</v>
      </c>
      <c r="L90" s="6" t="s">
        <v>894</v>
      </c>
      <c r="M90" s="1026"/>
      <c r="N90" s="1026"/>
      <c r="O90" s="1026"/>
      <c r="P90" s="1026"/>
      <c r="Q90" s="1026"/>
      <c r="R90" s="1026"/>
    </row>
    <row r="91" spans="1:257" ht="12.75" x14ac:dyDescent="0.2">
      <c r="A91" s="1053"/>
      <c r="B91" s="645"/>
      <c r="C91" s="651"/>
      <c r="D91" s="629"/>
      <c r="E91" s="629"/>
      <c r="F91" s="700"/>
      <c r="G91" s="634"/>
      <c r="H91" s="634"/>
      <c r="I91" s="586"/>
      <c r="J91" s="1036"/>
      <c r="K91" s="1040"/>
      <c r="L91" s="1040"/>
      <c r="M91" s="1054"/>
      <c r="N91" s="1028"/>
      <c r="O91" s="1026"/>
      <c r="P91" s="1026"/>
      <c r="Q91" s="1026"/>
      <c r="R91" s="1026"/>
    </row>
    <row r="92" spans="1:257" ht="24" x14ac:dyDescent="0.2">
      <c r="A92" s="675" t="s">
        <v>1189</v>
      </c>
      <c r="B92" s="653"/>
      <c r="C92" s="1055"/>
      <c r="D92" s="654"/>
      <c r="E92" s="654"/>
      <c r="F92" s="705"/>
      <c r="G92" s="657"/>
      <c r="H92" s="657"/>
      <c r="I92" s="707">
        <v>0</v>
      </c>
      <c r="J92" s="1036"/>
      <c r="K92" s="635">
        <v>0</v>
      </c>
      <c r="L92" s="635" t="s">
        <v>895</v>
      </c>
      <c r="M92" s="1054"/>
      <c r="N92" s="1028"/>
      <c r="O92" s="1026"/>
      <c r="P92" s="1026"/>
      <c r="Q92" s="1026"/>
      <c r="R92" s="1026"/>
    </row>
    <row r="93" spans="1:257" ht="13.5" thickBot="1" x14ac:dyDescent="0.25">
      <c r="A93" s="1056"/>
      <c r="B93" s="653"/>
      <c r="C93" s="1055"/>
      <c r="D93" s="654"/>
      <c r="E93" s="654"/>
      <c r="F93" s="653"/>
      <c r="G93" s="657"/>
      <c r="H93" s="657"/>
      <c r="I93" s="656"/>
      <c r="J93" s="1036"/>
      <c r="K93" s="1040"/>
      <c r="L93" s="1040"/>
      <c r="M93" s="1026"/>
      <c r="N93" s="1028"/>
      <c r="O93" s="1026"/>
      <c r="P93" s="1026"/>
      <c r="Q93" s="1026"/>
      <c r="R93" s="1026"/>
    </row>
    <row r="94" spans="1:257" ht="12.75" thickBot="1" x14ac:dyDescent="0.25">
      <c r="A94" s="658" t="s">
        <v>864</v>
      </c>
      <c r="B94" s="1057"/>
      <c r="C94" s="1057"/>
      <c r="D94" s="1058"/>
      <c r="E94" s="1059" t="e">
        <f>E9+E11+E14+E17+E20+E25+E28+E31+E39+E40+#REF!+E41+E43+E46+E47+E49+E54+E55+E59+E60+E63+E64+E67+#REF!+E72+E73+E77+E78</f>
        <v>#REF!</v>
      </c>
      <c r="F94" s="1855">
        <f>I9+I13+I16+I19+I22+I25+I28+I31+I32+I51+I39+I40+I41+I42+I43+I44+I46+I69+I47+L70+I49+I50+I54+I55+I62+I63+I65+I66+I67+I72+I73+I77+I78+I79+I82+I83+I84+I88+I89+I90+I92+I74+I70</f>
        <v>882563602</v>
      </c>
      <c r="G94" s="1855"/>
      <c r="H94" s="1855"/>
      <c r="I94" s="1856"/>
      <c r="J94" s="1032"/>
      <c r="K94" s="1072">
        <f>K84+K51+K34+K90-K92</f>
        <v>882563602</v>
      </c>
      <c r="L94" s="708" t="s">
        <v>1162</v>
      </c>
      <c r="M94" s="1032"/>
      <c r="N94" s="1032"/>
      <c r="O94" s="1032"/>
      <c r="P94" s="1032"/>
      <c r="Q94" s="1032"/>
      <c r="R94" s="1032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09"/>
      <c r="B96" s="710"/>
      <c r="C96" s="710"/>
      <c r="D96" s="710"/>
      <c r="E96" s="711"/>
      <c r="F96" s="712"/>
      <c r="G96" s="712"/>
      <c r="H96" s="712"/>
      <c r="I96" s="712"/>
    </row>
    <row r="97" spans="1:1" ht="12.75" x14ac:dyDescent="0.2">
      <c r="A97" s="853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V96"/>
  <sheetViews>
    <sheetView workbookViewId="0">
      <selection activeCell="B1" sqref="B1:F1"/>
    </sheetView>
  </sheetViews>
  <sheetFormatPr defaultRowHeight="12.75" x14ac:dyDescent="0.2"/>
  <cols>
    <col min="1" max="1" width="5" style="4" bestFit="1" customWidth="1"/>
    <col min="2" max="2" width="11.140625" style="300" bestFit="1" customWidth="1"/>
    <col min="3" max="3" width="35.7109375" style="300" customWidth="1"/>
    <col min="4" max="4" width="17.42578125" style="300" customWidth="1"/>
    <col min="5" max="5" width="10" style="300" customWidth="1"/>
    <col min="6" max="6" width="9.140625" style="300" customWidth="1"/>
    <col min="7" max="16384" width="9.140625" style="300"/>
  </cols>
  <sheetData>
    <row r="1" spans="1:7" s="4" customFormat="1" x14ac:dyDescent="0.2">
      <c r="A1" s="1655"/>
      <c r="B1" s="2160" t="s">
        <v>2088</v>
      </c>
      <c r="C1" s="2160"/>
      <c r="D1" s="2160"/>
      <c r="E1" s="2160"/>
      <c r="F1" s="2160"/>
      <c r="G1" s="1655"/>
    </row>
    <row r="2" spans="1:7" s="4" customFormat="1" x14ac:dyDescent="0.2">
      <c r="A2" s="1885" t="s">
        <v>77</v>
      </c>
      <c r="B2" s="1885"/>
      <c r="C2" s="1885"/>
      <c r="D2" s="1885"/>
      <c r="E2" s="1885"/>
      <c r="F2" s="1885"/>
    </row>
    <row r="3" spans="1:7" s="4" customFormat="1" x14ac:dyDescent="0.2">
      <c r="A3" s="1885" t="s">
        <v>1362</v>
      </c>
      <c r="B3" s="1885"/>
      <c r="C3" s="1885"/>
      <c r="D3" s="1885"/>
      <c r="E3" s="1885"/>
      <c r="F3" s="1885"/>
    </row>
    <row r="4" spans="1:7" s="4" customFormat="1" x14ac:dyDescent="0.2">
      <c r="A4" s="1885" t="s">
        <v>1720</v>
      </c>
      <c r="B4" s="1885"/>
      <c r="C4" s="1885"/>
      <c r="D4" s="1885"/>
      <c r="E4" s="1885"/>
      <c r="F4" s="1885"/>
    </row>
    <row r="5" spans="1:7" s="4" customFormat="1" x14ac:dyDescent="0.2">
      <c r="A5" s="1885" t="s">
        <v>1401</v>
      </c>
      <c r="B5" s="1885"/>
      <c r="C5" s="1885"/>
      <c r="D5" s="1885"/>
      <c r="E5" s="1885"/>
      <c r="F5" s="1885"/>
    </row>
    <row r="6" spans="1:7" s="4" customFormat="1" x14ac:dyDescent="0.2">
      <c r="A6" s="1885" t="s">
        <v>1721</v>
      </c>
      <c r="B6" s="1885"/>
      <c r="C6" s="1885"/>
      <c r="D6" s="1885"/>
      <c r="E6" s="1885"/>
      <c r="F6" s="1885"/>
    </row>
    <row r="7" spans="1:7" s="4" customFormat="1" ht="15.75" customHeight="1" x14ac:dyDescent="0.2">
      <c r="A7" s="2161" t="s">
        <v>468</v>
      </c>
      <c r="B7" s="1435" t="s">
        <v>57</v>
      </c>
      <c r="C7" s="1435" t="s">
        <v>58</v>
      </c>
      <c r="D7" s="1435" t="s">
        <v>59</v>
      </c>
      <c r="E7" s="1435" t="s">
        <v>60</v>
      </c>
      <c r="F7" s="1435" t="s">
        <v>469</v>
      </c>
    </row>
    <row r="8" spans="1:7" s="1684" customFormat="1" ht="25.5" x14ac:dyDescent="0.2">
      <c r="A8" s="2162"/>
      <c r="B8" s="1511" t="s">
        <v>1722</v>
      </c>
      <c r="C8" s="1510" t="s">
        <v>85</v>
      </c>
      <c r="D8" s="1510" t="s">
        <v>1723</v>
      </c>
      <c r="E8" s="1511" t="s">
        <v>1724</v>
      </c>
      <c r="F8" s="1511" t="s">
        <v>1725</v>
      </c>
    </row>
    <row r="9" spans="1:7" s="1684" customFormat="1" x14ac:dyDescent="0.2">
      <c r="A9" s="1692" t="s">
        <v>478</v>
      </c>
      <c r="B9" s="2163" t="s">
        <v>1476</v>
      </c>
      <c r="C9" s="2163"/>
      <c r="D9" s="1693"/>
      <c r="E9" s="1674"/>
      <c r="F9" s="1674"/>
    </row>
    <row r="10" spans="1:7" s="1684" customFormat="1" x14ac:dyDescent="0.2">
      <c r="A10" s="1692" t="s">
        <v>486</v>
      </c>
      <c r="B10" s="2164" t="s">
        <v>1726</v>
      </c>
      <c r="C10" s="2164"/>
      <c r="D10" s="1694"/>
      <c r="E10" s="1694"/>
      <c r="F10" s="1694"/>
    </row>
    <row r="11" spans="1:7" s="4" customFormat="1" x14ac:dyDescent="0.2">
      <c r="A11" s="1692" t="s">
        <v>487</v>
      </c>
      <c r="B11" s="1691" t="s">
        <v>1727</v>
      </c>
      <c r="C11" s="4" t="s">
        <v>1728</v>
      </c>
      <c r="D11" s="4" t="s">
        <v>1729</v>
      </c>
      <c r="E11" s="257">
        <v>81</v>
      </c>
      <c r="F11" s="257">
        <f>E11</f>
        <v>81</v>
      </c>
    </row>
    <row r="12" spans="1:7" s="4" customFormat="1" x14ac:dyDescent="0.2">
      <c r="A12" s="1692" t="s">
        <v>488</v>
      </c>
      <c r="B12" s="1691" t="s">
        <v>1730</v>
      </c>
      <c r="C12" s="4" t="s">
        <v>1728</v>
      </c>
      <c r="D12" s="4" t="s">
        <v>1729</v>
      </c>
      <c r="E12" s="257">
        <v>3</v>
      </c>
      <c r="F12" s="257">
        <f>E12</f>
        <v>3</v>
      </c>
    </row>
    <row r="13" spans="1:7" s="4" customFormat="1" x14ac:dyDescent="0.2">
      <c r="A13" s="1692" t="s">
        <v>489</v>
      </c>
      <c r="B13" s="1691" t="s">
        <v>1731</v>
      </c>
      <c r="C13" s="4" t="s">
        <v>1728</v>
      </c>
      <c r="D13" s="4" t="s">
        <v>1729</v>
      </c>
      <c r="E13" s="257">
        <v>7</v>
      </c>
      <c r="F13" s="257">
        <f>E13</f>
        <v>7</v>
      </c>
    </row>
    <row r="14" spans="1:7" s="4" customFormat="1" x14ac:dyDescent="0.2">
      <c r="A14" s="1692" t="s">
        <v>490</v>
      </c>
      <c r="B14" s="1691" t="s">
        <v>1732</v>
      </c>
      <c r="C14" s="4" t="s">
        <v>1728</v>
      </c>
      <c r="D14" s="4" t="s">
        <v>1729</v>
      </c>
      <c r="E14" s="257">
        <v>33</v>
      </c>
      <c r="F14" s="257">
        <v>33</v>
      </c>
    </row>
    <row r="15" spans="1:7" s="4" customFormat="1" x14ac:dyDescent="0.2">
      <c r="A15" s="1692" t="s">
        <v>491</v>
      </c>
      <c r="B15" s="1691" t="s">
        <v>1733</v>
      </c>
      <c r="C15" s="4" t="s">
        <v>1728</v>
      </c>
      <c r="D15" s="4" t="s">
        <v>1729</v>
      </c>
      <c r="E15" s="257">
        <v>13500</v>
      </c>
      <c r="F15" s="257">
        <v>13500</v>
      </c>
    </row>
    <row r="16" spans="1:7" s="4" customFormat="1" x14ac:dyDescent="0.2">
      <c r="A16" s="1692" t="s">
        <v>492</v>
      </c>
      <c r="B16" s="1691" t="s">
        <v>1734</v>
      </c>
      <c r="C16" s="4" t="s">
        <v>1728</v>
      </c>
      <c r="D16" s="4" t="s">
        <v>1729</v>
      </c>
      <c r="E16" s="257">
        <v>31</v>
      </c>
      <c r="F16" s="257">
        <v>31</v>
      </c>
    </row>
    <row r="17" spans="1:256" ht="13.5" x14ac:dyDescent="0.25">
      <c r="A17" s="1692" t="s">
        <v>493</v>
      </c>
      <c r="B17" s="1695" t="s">
        <v>1735</v>
      </c>
      <c r="C17" s="4" t="s">
        <v>1728</v>
      </c>
      <c r="D17" s="4" t="s">
        <v>1729</v>
      </c>
      <c r="E17" s="1430">
        <v>16726</v>
      </c>
      <c r="F17" s="257">
        <v>16726</v>
      </c>
      <c r="G17" s="1683"/>
      <c r="H17" s="1683"/>
      <c r="I17" s="1683"/>
      <c r="J17" s="1683"/>
      <c r="K17" s="1683"/>
      <c r="L17" s="1683"/>
      <c r="M17" s="1683"/>
      <c r="N17" s="1683"/>
      <c r="O17" s="1683"/>
      <c r="P17" s="1683"/>
      <c r="Q17" s="1683"/>
      <c r="R17" s="1683"/>
      <c r="S17" s="1683"/>
      <c r="T17" s="1683"/>
      <c r="U17" s="1683"/>
      <c r="V17" s="1683"/>
      <c r="W17" s="1683"/>
      <c r="X17" s="1683"/>
      <c r="Y17" s="1683"/>
      <c r="Z17" s="1683"/>
      <c r="AA17" s="1683"/>
      <c r="AB17" s="1683"/>
      <c r="AC17" s="1683"/>
      <c r="AD17" s="1683"/>
      <c r="AE17" s="1683"/>
      <c r="AF17" s="1683"/>
      <c r="AG17" s="1683"/>
      <c r="AH17" s="1683"/>
      <c r="AI17" s="1683"/>
      <c r="AJ17" s="1683"/>
      <c r="AK17" s="1683"/>
      <c r="AL17" s="1683"/>
      <c r="AM17" s="1683"/>
      <c r="AN17" s="1683"/>
      <c r="AO17" s="1683"/>
      <c r="AP17" s="1683"/>
      <c r="AQ17" s="1683"/>
      <c r="AR17" s="1683"/>
      <c r="AS17" s="1683"/>
      <c r="AT17" s="1683"/>
      <c r="AU17" s="1683"/>
      <c r="AV17" s="1683"/>
      <c r="AW17" s="1683"/>
      <c r="AX17" s="1683"/>
      <c r="AY17" s="1683"/>
      <c r="AZ17" s="1683"/>
      <c r="BA17" s="1683"/>
      <c r="BB17" s="1683"/>
      <c r="BC17" s="1683"/>
      <c r="BD17" s="1683"/>
      <c r="BE17" s="1683"/>
      <c r="BF17" s="1683"/>
      <c r="BG17" s="1683"/>
      <c r="BH17" s="1683"/>
      <c r="BI17" s="1683"/>
      <c r="BJ17" s="1683"/>
      <c r="BK17" s="1683"/>
      <c r="BL17" s="1683"/>
      <c r="BM17" s="1683"/>
      <c r="BN17" s="1683"/>
      <c r="BO17" s="1683"/>
      <c r="BP17" s="1683"/>
      <c r="BQ17" s="1683"/>
      <c r="BR17" s="1683"/>
      <c r="BS17" s="1683"/>
      <c r="BT17" s="1683"/>
      <c r="BU17" s="1683"/>
      <c r="BV17" s="1683"/>
      <c r="BW17" s="1683"/>
      <c r="BX17" s="1683"/>
      <c r="BY17" s="1683"/>
      <c r="BZ17" s="1683"/>
      <c r="CA17" s="1683"/>
      <c r="CB17" s="1683"/>
      <c r="CC17" s="1683"/>
      <c r="CD17" s="1683"/>
      <c r="CE17" s="1683"/>
      <c r="CF17" s="1683"/>
      <c r="CG17" s="1683"/>
      <c r="CH17" s="1683"/>
      <c r="CI17" s="1683"/>
      <c r="CJ17" s="1683"/>
      <c r="CK17" s="1683"/>
      <c r="CL17" s="1683"/>
      <c r="CM17" s="1683"/>
      <c r="CN17" s="1683"/>
      <c r="CO17" s="1683"/>
      <c r="CP17" s="1683"/>
      <c r="CQ17" s="1683"/>
      <c r="CR17" s="1683"/>
      <c r="CS17" s="1683"/>
      <c r="CT17" s="1683"/>
      <c r="CU17" s="1683"/>
      <c r="CV17" s="1683"/>
      <c r="CW17" s="1683"/>
      <c r="CX17" s="1683"/>
      <c r="CY17" s="1683"/>
      <c r="CZ17" s="1683"/>
      <c r="DA17" s="1683"/>
      <c r="DB17" s="1683"/>
      <c r="DC17" s="1683"/>
      <c r="DD17" s="1683"/>
      <c r="DE17" s="1683"/>
      <c r="DF17" s="1683"/>
      <c r="DG17" s="1683"/>
      <c r="DH17" s="1683"/>
      <c r="DI17" s="1683"/>
      <c r="DJ17" s="1683"/>
      <c r="DK17" s="1683"/>
      <c r="DL17" s="1683"/>
      <c r="DM17" s="1683"/>
      <c r="DN17" s="1683"/>
      <c r="DO17" s="1683"/>
      <c r="DP17" s="1683"/>
      <c r="DQ17" s="1683"/>
      <c r="DR17" s="1683"/>
      <c r="DS17" s="1683"/>
      <c r="DT17" s="1683"/>
      <c r="DU17" s="1683"/>
      <c r="DV17" s="1683"/>
      <c r="DW17" s="1683"/>
      <c r="DX17" s="1683"/>
      <c r="DY17" s="1683"/>
      <c r="DZ17" s="1683"/>
      <c r="EA17" s="1683"/>
      <c r="EB17" s="1683"/>
      <c r="EC17" s="1683"/>
      <c r="ED17" s="1683"/>
      <c r="EE17" s="1683"/>
      <c r="EF17" s="1683"/>
      <c r="EG17" s="1683"/>
      <c r="EH17" s="1683"/>
      <c r="EI17" s="1683"/>
      <c r="EJ17" s="1683"/>
      <c r="EK17" s="1683"/>
      <c r="EL17" s="1683"/>
      <c r="EM17" s="1683"/>
      <c r="EN17" s="1683"/>
      <c r="EO17" s="1683"/>
      <c r="EP17" s="1683"/>
      <c r="EQ17" s="1683"/>
      <c r="ER17" s="1683"/>
      <c r="ES17" s="1683"/>
      <c r="ET17" s="1683"/>
      <c r="EU17" s="1683"/>
      <c r="EV17" s="1683"/>
      <c r="EW17" s="1683"/>
      <c r="EX17" s="1683"/>
      <c r="EY17" s="1683"/>
      <c r="EZ17" s="1683"/>
      <c r="FA17" s="1683"/>
      <c r="FB17" s="1683"/>
      <c r="FC17" s="1683"/>
      <c r="FD17" s="1683"/>
      <c r="FE17" s="1683"/>
      <c r="FF17" s="1683"/>
      <c r="FG17" s="1683"/>
      <c r="FH17" s="1683"/>
      <c r="FI17" s="1683"/>
      <c r="FJ17" s="1683"/>
      <c r="FK17" s="1683"/>
      <c r="FL17" s="1683"/>
      <c r="FM17" s="1683"/>
      <c r="FN17" s="1683"/>
      <c r="FO17" s="1683"/>
      <c r="FP17" s="1683"/>
      <c r="FQ17" s="1683"/>
      <c r="FR17" s="1683"/>
      <c r="FS17" s="1683"/>
      <c r="FT17" s="1683"/>
      <c r="FU17" s="1683"/>
      <c r="FV17" s="1683"/>
      <c r="FW17" s="1683"/>
      <c r="FX17" s="1683"/>
      <c r="FY17" s="1683"/>
      <c r="FZ17" s="1683"/>
      <c r="GA17" s="1683"/>
      <c r="GB17" s="1683"/>
      <c r="GC17" s="1683"/>
      <c r="GD17" s="1683"/>
      <c r="GE17" s="1683"/>
      <c r="GF17" s="1683"/>
      <c r="GG17" s="1683"/>
      <c r="GH17" s="1683"/>
      <c r="GI17" s="1683"/>
      <c r="GJ17" s="1683"/>
      <c r="GK17" s="1683"/>
      <c r="GL17" s="1683"/>
      <c r="GM17" s="1683"/>
      <c r="GN17" s="1683"/>
      <c r="GO17" s="1683"/>
      <c r="GP17" s="1683"/>
      <c r="GQ17" s="1683"/>
      <c r="GR17" s="1683"/>
      <c r="GS17" s="1683"/>
      <c r="GT17" s="1683"/>
      <c r="GU17" s="1683"/>
      <c r="GV17" s="1683"/>
      <c r="GW17" s="1683"/>
      <c r="GX17" s="1683"/>
      <c r="GY17" s="1683"/>
      <c r="GZ17" s="1683"/>
      <c r="HA17" s="1683"/>
      <c r="HB17" s="1683"/>
      <c r="HC17" s="1683"/>
      <c r="HD17" s="1683"/>
      <c r="HE17" s="1683"/>
      <c r="HF17" s="1683"/>
      <c r="HG17" s="1683"/>
      <c r="HH17" s="1683"/>
      <c r="HI17" s="1683"/>
      <c r="HJ17" s="1683"/>
      <c r="HK17" s="1683"/>
      <c r="HL17" s="1683"/>
      <c r="HM17" s="1683"/>
      <c r="HN17" s="1683"/>
      <c r="HO17" s="1683"/>
      <c r="HP17" s="1683"/>
      <c r="HQ17" s="1683"/>
      <c r="HR17" s="1683"/>
      <c r="HS17" s="1683"/>
      <c r="HT17" s="1683"/>
      <c r="HU17" s="1683"/>
      <c r="HV17" s="1683"/>
      <c r="HW17" s="1683"/>
      <c r="HX17" s="1683"/>
      <c r="HY17" s="1683"/>
      <c r="HZ17" s="1683"/>
      <c r="IA17" s="1683"/>
      <c r="IB17" s="1683"/>
      <c r="IC17" s="1683"/>
      <c r="ID17" s="1683"/>
      <c r="IE17" s="1683"/>
      <c r="IF17" s="1683"/>
      <c r="IG17" s="1683"/>
      <c r="IH17" s="1683"/>
      <c r="II17" s="1683"/>
      <c r="IJ17" s="1683"/>
      <c r="IK17" s="1683"/>
      <c r="IL17" s="1683"/>
      <c r="IM17" s="1683"/>
      <c r="IN17" s="1683"/>
      <c r="IO17" s="1683"/>
      <c r="IP17" s="1683"/>
      <c r="IQ17" s="1683"/>
      <c r="IR17" s="1683"/>
      <c r="IS17" s="1683"/>
      <c r="IT17" s="1683"/>
      <c r="IU17" s="1683"/>
      <c r="IV17" s="1683"/>
    </row>
    <row r="18" spans="1:256" s="4" customFormat="1" x14ac:dyDescent="0.2">
      <c r="A18" s="1692" t="s">
        <v>529</v>
      </c>
      <c r="B18" s="1691" t="s">
        <v>1736</v>
      </c>
      <c r="C18" s="4" t="s">
        <v>1728</v>
      </c>
      <c r="D18" s="4" t="s">
        <v>1729</v>
      </c>
      <c r="E18" s="257">
        <v>45092</v>
      </c>
      <c r="F18" s="257">
        <v>45092</v>
      </c>
    </row>
    <row r="19" spans="1:256" s="4" customFormat="1" x14ac:dyDescent="0.2">
      <c r="A19" s="1692" t="s">
        <v>530</v>
      </c>
      <c r="B19" s="1691" t="s">
        <v>1737</v>
      </c>
      <c r="C19" s="4" t="s">
        <v>1728</v>
      </c>
      <c r="D19" s="4" t="s">
        <v>1729</v>
      </c>
      <c r="E19" s="257">
        <v>13</v>
      </c>
      <c r="F19" s="257">
        <f>E19</f>
        <v>13</v>
      </c>
    </row>
    <row r="20" spans="1:256" s="4" customFormat="1" x14ac:dyDescent="0.2">
      <c r="A20" s="1692" t="s">
        <v>531</v>
      </c>
      <c r="B20" s="1695" t="s">
        <v>1738</v>
      </c>
      <c r="C20" s="4" t="s">
        <v>1728</v>
      </c>
      <c r="D20" s="4" t="s">
        <v>1729</v>
      </c>
      <c r="E20" s="257">
        <v>17</v>
      </c>
      <c r="F20" s="257">
        <f>E20</f>
        <v>17</v>
      </c>
    </row>
    <row r="21" spans="1:256" s="4" customFormat="1" x14ac:dyDescent="0.2">
      <c r="A21" s="1692" t="s">
        <v>532</v>
      </c>
      <c r="B21" s="1695" t="s">
        <v>1739</v>
      </c>
      <c r="C21" s="4" t="s">
        <v>1728</v>
      </c>
      <c r="D21" s="4" t="s">
        <v>1729</v>
      </c>
      <c r="E21" s="257">
        <v>41</v>
      </c>
      <c r="F21" s="257">
        <f>E21</f>
        <v>41</v>
      </c>
    </row>
    <row r="22" spans="1:256" s="4" customFormat="1" x14ac:dyDescent="0.2">
      <c r="A22" s="1692" t="s">
        <v>533</v>
      </c>
      <c r="B22" s="1695" t="s">
        <v>1740</v>
      </c>
      <c r="C22" s="4" t="s">
        <v>1741</v>
      </c>
      <c r="D22" s="4" t="s">
        <v>1729</v>
      </c>
      <c r="E22" s="257">
        <v>20</v>
      </c>
      <c r="F22" s="257">
        <v>20</v>
      </c>
    </row>
    <row r="23" spans="1:256" s="4" customFormat="1" x14ac:dyDescent="0.2">
      <c r="A23" s="1692" t="s">
        <v>534</v>
      </c>
      <c r="B23" s="1691" t="s">
        <v>1742</v>
      </c>
      <c r="C23" s="4" t="s">
        <v>1728</v>
      </c>
      <c r="D23" s="4" t="s">
        <v>1729</v>
      </c>
      <c r="E23" s="257">
        <v>22</v>
      </c>
      <c r="F23" s="257">
        <f>E23</f>
        <v>22</v>
      </c>
    </row>
    <row r="24" spans="1:256" s="4" customFormat="1" x14ac:dyDescent="0.2">
      <c r="A24" s="1692" t="s">
        <v>535</v>
      </c>
      <c r="B24" s="1695" t="s">
        <v>1743</v>
      </c>
      <c r="C24" s="4" t="s">
        <v>1741</v>
      </c>
      <c r="D24" s="4" t="s">
        <v>1744</v>
      </c>
      <c r="E24" s="257">
        <v>191</v>
      </c>
      <c r="F24" s="257">
        <f>E24</f>
        <v>191</v>
      </c>
    </row>
    <row r="25" spans="1:256" s="4" customFormat="1" x14ac:dyDescent="0.2">
      <c r="A25" s="1692" t="s">
        <v>536</v>
      </c>
      <c r="B25" s="1695" t="s">
        <v>1745</v>
      </c>
      <c r="C25" s="4" t="s">
        <v>1746</v>
      </c>
      <c r="D25" s="4" t="s">
        <v>1729</v>
      </c>
      <c r="E25" s="257">
        <v>1200</v>
      </c>
      <c r="F25" s="257">
        <f>E25</f>
        <v>1200</v>
      </c>
    </row>
    <row r="26" spans="1:256" s="4" customFormat="1" x14ac:dyDescent="0.2">
      <c r="A26" s="1692" t="s">
        <v>538</v>
      </c>
      <c r="B26" s="1695" t="s">
        <v>1747</v>
      </c>
      <c r="C26" s="4" t="s">
        <v>1728</v>
      </c>
      <c r="D26" s="4" t="s">
        <v>1729</v>
      </c>
      <c r="E26" s="257">
        <v>43</v>
      </c>
      <c r="F26" s="257">
        <f>E26</f>
        <v>43</v>
      </c>
    </row>
    <row r="27" spans="1:256" s="4" customFormat="1" x14ac:dyDescent="0.2">
      <c r="A27" s="1692" t="s">
        <v>539</v>
      </c>
      <c r="B27" s="1695" t="s">
        <v>1748</v>
      </c>
      <c r="C27" s="4" t="s">
        <v>1728</v>
      </c>
      <c r="D27" s="4" t="s">
        <v>1729</v>
      </c>
      <c r="E27" s="257">
        <v>13</v>
      </c>
      <c r="F27" s="257">
        <v>13</v>
      </c>
    </row>
    <row r="28" spans="1:256" s="4" customFormat="1" x14ac:dyDescent="0.2">
      <c r="A28" s="1692" t="s">
        <v>540</v>
      </c>
      <c r="B28" s="1695" t="s">
        <v>1749</v>
      </c>
      <c r="C28" s="4" t="s">
        <v>1750</v>
      </c>
      <c r="D28" s="4" t="s">
        <v>1751</v>
      </c>
      <c r="E28" s="257">
        <v>1339</v>
      </c>
      <c r="F28" s="257">
        <f>E28</f>
        <v>1339</v>
      </c>
    </row>
    <row r="29" spans="1:256" s="4" customFormat="1" x14ac:dyDescent="0.2">
      <c r="A29" s="1692" t="s">
        <v>541</v>
      </c>
      <c r="B29" s="1695" t="s">
        <v>1752</v>
      </c>
      <c r="C29" s="4" t="s">
        <v>1753</v>
      </c>
      <c r="D29" s="4" t="s">
        <v>1754</v>
      </c>
      <c r="E29" s="257">
        <v>7668</v>
      </c>
      <c r="F29" s="257">
        <v>6885</v>
      </c>
    </row>
    <row r="30" spans="1:256" s="4" customFormat="1" x14ac:dyDescent="0.2">
      <c r="A30" s="1692" t="s">
        <v>542</v>
      </c>
      <c r="B30" s="1695" t="s">
        <v>1755</v>
      </c>
      <c r="C30" s="4" t="s">
        <v>1756</v>
      </c>
      <c r="D30" s="4" t="s">
        <v>1757</v>
      </c>
      <c r="E30" s="257">
        <v>4217</v>
      </c>
      <c r="F30" s="257">
        <v>3070</v>
      </c>
    </row>
    <row r="31" spans="1:256" s="4" customFormat="1" x14ac:dyDescent="0.2">
      <c r="A31" s="1692" t="s">
        <v>543</v>
      </c>
      <c r="B31" s="1695" t="s">
        <v>1758</v>
      </c>
      <c r="C31" s="4" t="s">
        <v>1759</v>
      </c>
      <c r="D31" s="4" t="s">
        <v>1757</v>
      </c>
      <c r="E31" s="257">
        <v>3220</v>
      </c>
      <c r="F31" s="257">
        <v>2345</v>
      </c>
    </row>
    <row r="32" spans="1:256" s="4" customFormat="1" x14ac:dyDescent="0.2">
      <c r="A32" s="1692" t="s">
        <v>544</v>
      </c>
      <c r="B32" s="1695" t="s">
        <v>1760</v>
      </c>
      <c r="C32" s="4" t="s">
        <v>1759</v>
      </c>
      <c r="D32" s="4" t="s">
        <v>1757</v>
      </c>
      <c r="E32" s="257">
        <v>9623</v>
      </c>
      <c r="F32" s="257">
        <v>7014</v>
      </c>
    </row>
    <row r="33" spans="1:256" x14ac:dyDescent="0.2">
      <c r="A33" s="1692" t="s">
        <v>545</v>
      </c>
      <c r="B33" s="1695" t="s">
        <v>1761</v>
      </c>
      <c r="C33" s="4" t="s">
        <v>1762</v>
      </c>
      <c r="D33" s="4" t="s">
        <v>1763</v>
      </c>
      <c r="E33" s="257">
        <v>67692</v>
      </c>
      <c r="F33" s="257">
        <v>65394</v>
      </c>
      <c r="G33" s="4"/>
      <c r="H33" s="4"/>
      <c r="I33" s="4"/>
      <c r="J33" s="140"/>
      <c r="K33" s="4"/>
      <c r="L33" s="14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 spans="1:256" s="4" customFormat="1" x14ac:dyDescent="0.2">
      <c r="A34" s="1692" t="s">
        <v>563</v>
      </c>
      <c r="B34" s="1695" t="s">
        <v>1764</v>
      </c>
      <c r="C34" s="4" t="s">
        <v>1765</v>
      </c>
      <c r="D34" s="4" t="s">
        <v>1766</v>
      </c>
      <c r="E34" s="257">
        <v>1663</v>
      </c>
      <c r="F34" s="257">
        <f t="shared" ref="F34:F52" si="0">E34</f>
        <v>1663</v>
      </c>
    </row>
    <row r="35" spans="1:256" s="4" customFormat="1" x14ac:dyDescent="0.2">
      <c r="A35" s="1692" t="s">
        <v>564</v>
      </c>
      <c r="B35" s="1695" t="s">
        <v>1767</v>
      </c>
      <c r="C35" s="4" t="s">
        <v>1765</v>
      </c>
      <c r="D35" s="4" t="s">
        <v>1768</v>
      </c>
      <c r="E35" s="257">
        <v>14882</v>
      </c>
      <c r="F35" s="257">
        <f t="shared" si="0"/>
        <v>14882</v>
      </c>
    </row>
    <row r="36" spans="1:256" s="4" customFormat="1" x14ac:dyDescent="0.2">
      <c r="A36" s="1692" t="s">
        <v>565</v>
      </c>
      <c r="B36" s="1695" t="s">
        <v>1769</v>
      </c>
      <c r="C36" s="4" t="s">
        <v>1765</v>
      </c>
      <c r="D36" s="4" t="s">
        <v>1770</v>
      </c>
      <c r="E36" s="257">
        <v>583</v>
      </c>
      <c r="F36" s="257">
        <f t="shared" si="0"/>
        <v>583</v>
      </c>
    </row>
    <row r="37" spans="1:256" s="4" customFormat="1" x14ac:dyDescent="0.2">
      <c r="A37" s="1692" t="s">
        <v>566</v>
      </c>
      <c r="B37" s="1695" t="s">
        <v>1771</v>
      </c>
      <c r="C37" s="4" t="s">
        <v>1765</v>
      </c>
      <c r="D37" s="4" t="s">
        <v>1770</v>
      </c>
      <c r="E37" s="257">
        <v>583</v>
      </c>
      <c r="F37" s="257">
        <f t="shared" si="0"/>
        <v>583</v>
      </c>
    </row>
    <row r="38" spans="1:256" s="4" customFormat="1" x14ac:dyDescent="0.2">
      <c r="A38" s="1692" t="s">
        <v>567</v>
      </c>
      <c r="B38" s="1695" t="s">
        <v>1772</v>
      </c>
      <c r="C38" s="4" t="s">
        <v>1765</v>
      </c>
      <c r="D38" s="4" t="s">
        <v>1773</v>
      </c>
      <c r="E38" s="257">
        <v>657</v>
      </c>
      <c r="F38" s="257">
        <f t="shared" si="0"/>
        <v>657</v>
      </c>
    </row>
    <row r="39" spans="1:256" s="4" customFormat="1" x14ac:dyDescent="0.2">
      <c r="A39" s="1692" t="s">
        <v>568</v>
      </c>
      <c r="B39" s="1695" t="s">
        <v>1774</v>
      </c>
      <c r="C39" s="4" t="s">
        <v>1775</v>
      </c>
      <c r="D39" s="4" t="s">
        <v>1776</v>
      </c>
      <c r="E39" s="257">
        <v>151</v>
      </c>
      <c r="F39" s="257">
        <f t="shared" si="0"/>
        <v>151</v>
      </c>
    </row>
    <row r="40" spans="1:256" s="4" customFormat="1" x14ac:dyDescent="0.2">
      <c r="A40" s="1692" t="s">
        <v>569</v>
      </c>
      <c r="B40" s="1695" t="s">
        <v>1777</v>
      </c>
      <c r="C40" s="4" t="s">
        <v>1765</v>
      </c>
      <c r="D40" s="4" t="s">
        <v>1773</v>
      </c>
      <c r="E40" s="257">
        <v>632</v>
      </c>
      <c r="F40" s="257">
        <f t="shared" si="0"/>
        <v>632</v>
      </c>
    </row>
    <row r="41" spans="1:256" s="4" customFormat="1" x14ac:dyDescent="0.2">
      <c r="A41" s="1692" t="s">
        <v>570</v>
      </c>
      <c r="B41" s="1695" t="s">
        <v>1778</v>
      </c>
      <c r="C41" s="4" t="s">
        <v>1765</v>
      </c>
      <c r="D41" s="4" t="s">
        <v>1773</v>
      </c>
      <c r="E41" s="257">
        <v>632</v>
      </c>
      <c r="F41" s="257">
        <f t="shared" si="0"/>
        <v>632</v>
      </c>
    </row>
    <row r="42" spans="1:256" s="4" customFormat="1" x14ac:dyDescent="0.2">
      <c r="A42" s="1692" t="s">
        <v>571</v>
      </c>
      <c r="B42" s="1695" t="s">
        <v>1779</v>
      </c>
      <c r="C42" s="4" t="s">
        <v>1765</v>
      </c>
      <c r="D42" s="4" t="s">
        <v>1773</v>
      </c>
      <c r="E42" s="257">
        <v>657</v>
      </c>
      <c r="F42" s="257">
        <f t="shared" si="0"/>
        <v>657</v>
      </c>
    </row>
    <row r="43" spans="1:256" s="4" customFormat="1" x14ac:dyDescent="0.2">
      <c r="A43" s="1692" t="s">
        <v>622</v>
      </c>
      <c r="B43" s="1695" t="s">
        <v>1780</v>
      </c>
      <c r="C43" s="4" t="s">
        <v>1765</v>
      </c>
      <c r="D43" s="4" t="s">
        <v>1773</v>
      </c>
      <c r="E43" s="257">
        <v>632</v>
      </c>
      <c r="F43" s="257">
        <f t="shared" si="0"/>
        <v>632</v>
      </c>
    </row>
    <row r="44" spans="1:256" s="4" customFormat="1" x14ac:dyDescent="0.2">
      <c r="A44" s="1692" t="s">
        <v>623</v>
      </c>
      <c r="B44" s="1695" t="s">
        <v>1781</v>
      </c>
      <c r="C44" s="4" t="s">
        <v>1765</v>
      </c>
      <c r="D44" s="4" t="s">
        <v>1773</v>
      </c>
      <c r="E44" s="257">
        <v>632</v>
      </c>
      <c r="F44" s="257">
        <f t="shared" si="0"/>
        <v>632</v>
      </c>
    </row>
    <row r="45" spans="1:256" s="4" customFormat="1" x14ac:dyDescent="0.2">
      <c r="A45" s="1692" t="s">
        <v>624</v>
      </c>
      <c r="B45" s="1695" t="s">
        <v>1782</v>
      </c>
      <c r="C45" s="4" t="s">
        <v>1765</v>
      </c>
      <c r="D45" s="4" t="s">
        <v>1729</v>
      </c>
      <c r="E45" s="257">
        <v>10000</v>
      </c>
      <c r="F45" s="257">
        <f t="shared" si="0"/>
        <v>10000</v>
      </c>
    </row>
    <row r="46" spans="1:256" s="4" customFormat="1" x14ac:dyDescent="0.2">
      <c r="A46" s="1692" t="s">
        <v>625</v>
      </c>
      <c r="B46" s="1695" t="s">
        <v>1783</v>
      </c>
      <c r="C46" s="4" t="s">
        <v>1784</v>
      </c>
      <c r="D46" s="4" t="s">
        <v>1729</v>
      </c>
      <c r="E46" s="257">
        <v>1</v>
      </c>
      <c r="F46" s="257">
        <f t="shared" si="0"/>
        <v>1</v>
      </c>
    </row>
    <row r="47" spans="1:256" s="4" customFormat="1" x14ac:dyDescent="0.2">
      <c r="A47" s="1692" t="s">
        <v>115</v>
      </c>
      <c r="B47" s="1695" t="s">
        <v>1785</v>
      </c>
      <c r="C47" s="4" t="s">
        <v>1765</v>
      </c>
      <c r="D47" s="4" t="s">
        <v>1786</v>
      </c>
      <c r="E47" s="257">
        <v>173</v>
      </c>
      <c r="F47" s="257">
        <f t="shared" si="0"/>
        <v>173</v>
      </c>
    </row>
    <row r="48" spans="1:256" s="4" customFormat="1" x14ac:dyDescent="0.2">
      <c r="A48" s="1692" t="s">
        <v>650</v>
      </c>
      <c r="B48" s="1695" t="s">
        <v>1787</v>
      </c>
      <c r="C48" s="4" t="s">
        <v>1765</v>
      </c>
      <c r="D48" s="4" t="s">
        <v>1788</v>
      </c>
      <c r="E48" s="257">
        <v>24005</v>
      </c>
      <c r="F48" s="257">
        <v>22705</v>
      </c>
    </row>
    <row r="49" spans="1:256" s="4" customFormat="1" x14ac:dyDescent="0.2">
      <c r="A49" s="1692" t="s">
        <v>651</v>
      </c>
      <c r="B49" s="1695" t="s">
        <v>1789</v>
      </c>
      <c r="C49" s="4" t="s">
        <v>1765</v>
      </c>
      <c r="D49" s="4" t="s">
        <v>1790</v>
      </c>
      <c r="E49" s="257">
        <v>8943</v>
      </c>
      <c r="F49" s="257">
        <f t="shared" si="0"/>
        <v>8943</v>
      </c>
    </row>
    <row r="50" spans="1:256" s="4" customFormat="1" x14ac:dyDescent="0.2">
      <c r="A50" s="1692" t="s">
        <v>118</v>
      </c>
      <c r="B50" s="1695" t="s">
        <v>1791</v>
      </c>
      <c r="C50" s="4" t="s">
        <v>1765</v>
      </c>
      <c r="D50" s="4" t="s">
        <v>1792</v>
      </c>
      <c r="E50" s="257">
        <v>3862</v>
      </c>
      <c r="F50" s="257">
        <f t="shared" si="0"/>
        <v>3862</v>
      </c>
    </row>
    <row r="51" spans="1:256" s="4" customFormat="1" x14ac:dyDescent="0.2">
      <c r="A51" s="1692" t="s">
        <v>119</v>
      </c>
      <c r="B51" s="1695" t="s">
        <v>1793</v>
      </c>
      <c r="C51" s="4" t="s">
        <v>1765</v>
      </c>
      <c r="D51" s="4" t="s">
        <v>1794</v>
      </c>
      <c r="E51" s="257">
        <v>1577</v>
      </c>
      <c r="F51" s="257">
        <f t="shared" si="0"/>
        <v>1577</v>
      </c>
    </row>
    <row r="52" spans="1:256" s="4" customFormat="1" x14ac:dyDescent="0.2">
      <c r="A52" s="1692" t="s">
        <v>120</v>
      </c>
      <c r="B52" s="1695" t="s">
        <v>1795</v>
      </c>
      <c r="C52" s="4" t="s">
        <v>1765</v>
      </c>
      <c r="D52" s="4" t="s">
        <v>1796</v>
      </c>
      <c r="E52" s="257">
        <v>1296</v>
      </c>
      <c r="F52" s="257">
        <f t="shared" si="0"/>
        <v>1296</v>
      </c>
    </row>
    <row r="53" spans="1:256" s="4" customFormat="1" x14ac:dyDescent="0.2">
      <c r="A53" s="1692" t="s">
        <v>123</v>
      </c>
      <c r="B53" s="1695" t="s">
        <v>1797</v>
      </c>
      <c r="C53" s="4" t="s">
        <v>1798</v>
      </c>
      <c r="D53" s="4" t="s">
        <v>1799</v>
      </c>
      <c r="E53" s="1430">
        <v>8166</v>
      </c>
      <c r="F53" s="257">
        <v>2782</v>
      </c>
    </row>
    <row r="54" spans="1:256" s="4" customFormat="1" x14ac:dyDescent="0.2">
      <c r="A54" s="1692" t="s">
        <v>126</v>
      </c>
      <c r="B54" s="1695" t="s">
        <v>1800</v>
      </c>
      <c r="C54" s="4" t="s">
        <v>1801</v>
      </c>
      <c r="D54" s="4" t="s">
        <v>1802</v>
      </c>
      <c r="E54" s="1430">
        <v>78965</v>
      </c>
      <c r="F54" s="257">
        <v>76401</v>
      </c>
    </row>
    <row r="55" spans="1:256" s="4" customFormat="1" x14ac:dyDescent="0.2">
      <c r="A55" s="1692" t="s">
        <v>127</v>
      </c>
      <c r="B55" s="1691" t="s">
        <v>1803</v>
      </c>
      <c r="C55" s="4" t="s">
        <v>1804</v>
      </c>
      <c r="E55" s="1430">
        <v>26531</v>
      </c>
      <c r="F55" s="257">
        <v>15383</v>
      </c>
      <c r="G55" s="300"/>
    </row>
    <row r="56" spans="1:256" s="1679" customFormat="1" ht="13.5" x14ac:dyDescent="0.25">
      <c r="A56" s="1692" t="s">
        <v>128</v>
      </c>
      <c r="B56" s="1695" t="s">
        <v>1805</v>
      </c>
      <c r="C56" s="4" t="s">
        <v>1806</v>
      </c>
      <c r="D56" s="4" t="s">
        <v>1807</v>
      </c>
      <c r="E56" s="1430">
        <v>5337</v>
      </c>
      <c r="F56" s="257">
        <v>2562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 spans="1:256" s="4" customFormat="1" x14ac:dyDescent="0.2">
      <c r="A57" s="1692" t="s">
        <v>129</v>
      </c>
      <c r="B57" s="1696"/>
      <c r="C57" s="4" t="s">
        <v>1808</v>
      </c>
      <c r="D57" s="4" t="s">
        <v>1768</v>
      </c>
      <c r="E57" s="1430">
        <v>1570</v>
      </c>
      <c r="F57" s="257">
        <v>1004</v>
      </c>
      <c r="G57" s="300"/>
      <c r="I57" s="257"/>
    </row>
    <row r="58" spans="1:256" s="4" customFormat="1" x14ac:dyDescent="0.2">
      <c r="A58" s="1692" t="s">
        <v>132</v>
      </c>
      <c r="B58" s="1696"/>
      <c r="C58" s="4" t="s">
        <v>1809</v>
      </c>
      <c r="D58" s="4" t="s">
        <v>1768</v>
      </c>
      <c r="E58" s="1430">
        <v>368</v>
      </c>
      <c r="F58" s="257">
        <v>288</v>
      </c>
      <c r="G58" s="300"/>
    </row>
    <row r="59" spans="1:256" s="1683" customFormat="1" ht="15" customHeight="1" x14ac:dyDescent="0.25">
      <c r="A59" s="1692" t="s">
        <v>135</v>
      </c>
      <c r="B59" s="1696"/>
      <c r="C59" s="4" t="s">
        <v>1810</v>
      </c>
      <c r="D59" s="4"/>
      <c r="E59" s="1430">
        <v>10440</v>
      </c>
      <c r="F59" s="257">
        <v>8387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 spans="1:256" s="4" customFormat="1" ht="13.5" x14ac:dyDescent="0.25">
      <c r="A60" s="1692" t="s">
        <v>138</v>
      </c>
      <c r="B60" s="1696"/>
      <c r="C60" s="4" t="s">
        <v>1811</v>
      </c>
      <c r="E60" s="1430">
        <v>212</v>
      </c>
      <c r="F60" s="257">
        <v>155</v>
      </c>
      <c r="G60" s="1697"/>
      <c r="H60" s="1679"/>
      <c r="I60" s="1679"/>
      <c r="J60" s="1679"/>
      <c r="K60" s="1679"/>
      <c r="L60" s="1679"/>
      <c r="M60" s="1679"/>
      <c r="N60" s="1679"/>
      <c r="O60" s="1679"/>
      <c r="P60" s="1679"/>
      <c r="Q60" s="1679"/>
      <c r="R60" s="1679"/>
      <c r="S60" s="1679"/>
      <c r="T60" s="1679"/>
      <c r="U60" s="1679"/>
      <c r="V60" s="1679"/>
      <c r="W60" s="1679"/>
      <c r="X60" s="1679"/>
      <c r="Y60" s="1679"/>
      <c r="Z60" s="1679"/>
      <c r="AA60" s="1679"/>
      <c r="AB60" s="1679"/>
      <c r="AC60" s="1679"/>
      <c r="AD60" s="1679"/>
      <c r="AE60" s="1679"/>
      <c r="AF60" s="1679"/>
      <c r="AG60" s="1679"/>
      <c r="AH60" s="1679"/>
      <c r="AI60" s="1679"/>
      <c r="AJ60" s="1679"/>
      <c r="AK60" s="1679"/>
      <c r="AL60" s="1679"/>
      <c r="AM60" s="1679"/>
      <c r="AN60" s="1679"/>
      <c r="AO60" s="1679"/>
      <c r="AP60" s="1679"/>
      <c r="AQ60" s="1679"/>
      <c r="AR60" s="1679"/>
      <c r="AS60" s="1679"/>
      <c r="AT60" s="1679"/>
      <c r="AU60" s="1679"/>
      <c r="AV60" s="1679"/>
      <c r="AW60" s="1679"/>
      <c r="AX60" s="1679"/>
      <c r="AY60" s="1679"/>
      <c r="AZ60" s="1679"/>
      <c r="BA60" s="1679"/>
      <c r="BB60" s="1679"/>
      <c r="BC60" s="1679"/>
      <c r="BD60" s="1679"/>
      <c r="BE60" s="1679"/>
      <c r="BF60" s="1679"/>
      <c r="BG60" s="1679"/>
      <c r="BH60" s="1679"/>
      <c r="BI60" s="1679"/>
      <c r="BJ60" s="1679"/>
      <c r="BK60" s="1679"/>
      <c r="BL60" s="1679"/>
      <c r="BM60" s="1679"/>
      <c r="BN60" s="1679"/>
      <c r="BO60" s="1679"/>
      <c r="BP60" s="1679"/>
      <c r="BQ60" s="1679"/>
      <c r="BR60" s="1679"/>
      <c r="BS60" s="1679"/>
      <c r="BT60" s="1679"/>
      <c r="BU60" s="1679"/>
      <c r="BV60" s="1679"/>
      <c r="BW60" s="1679"/>
      <c r="BX60" s="1679"/>
      <c r="BY60" s="1679"/>
      <c r="BZ60" s="1679"/>
      <c r="CA60" s="1679"/>
      <c r="CB60" s="1679"/>
      <c r="CC60" s="1679"/>
      <c r="CD60" s="1679"/>
      <c r="CE60" s="1679"/>
      <c r="CF60" s="1679"/>
      <c r="CG60" s="1679"/>
      <c r="CH60" s="1679"/>
      <c r="CI60" s="1679"/>
      <c r="CJ60" s="1679"/>
      <c r="CK60" s="1679"/>
      <c r="CL60" s="1679"/>
      <c r="CM60" s="1679"/>
      <c r="CN60" s="1679"/>
      <c r="CO60" s="1679"/>
      <c r="CP60" s="1679"/>
      <c r="CQ60" s="1679"/>
      <c r="CR60" s="1679"/>
      <c r="CS60" s="1679"/>
      <c r="CT60" s="1679"/>
      <c r="CU60" s="1679"/>
      <c r="CV60" s="1679"/>
      <c r="CW60" s="1679"/>
      <c r="CX60" s="1679"/>
      <c r="CY60" s="1679"/>
      <c r="CZ60" s="1679"/>
      <c r="DA60" s="1679"/>
      <c r="DB60" s="1679"/>
      <c r="DC60" s="1679"/>
      <c r="DD60" s="1679"/>
      <c r="DE60" s="1679"/>
      <c r="DF60" s="1679"/>
      <c r="DG60" s="1679"/>
      <c r="DH60" s="1679"/>
      <c r="DI60" s="1679"/>
      <c r="DJ60" s="1679"/>
      <c r="DK60" s="1679"/>
      <c r="DL60" s="1679"/>
      <c r="DM60" s="1679"/>
      <c r="DN60" s="1679"/>
      <c r="DO60" s="1679"/>
      <c r="DP60" s="1679"/>
      <c r="DQ60" s="1679"/>
      <c r="DR60" s="1679"/>
      <c r="DS60" s="1679"/>
      <c r="DT60" s="1679"/>
      <c r="DU60" s="1679"/>
      <c r="DV60" s="1679"/>
      <c r="DW60" s="1679"/>
      <c r="DX60" s="1679"/>
      <c r="DY60" s="1679"/>
      <c r="DZ60" s="1679"/>
      <c r="EA60" s="1679"/>
      <c r="EB60" s="1679"/>
      <c r="EC60" s="1679"/>
      <c r="ED60" s="1679"/>
      <c r="EE60" s="1679"/>
      <c r="EF60" s="1679"/>
      <c r="EG60" s="1679"/>
      <c r="EH60" s="1679"/>
      <c r="EI60" s="1679"/>
      <c r="EJ60" s="1679"/>
      <c r="EK60" s="1679"/>
      <c r="EL60" s="1679"/>
      <c r="EM60" s="1679"/>
      <c r="EN60" s="1679"/>
      <c r="EO60" s="1679"/>
      <c r="EP60" s="1679"/>
      <c r="EQ60" s="1679"/>
      <c r="ER60" s="1679"/>
      <c r="ES60" s="1679"/>
      <c r="ET60" s="1679"/>
      <c r="EU60" s="1679"/>
      <c r="EV60" s="1679"/>
      <c r="EW60" s="1679"/>
      <c r="EX60" s="1679"/>
      <c r="EY60" s="1679"/>
      <c r="EZ60" s="1679"/>
      <c r="FA60" s="1679"/>
      <c r="FB60" s="1679"/>
      <c r="FC60" s="1679"/>
      <c r="FD60" s="1679"/>
      <c r="FE60" s="1679"/>
      <c r="FF60" s="1679"/>
      <c r="FG60" s="1679"/>
      <c r="FH60" s="1679"/>
      <c r="FI60" s="1679"/>
      <c r="FJ60" s="1679"/>
      <c r="FK60" s="1679"/>
      <c r="FL60" s="1679"/>
      <c r="FM60" s="1679"/>
      <c r="FN60" s="1679"/>
      <c r="FO60" s="1679"/>
      <c r="FP60" s="1679"/>
      <c r="FQ60" s="1679"/>
      <c r="FR60" s="1679"/>
      <c r="FS60" s="1679"/>
      <c r="FT60" s="1679"/>
      <c r="FU60" s="1679"/>
      <c r="FV60" s="1679"/>
      <c r="FW60" s="1679"/>
      <c r="FX60" s="1679"/>
      <c r="FY60" s="1679"/>
      <c r="FZ60" s="1679"/>
      <c r="GA60" s="1679"/>
      <c r="GB60" s="1679"/>
      <c r="GC60" s="1679"/>
      <c r="GD60" s="1679"/>
      <c r="GE60" s="1679"/>
      <c r="GF60" s="1679"/>
      <c r="GG60" s="1679"/>
      <c r="GH60" s="1679"/>
      <c r="GI60" s="1679"/>
      <c r="GJ60" s="1679"/>
      <c r="GK60" s="1679"/>
      <c r="GL60" s="1679"/>
      <c r="GM60" s="1679"/>
      <c r="GN60" s="1679"/>
      <c r="GO60" s="1679"/>
      <c r="GP60" s="1679"/>
      <c r="GQ60" s="1679"/>
      <c r="GR60" s="1679"/>
      <c r="GS60" s="1679"/>
      <c r="GT60" s="1679"/>
      <c r="GU60" s="1679"/>
      <c r="GV60" s="1679"/>
      <c r="GW60" s="1679"/>
      <c r="GX60" s="1679"/>
      <c r="GY60" s="1679"/>
      <c r="GZ60" s="1679"/>
      <c r="HA60" s="1679"/>
      <c r="HB60" s="1679"/>
      <c r="HC60" s="1679"/>
      <c r="HD60" s="1679"/>
      <c r="HE60" s="1679"/>
      <c r="HF60" s="1679"/>
      <c r="HG60" s="1679"/>
      <c r="HH60" s="1679"/>
      <c r="HI60" s="1679"/>
      <c r="HJ60" s="1679"/>
      <c r="HK60" s="1679"/>
      <c r="HL60" s="1679"/>
      <c r="HM60" s="1679"/>
      <c r="HN60" s="1679"/>
      <c r="HO60" s="1679"/>
      <c r="HP60" s="1679"/>
      <c r="HQ60" s="1679"/>
      <c r="HR60" s="1679"/>
      <c r="HS60" s="1679"/>
      <c r="HT60" s="1679"/>
      <c r="HU60" s="1679"/>
      <c r="HV60" s="1679"/>
      <c r="HW60" s="1679"/>
      <c r="HX60" s="1679"/>
      <c r="HY60" s="1679"/>
      <c r="HZ60" s="1679"/>
      <c r="IA60" s="1679"/>
      <c r="IB60" s="1679"/>
      <c r="IC60" s="1679"/>
      <c r="ID60" s="1679"/>
      <c r="IE60" s="1679"/>
      <c r="IF60" s="1679"/>
      <c r="IG60" s="1679"/>
      <c r="IH60" s="1679"/>
      <c r="II60" s="1679"/>
      <c r="IJ60" s="1679"/>
      <c r="IK60" s="1679"/>
      <c r="IL60" s="1679"/>
      <c r="IM60" s="1679"/>
      <c r="IN60" s="1679"/>
      <c r="IO60" s="1679"/>
      <c r="IP60" s="1679"/>
      <c r="IQ60" s="1679"/>
      <c r="IR60" s="1679"/>
      <c r="IS60" s="1679"/>
      <c r="IT60" s="1679"/>
      <c r="IU60" s="1679"/>
      <c r="IV60" s="1679"/>
    </row>
    <row r="61" spans="1:256" s="4" customFormat="1" ht="13.5" x14ac:dyDescent="0.25">
      <c r="A61" s="1692" t="s">
        <v>139</v>
      </c>
      <c r="B61" s="1696"/>
      <c r="C61" s="4" t="s">
        <v>1812</v>
      </c>
      <c r="E61" s="1430">
        <v>3190</v>
      </c>
      <c r="F61" s="257">
        <v>2808</v>
      </c>
      <c r="H61" s="1679"/>
      <c r="I61" s="1679"/>
      <c r="J61" s="1679"/>
      <c r="K61" s="1679"/>
      <c r="L61" s="1679"/>
      <c r="M61" s="1679"/>
      <c r="N61" s="1679"/>
      <c r="O61" s="1679"/>
      <c r="P61" s="1679"/>
      <c r="Q61" s="1679"/>
      <c r="R61" s="1679"/>
      <c r="S61" s="1679"/>
      <c r="T61" s="1679"/>
      <c r="U61" s="1679"/>
      <c r="V61" s="1679"/>
      <c r="W61" s="1679"/>
      <c r="X61" s="1679"/>
      <c r="Y61" s="1679"/>
      <c r="Z61" s="1679"/>
      <c r="AA61" s="1679"/>
      <c r="AB61" s="1679"/>
      <c r="AC61" s="1679"/>
      <c r="AD61" s="1679"/>
      <c r="AE61" s="1679"/>
      <c r="AF61" s="1679"/>
      <c r="AG61" s="1679"/>
      <c r="AH61" s="1679"/>
      <c r="AI61" s="1679"/>
      <c r="AJ61" s="1679"/>
      <c r="AK61" s="1679"/>
      <c r="AL61" s="1679"/>
      <c r="AM61" s="1679"/>
      <c r="AN61" s="1679"/>
      <c r="AO61" s="1679"/>
      <c r="AP61" s="1679"/>
      <c r="AQ61" s="1679"/>
      <c r="AR61" s="1679"/>
      <c r="AS61" s="1679"/>
      <c r="AT61" s="1679"/>
      <c r="AU61" s="1679"/>
      <c r="AV61" s="1679"/>
      <c r="AW61" s="1679"/>
      <c r="AX61" s="1679"/>
      <c r="AY61" s="1679"/>
      <c r="AZ61" s="1679"/>
      <c r="BA61" s="1679"/>
      <c r="BB61" s="1679"/>
      <c r="BC61" s="1679"/>
      <c r="BD61" s="1679"/>
      <c r="BE61" s="1679"/>
      <c r="BF61" s="1679"/>
      <c r="BG61" s="1679"/>
      <c r="BH61" s="1679"/>
      <c r="BI61" s="1679"/>
      <c r="BJ61" s="1679"/>
      <c r="BK61" s="1679"/>
      <c r="BL61" s="1679"/>
      <c r="BM61" s="1679"/>
      <c r="BN61" s="1679"/>
      <c r="BO61" s="1679"/>
      <c r="BP61" s="1679"/>
      <c r="BQ61" s="1679"/>
      <c r="BR61" s="1679"/>
      <c r="BS61" s="1679"/>
      <c r="BT61" s="1679"/>
      <c r="BU61" s="1679"/>
      <c r="BV61" s="1679"/>
      <c r="BW61" s="1679"/>
      <c r="BX61" s="1679"/>
      <c r="BY61" s="1679"/>
      <c r="BZ61" s="1679"/>
      <c r="CA61" s="1679"/>
      <c r="CB61" s="1679"/>
      <c r="CC61" s="1679"/>
      <c r="CD61" s="1679"/>
      <c r="CE61" s="1679"/>
      <c r="CF61" s="1679"/>
      <c r="CG61" s="1679"/>
      <c r="CH61" s="1679"/>
      <c r="CI61" s="1679"/>
      <c r="CJ61" s="1679"/>
      <c r="CK61" s="1679"/>
      <c r="CL61" s="1679"/>
      <c r="CM61" s="1679"/>
      <c r="CN61" s="1679"/>
      <c r="CO61" s="1679"/>
      <c r="CP61" s="1679"/>
      <c r="CQ61" s="1679"/>
      <c r="CR61" s="1679"/>
      <c r="CS61" s="1679"/>
      <c r="CT61" s="1679"/>
      <c r="CU61" s="1679"/>
      <c r="CV61" s="1679"/>
      <c r="CW61" s="1679"/>
      <c r="CX61" s="1679"/>
      <c r="CY61" s="1679"/>
      <c r="CZ61" s="1679"/>
      <c r="DA61" s="1679"/>
      <c r="DB61" s="1679"/>
      <c r="DC61" s="1679"/>
      <c r="DD61" s="1679"/>
      <c r="DE61" s="1679"/>
      <c r="DF61" s="1679"/>
      <c r="DG61" s="1679"/>
      <c r="DH61" s="1679"/>
      <c r="DI61" s="1679"/>
      <c r="DJ61" s="1679"/>
      <c r="DK61" s="1679"/>
      <c r="DL61" s="1679"/>
      <c r="DM61" s="1679"/>
      <c r="DN61" s="1679"/>
      <c r="DO61" s="1679"/>
      <c r="DP61" s="1679"/>
      <c r="DQ61" s="1679"/>
      <c r="DR61" s="1679"/>
      <c r="DS61" s="1679"/>
      <c r="DT61" s="1679"/>
      <c r="DU61" s="1679"/>
      <c r="DV61" s="1679"/>
      <c r="DW61" s="1679"/>
      <c r="DX61" s="1679"/>
      <c r="DY61" s="1679"/>
      <c r="DZ61" s="1679"/>
      <c r="EA61" s="1679"/>
      <c r="EB61" s="1679"/>
      <c r="EC61" s="1679"/>
      <c r="ED61" s="1679"/>
      <c r="EE61" s="1679"/>
      <c r="EF61" s="1679"/>
      <c r="EG61" s="1679"/>
      <c r="EH61" s="1679"/>
      <c r="EI61" s="1679"/>
      <c r="EJ61" s="1679"/>
      <c r="EK61" s="1679"/>
      <c r="EL61" s="1679"/>
      <c r="EM61" s="1679"/>
      <c r="EN61" s="1679"/>
      <c r="EO61" s="1679"/>
      <c r="EP61" s="1679"/>
      <c r="EQ61" s="1679"/>
      <c r="ER61" s="1679"/>
      <c r="ES61" s="1679"/>
      <c r="ET61" s="1679"/>
      <c r="EU61" s="1679"/>
      <c r="EV61" s="1679"/>
      <c r="EW61" s="1679"/>
      <c r="EX61" s="1679"/>
      <c r="EY61" s="1679"/>
      <c r="EZ61" s="1679"/>
      <c r="FA61" s="1679"/>
      <c r="FB61" s="1679"/>
      <c r="FC61" s="1679"/>
      <c r="FD61" s="1679"/>
      <c r="FE61" s="1679"/>
      <c r="FF61" s="1679"/>
      <c r="FG61" s="1679"/>
      <c r="FH61" s="1679"/>
      <c r="FI61" s="1679"/>
      <c r="FJ61" s="1679"/>
      <c r="FK61" s="1679"/>
      <c r="FL61" s="1679"/>
      <c r="FM61" s="1679"/>
      <c r="FN61" s="1679"/>
      <c r="FO61" s="1679"/>
      <c r="FP61" s="1679"/>
      <c r="FQ61" s="1679"/>
      <c r="FR61" s="1679"/>
      <c r="FS61" s="1679"/>
      <c r="FT61" s="1679"/>
      <c r="FU61" s="1679"/>
      <c r="FV61" s="1679"/>
      <c r="FW61" s="1679"/>
      <c r="FX61" s="1679"/>
      <c r="FY61" s="1679"/>
      <c r="FZ61" s="1679"/>
      <c r="GA61" s="1679"/>
      <c r="GB61" s="1679"/>
      <c r="GC61" s="1679"/>
      <c r="GD61" s="1679"/>
      <c r="GE61" s="1679"/>
      <c r="GF61" s="1679"/>
      <c r="GG61" s="1679"/>
      <c r="GH61" s="1679"/>
      <c r="GI61" s="1679"/>
      <c r="GJ61" s="1679"/>
      <c r="GK61" s="1679"/>
      <c r="GL61" s="1679"/>
      <c r="GM61" s="1679"/>
      <c r="GN61" s="1679"/>
      <c r="GO61" s="1679"/>
      <c r="GP61" s="1679"/>
      <c r="GQ61" s="1679"/>
      <c r="GR61" s="1679"/>
      <c r="GS61" s="1679"/>
      <c r="GT61" s="1679"/>
      <c r="GU61" s="1679"/>
      <c r="GV61" s="1679"/>
      <c r="GW61" s="1679"/>
      <c r="GX61" s="1679"/>
      <c r="GY61" s="1679"/>
      <c r="GZ61" s="1679"/>
      <c r="HA61" s="1679"/>
      <c r="HB61" s="1679"/>
      <c r="HC61" s="1679"/>
      <c r="HD61" s="1679"/>
      <c r="HE61" s="1679"/>
      <c r="HF61" s="1679"/>
      <c r="HG61" s="1679"/>
      <c r="HH61" s="1679"/>
      <c r="HI61" s="1679"/>
      <c r="HJ61" s="1679"/>
      <c r="HK61" s="1679"/>
      <c r="HL61" s="1679"/>
      <c r="HM61" s="1679"/>
      <c r="HN61" s="1679"/>
      <c r="HO61" s="1679"/>
      <c r="HP61" s="1679"/>
      <c r="HQ61" s="1679"/>
      <c r="HR61" s="1679"/>
      <c r="HS61" s="1679"/>
      <c r="HT61" s="1679"/>
      <c r="HU61" s="1679"/>
      <c r="HV61" s="1679"/>
      <c r="HW61" s="1679"/>
      <c r="HX61" s="1679"/>
      <c r="HY61" s="1679"/>
      <c r="HZ61" s="1679"/>
      <c r="IA61" s="1679"/>
      <c r="IB61" s="1679"/>
      <c r="IC61" s="1679"/>
      <c r="ID61" s="1679"/>
      <c r="IE61" s="1679"/>
      <c r="IF61" s="1679"/>
      <c r="IG61" s="1679"/>
      <c r="IH61" s="1679"/>
      <c r="II61" s="1679"/>
      <c r="IJ61" s="1679"/>
      <c r="IK61" s="1679"/>
      <c r="IL61" s="1679"/>
      <c r="IM61" s="1679"/>
      <c r="IN61" s="1679"/>
      <c r="IO61" s="1679"/>
      <c r="IP61" s="1679"/>
      <c r="IQ61" s="1679"/>
      <c r="IR61" s="1679"/>
      <c r="IS61" s="1679"/>
      <c r="IT61" s="1679"/>
      <c r="IU61" s="1679"/>
      <c r="IV61" s="1679"/>
    </row>
    <row r="62" spans="1:256" s="4" customFormat="1" ht="13.5" x14ac:dyDescent="0.25">
      <c r="A62" s="1692" t="s">
        <v>142</v>
      </c>
      <c r="B62" s="1696"/>
      <c r="C62" s="4" t="s">
        <v>1813</v>
      </c>
      <c r="E62" s="1430">
        <v>7038</v>
      </c>
      <c r="F62" s="257">
        <v>6195</v>
      </c>
      <c r="H62" s="1679"/>
      <c r="I62" s="1679"/>
      <c r="J62" s="1679"/>
      <c r="K62" s="1679"/>
      <c r="L62" s="1679"/>
      <c r="M62" s="1679"/>
      <c r="N62" s="1679"/>
      <c r="O62" s="1679"/>
      <c r="P62" s="1679"/>
      <c r="Q62" s="1679"/>
      <c r="R62" s="1679"/>
      <c r="S62" s="1679"/>
      <c r="T62" s="1679"/>
      <c r="U62" s="1679"/>
      <c r="V62" s="1679"/>
      <c r="W62" s="1679"/>
      <c r="X62" s="1679"/>
      <c r="Y62" s="1679"/>
      <c r="Z62" s="1679"/>
      <c r="AA62" s="1679"/>
      <c r="AB62" s="1679"/>
      <c r="AC62" s="1679"/>
      <c r="AD62" s="1679"/>
      <c r="AE62" s="1679"/>
      <c r="AF62" s="1679"/>
      <c r="AG62" s="1679"/>
      <c r="AH62" s="1679"/>
      <c r="AI62" s="1679"/>
      <c r="AJ62" s="1679"/>
      <c r="AK62" s="1679"/>
      <c r="AL62" s="1679"/>
      <c r="AM62" s="1679"/>
      <c r="AN62" s="1679"/>
      <c r="AO62" s="1679"/>
      <c r="AP62" s="1679"/>
      <c r="AQ62" s="1679"/>
      <c r="AR62" s="1679"/>
      <c r="AS62" s="1679"/>
      <c r="AT62" s="1679"/>
      <c r="AU62" s="1679"/>
      <c r="AV62" s="1679"/>
      <c r="AW62" s="1679"/>
      <c r="AX62" s="1679"/>
      <c r="AY62" s="1679"/>
      <c r="AZ62" s="1679"/>
      <c r="BA62" s="1679"/>
      <c r="BB62" s="1679"/>
      <c r="BC62" s="1679"/>
      <c r="BD62" s="1679"/>
      <c r="BE62" s="1679"/>
      <c r="BF62" s="1679"/>
      <c r="BG62" s="1679"/>
      <c r="BH62" s="1679"/>
      <c r="BI62" s="1679"/>
      <c r="BJ62" s="1679"/>
      <c r="BK62" s="1679"/>
      <c r="BL62" s="1679"/>
      <c r="BM62" s="1679"/>
      <c r="BN62" s="1679"/>
      <c r="BO62" s="1679"/>
      <c r="BP62" s="1679"/>
      <c r="BQ62" s="1679"/>
      <c r="BR62" s="1679"/>
      <c r="BS62" s="1679"/>
      <c r="BT62" s="1679"/>
      <c r="BU62" s="1679"/>
      <c r="BV62" s="1679"/>
      <c r="BW62" s="1679"/>
      <c r="BX62" s="1679"/>
      <c r="BY62" s="1679"/>
      <c r="BZ62" s="1679"/>
      <c r="CA62" s="1679"/>
      <c r="CB62" s="1679"/>
      <c r="CC62" s="1679"/>
      <c r="CD62" s="1679"/>
      <c r="CE62" s="1679"/>
      <c r="CF62" s="1679"/>
      <c r="CG62" s="1679"/>
      <c r="CH62" s="1679"/>
      <c r="CI62" s="1679"/>
      <c r="CJ62" s="1679"/>
      <c r="CK62" s="1679"/>
      <c r="CL62" s="1679"/>
      <c r="CM62" s="1679"/>
      <c r="CN62" s="1679"/>
      <c r="CO62" s="1679"/>
      <c r="CP62" s="1679"/>
      <c r="CQ62" s="1679"/>
      <c r="CR62" s="1679"/>
      <c r="CS62" s="1679"/>
      <c r="CT62" s="1679"/>
      <c r="CU62" s="1679"/>
      <c r="CV62" s="1679"/>
      <c r="CW62" s="1679"/>
      <c r="CX62" s="1679"/>
      <c r="CY62" s="1679"/>
      <c r="CZ62" s="1679"/>
      <c r="DA62" s="1679"/>
      <c r="DB62" s="1679"/>
      <c r="DC62" s="1679"/>
      <c r="DD62" s="1679"/>
      <c r="DE62" s="1679"/>
      <c r="DF62" s="1679"/>
      <c r="DG62" s="1679"/>
      <c r="DH62" s="1679"/>
      <c r="DI62" s="1679"/>
      <c r="DJ62" s="1679"/>
      <c r="DK62" s="1679"/>
      <c r="DL62" s="1679"/>
      <c r="DM62" s="1679"/>
      <c r="DN62" s="1679"/>
      <c r="DO62" s="1679"/>
      <c r="DP62" s="1679"/>
      <c r="DQ62" s="1679"/>
      <c r="DR62" s="1679"/>
      <c r="DS62" s="1679"/>
      <c r="DT62" s="1679"/>
      <c r="DU62" s="1679"/>
      <c r="DV62" s="1679"/>
      <c r="DW62" s="1679"/>
      <c r="DX62" s="1679"/>
      <c r="DY62" s="1679"/>
      <c r="DZ62" s="1679"/>
      <c r="EA62" s="1679"/>
      <c r="EB62" s="1679"/>
      <c r="EC62" s="1679"/>
      <c r="ED62" s="1679"/>
      <c r="EE62" s="1679"/>
      <c r="EF62" s="1679"/>
      <c r="EG62" s="1679"/>
      <c r="EH62" s="1679"/>
      <c r="EI62" s="1679"/>
      <c r="EJ62" s="1679"/>
      <c r="EK62" s="1679"/>
      <c r="EL62" s="1679"/>
      <c r="EM62" s="1679"/>
      <c r="EN62" s="1679"/>
      <c r="EO62" s="1679"/>
      <c r="EP62" s="1679"/>
      <c r="EQ62" s="1679"/>
      <c r="ER62" s="1679"/>
      <c r="ES62" s="1679"/>
      <c r="ET62" s="1679"/>
      <c r="EU62" s="1679"/>
      <c r="EV62" s="1679"/>
      <c r="EW62" s="1679"/>
      <c r="EX62" s="1679"/>
      <c r="EY62" s="1679"/>
      <c r="EZ62" s="1679"/>
      <c r="FA62" s="1679"/>
      <c r="FB62" s="1679"/>
      <c r="FC62" s="1679"/>
      <c r="FD62" s="1679"/>
      <c r="FE62" s="1679"/>
      <c r="FF62" s="1679"/>
      <c r="FG62" s="1679"/>
      <c r="FH62" s="1679"/>
      <c r="FI62" s="1679"/>
      <c r="FJ62" s="1679"/>
      <c r="FK62" s="1679"/>
      <c r="FL62" s="1679"/>
      <c r="FM62" s="1679"/>
      <c r="FN62" s="1679"/>
      <c r="FO62" s="1679"/>
      <c r="FP62" s="1679"/>
      <c r="FQ62" s="1679"/>
      <c r="FR62" s="1679"/>
      <c r="FS62" s="1679"/>
      <c r="FT62" s="1679"/>
      <c r="FU62" s="1679"/>
      <c r="FV62" s="1679"/>
      <c r="FW62" s="1679"/>
      <c r="FX62" s="1679"/>
      <c r="FY62" s="1679"/>
      <c r="FZ62" s="1679"/>
      <c r="GA62" s="1679"/>
      <c r="GB62" s="1679"/>
      <c r="GC62" s="1679"/>
      <c r="GD62" s="1679"/>
      <c r="GE62" s="1679"/>
      <c r="GF62" s="1679"/>
      <c r="GG62" s="1679"/>
      <c r="GH62" s="1679"/>
      <c r="GI62" s="1679"/>
      <c r="GJ62" s="1679"/>
      <c r="GK62" s="1679"/>
      <c r="GL62" s="1679"/>
      <c r="GM62" s="1679"/>
      <c r="GN62" s="1679"/>
      <c r="GO62" s="1679"/>
      <c r="GP62" s="1679"/>
      <c r="GQ62" s="1679"/>
      <c r="GR62" s="1679"/>
      <c r="GS62" s="1679"/>
      <c r="GT62" s="1679"/>
      <c r="GU62" s="1679"/>
      <c r="GV62" s="1679"/>
      <c r="GW62" s="1679"/>
      <c r="GX62" s="1679"/>
      <c r="GY62" s="1679"/>
      <c r="GZ62" s="1679"/>
      <c r="HA62" s="1679"/>
      <c r="HB62" s="1679"/>
      <c r="HC62" s="1679"/>
      <c r="HD62" s="1679"/>
      <c r="HE62" s="1679"/>
      <c r="HF62" s="1679"/>
      <c r="HG62" s="1679"/>
      <c r="HH62" s="1679"/>
      <c r="HI62" s="1679"/>
      <c r="HJ62" s="1679"/>
      <c r="HK62" s="1679"/>
      <c r="HL62" s="1679"/>
      <c r="HM62" s="1679"/>
      <c r="HN62" s="1679"/>
      <c r="HO62" s="1679"/>
      <c r="HP62" s="1679"/>
      <c r="HQ62" s="1679"/>
      <c r="HR62" s="1679"/>
      <c r="HS62" s="1679"/>
      <c r="HT62" s="1679"/>
      <c r="HU62" s="1679"/>
      <c r="HV62" s="1679"/>
      <c r="HW62" s="1679"/>
      <c r="HX62" s="1679"/>
      <c r="HY62" s="1679"/>
      <c r="HZ62" s="1679"/>
      <c r="IA62" s="1679"/>
      <c r="IB62" s="1679"/>
      <c r="IC62" s="1679"/>
      <c r="ID62" s="1679"/>
      <c r="IE62" s="1679"/>
      <c r="IF62" s="1679"/>
      <c r="IG62" s="1679"/>
      <c r="IH62" s="1679"/>
      <c r="II62" s="1679"/>
      <c r="IJ62" s="1679"/>
      <c r="IK62" s="1679"/>
      <c r="IL62" s="1679"/>
      <c r="IM62" s="1679"/>
      <c r="IN62" s="1679"/>
      <c r="IO62" s="1679"/>
      <c r="IP62" s="1679"/>
      <c r="IQ62" s="1679"/>
      <c r="IR62" s="1679"/>
      <c r="IS62" s="1679"/>
      <c r="IT62" s="1679"/>
      <c r="IU62" s="1679"/>
      <c r="IV62" s="1679"/>
    </row>
    <row r="63" spans="1:256" s="4" customFormat="1" ht="13.5" x14ac:dyDescent="0.25">
      <c r="A63" s="1692" t="s">
        <v>143</v>
      </c>
      <c r="B63" s="1698"/>
      <c r="C63" s="4" t="s">
        <v>1814</v>
      </c>
      <c r="E63" s="1430">
        <v>11546</v>
      </c>
      <c r="F63" s="257">
        <v>9568</v>
      </c>
      <c r="H63" s="1683"/>
      <c r="I63" s="1683"/>
      <c r="J63" s="1683"/>
      <c r="K63" s="1683"/>
      <c r="L63" s="1683"/>
      <c r="M63" s="1683"/>
      <c r="N63" s="1683"/>
      <c r="O63" s="1683"/>
      <c r="P63" s="1683"/>
      <c r="Q63" s="1683"/>
      <c r="R63" s="1683"/>
      <c r="S63" s="1683"/>
      <c r="T63" s="1683"/>
      <c r="U63" s="1683"/>
      <c r="V63" s="1683"/>
      <c r="W63" s="1683"/>
      <c r="X63" s="1683"/>
      <c r="Y63" s="1683"/>
      <c r="Z63" s="1683"/>
      <c r="AA63" s="1683"/>
      <c r="AB63" s="1683"/>
      <c r="AC63" s="1683"/>
      <c r="AD63" s="1683"/>
      <c r="AE63" s="1683"/>
      <c r="AF63" s="1683"/>
      <c r="AG63" s="1683"/>
      <c r="AH63" s="1683"/>
      <c r="AI63" s="1683"/>
      <c r="AJ63" s="1683"/>
      <c r="AK63" s="1683"/>
      <c r="AL63" s="1683"/>
      <c r="AM63" s="1683"/>
      <c r="AN63" s="1683"/>
      <c r="AO63" s="1683"/>
      <c r="AP63" s="1683"/>
      <c r="AQ63" s="1683"/>
      <c r="AR63" s="1683"/>
      <c r="AS63" s="1683"/>
      <c r="AT63" s="1683"/>
      <c r="AU63" s="1683"/>
      <c r="AV63" s="1683"/>
      <c r="AW63" s="1683"/>
      <c r="AX63" s="1683"/>
      <c r="AY63" s="1683"/>
      <c r="AZ63" s="1683"/>
      <c r="BA63" s="1683"/>
      <c r="BB63" s="1683"/>
      <c r="BC63" s="1683"/>
      <c r="BD63" s="1683"/>
      <c r="BE63" s="1683"/>
      <c r="BF63" s="1683"/>
      <c r="BG63" s="1683"/>
      <c r="BH63" s="1683"/>
      <c r="BI63" s="1683"/>
      <c r="BJ63" s="1683"/>
      <c r="BK63" s="1683"/>
      <c r="BL63" s="1683"/>
      <c r="BM63" s="1683"/>
      <c r="BN63" s="1683"/>
      <c r="BO63" s="1683"/>
      <c r="BP63" s="1683"/>
      <c r="BQ63" s="1683"/>
      <c r="BR63" s="1683"/>
      <c r="BS63" s="1683"/>
      <c r="BT63" s="1683"/>
      <c r="BU63" s="1683"/>
      <c r="BV63" s="1683"/>
      <c r="BW63" s="1683"/>
      <c r="BX63" s="1683"/>
      <c r="BY63" s="1683"/>
      <c r="BZ63" s="1683"/>
      <c r="CA63" s="1683"/>
      <c r="CB63" s="1683"/>
      <c r="CC63" s="1683"/>
      <c r="CD63" s="1683"/>
      <c r="CE63" s="1683"/>
      <c r="CF63" s="1683"/>
      <c r="CG63" s="1683"/>
      <c r="CH63" s="1683"/>
      <c r="CI63" s="1683"/>
      <c r="CJ63" s="1683"/>
      <c r="CK63" s="1683"/>
      <c r="CL63" s="1683"/>
      <c r="CM63" s="1683"/>
      <c r="CN63" s="1683"/>
      <c r="CO63" s="1683"/>
      <c r="CP63" s="1683"/>
      <c r="CQ63" s="1683"/>
      <c r="CR63" s="1683"/>
      <c r="CS63" s="1683"/>
      <c r="CT63" s="1683"/>
      <c r="CU63" s="1683"/>
      <c r="CV63" s="1683"/>
      <c r="CW63" s="1683"/>
      <c r="CX63" s="1683"/>
      <c r="CY63" s="1683"/>
      <c r="CZ63" s="1683"/>
      <c r="DA63" s="1683"/>
      <c r="DB63" s="1683"/>
      <c r="DC63" s="1683"/>
      <c r="DD63" s="1683"/>
      <c r="DE63" s="1683"/>
      <c r="DF63" s="1683"/>
      <c r="DG63" s="1683"/>
      <c r="DH63" s="1683"/>
      <c r="DI63" s="1683"/>
      <c r="DJ63" s="1683"/>
      <c r="DK63" s="1683"/>
      <c r="DL63" s="1683"/>
      <c r="DM63" s="1683"/>
      <c r="DN63" s="1683"/>
      <c r="DO63" s="1683"/>
      <c r="DP63" s="1683"/>
      <c r="DQ63" s="1683"/>
      <c r="DR63" s="1683"/>
      <c r="DS63" s="1683"/>
      <c r="DT63" s="1683"/>
      <c r="DU63" s="1683"/>
      <c r="DV63" s="1683"/>
      <c r="DW63" s="1683"/>
      <c r="DX63" s="1683"/>
      <c r="DY63" s="1683"/>
      <c r="DZ63" s="1683"/>
      <c r="EA63" s="1683"/>
      <c r="EB63" s="1683"/>
      <c r="EC63" s="1683"/>
      <c r="ED63" s="1683"/>
      <c r="EE63" s="1683"/>
      <c r="EF63" s="1683"/>
      <c r="EG63" s="1683"/>
      <c r="EH63" s="1683"/>
      <c r="EI63" s="1683"/>
      <c r="EJ63" s="1683"/>
      <c r="EK63" s="1683"/>
      <c r="EL63" s="1683"/>
      <c r="EM63" s="1683"/>
      <c r="EN63" s="1683"/>
      <c r="EO63" s="1683"/>
      <c r="EP63" s="1683"/>
      <c r="EQ63" s="1683"/>
      <c r="ER63" s="1683"/>
      <c r="ES63" s="1683"/>
      <c r="ET63" s="1683"/>
      <c r="EU63" s="1683"/>
      <c r="EV63" s="1683"/>
      <c r="EW63" s="1683"/>
      <c r="EX63" s="1683"/>
      <c r="EY63" s="1683"/>
      <c r="EZ63" s="1683"/>
      <c r="FA63" s="1683"/>
      <c r="FB63" s="1683"/>
      <c r="FC63" s="1683"/>
      <c r="FD63" s="1683"/>
      <c r="FE63" s="1683"/>
      <c r="FF63" s="1683"/>
      <c r="FG63" s="1683"/>
      <c r="FH63" s="1683"/>
      <c r="FI63" s="1683"/>
      <c r="FJ63" s="1683"/>
      <c r="FK63" s="1683"/>
      <c r="FL63" s="1683"/>
      <c r="FM63" s="1683"/>
      <c r="FN63" s="1683"/>
      <c r="FO63" s="1683"/>
      <c r="FP63" s="1683"/>
      <c r="FQ63" s="1683"/>
      <c r="FR63" s="1683"/>
      <c r="FS63" s="1683"/>
      <c r="FT63" s="1683"/>
      <c r="FU63" s="1683"/>
      <c r="FV63" s="1683"/>
      <c r="FW63" s="1683"/>
      <c r="FX63" s="1683"/>
      <c r="FY63" s="1683"/>
      <c r="FZ63" s="1683"/>
      <c r="GA63" s="1683"/>
      <c r="GB63" s="1683"/>
      <c r="GC63" s="1683"/>
      <c r="GD63" s="1683"/>
      <c r="GE63" s="1683"/>
      <c r="GF63" s="1683"/>
      <c r="GG63" s="1683"/>
      <c r="GH63" s="1683"/>
      <c r="GI63" s="1683"/>
      <c r="GJ63" s="1683"/>
      <c r="GK63" s="1683"/>
      <c r="GL63" s="1683"/>
      <c r="GM63" s="1683"/>
      <c r="GN63" s="1683"/>
      <c r="GO63" s="1683"/>
      <c r="GP63" s="1683"/>
      <c r="GQ63" s="1683"/>
      <c r="GR63" s="1683"/>
      <c r="GS63" s="1683"/>
      <c r="GT63" s="1683"/>
      <c r="GU63" s="1683"/>
      <c r="GV63" s="1683"/>
      <c r="GW63" s="1683"/>
      <c r="GX63" s="1683"/>
      <c r="GY63" s="1683"/>
      <c r="GZ63" s="1683"/>
      <c r="HA63" s="1683"/>
      <c r="HB63" s="1683"/>
      <c r="HC63" s="1683"/>
      <c r="HD63" s="1683"/>
      <c r="HE63" s="1683"/>
      <c r="HF63" s="1683"/>
      <c r="HG63" s="1683"/>
      <c r="HH63" s="1683"/>
      <c r="HI63" s="1683"/>
      <c r="HJ63" s="1683"/>
      <c r="HK63" s="1683"/>
      <c r="HL63" s="1683"/>
      <c r="HM63" s="1683"/>
      <c r="HN63" s="1683"/>
      <c r="HO63" s="1683"/>
      <c r="HP63" s="1683"/>
      <c r="HQ63" s="1683"/>
      <c r="HR63" s="1683"/>
      <c r="HS63" s="1683"/>
      <c r="HT63" s="1683"/>
      <c r="HU63" s="1683"/>
      <c r="HV63" s="1683"/>
      <c r="HW63" s="1683"/>
      <c r="HX63" s="1683"/>
      <c r="HY63" s="1683"/>
      <c r="HZ63" s="1683"/>
      <c r="IA63" s="1683"/>
      <c r="IB63" s="1683"/>
      <c r="IC63" s="1683"/>
      <c r="ID63" s="1683"/>
      <c r="IE63" s="1683"/>
      <c r="IF63" s="1683"/>
      <c r="IG63" s="1683"/>
      <c r="IH63" s="1683"/>
      <c r="II63" s="1683"/>
      <c r="IJ63" s="1683"/>
      <c r="IK63" s="1683"/>
      <c r="IL63" s="1683"/>
      <c r="IM63" s="1683"/>
      <c r="IN63" s="1683"/>
      <c r="IO63" s="1683"/>
      <c r="IP63" s="1683"/>
      <c r="IQ63" s="1683"/>
      <c r="IR63" s="1683"/>
      <c r="IS63" s="1683"/>
      <c r="IT63" s="1683"/>
      <c r="IU63" s="1683"/>
      <c r="IV63" s="1683"/>
    </row>
    <row r="64" spans="1:256" ht="13.5" x14ac:dyDescent="0.25">
      <c r="A64" s="1692" t="s">
        <v>144</v>
      </c>
      <c r="B64" s="1695"/>
      <c r="C64" s="4" t="s">
        <v>1815</v>
      </c>
      <c r="D64" s="4"/>
      <c r="E64" s="1430">
        <v>2108</v>
      </c>
      <c r="F64" s="257">
        <v>1855</v>
      </c>
      <c r="G64" s="1683"/>
      <c r="H64" s="1683"/>
      <c r="I64" s="1683"/>
      <c r="J64" s="1683"/>
      <c r="K64" s="1683"/>
      <c r="L64" s="1683"/>
      <c r="M64" s="1683"/>
      <c r="N64" s="1683"/>
      <c r="O64" s="1683"/>
      <c r="P64" s="1683"/>
      <c r="Q64" s="1683"/>
      <c r="R64" s="1683"/>
      <c r="S64" s="1683"/>
      <c r="T64" s="1683"/>
      <c r="U64" s="1683"/>
      <c r="V64" s="1683"/>
      <c r="W64" s="1683"/>
      <c r="X64" s="1683"/>
      <c r="Y64" s="1683"/>
      <c r="Z64" s="1683"/>
      <c r="AA64" s="1683"/>
      <c r="AB64" s="1683"/>
      <c r="AC64" s="1683"/>
      <c r="AD64" s="1683"/>
      <c r="AE64" s="1683"/>
      <c r="AF64" s="1683"/>
      <c r="AG64" s="1683"/>
      <c r="AH64" s="1683"/>
      <c r="AI64" s="1683"/>
      <c r="AJ64" s="1683"/>
      <c r="AK64" s="1683"/>
      <c r="AL64" s="1683"/>
      <c r="AM64" s="1683"/>
      <c r="AN64" s="1683"/>
      <c r="AO64" s="1683"/>
      <c r="AP64" s="1683"/>
      <c r="AQ64" s="1683"/>
      <c r="AR64" s="1683"/>
      <c r="AS64" s="1683"/>
      <c r="AT64" s="1683"/>
      <c r="AU64" s="1683"/>
      <c r="AV64" s="1683"/>
      <c r="AW64" s="1683"/>
      <c r="AX64" s="1683"/>
      <c r="AY64" s="1683"/>
      <c r="AZ64" s="1683"/>
      <c r="BA64" s="1683"/>
      <c r="BB64" s="1683"/>
      <c r="BC64" s="1683"/>
      <c r="BD64" s="1683"/>
      <c r="BE64" s="1683"/>
      <c r="BF64" s="1683"/>
      <c r="BG64" s="1683"/>
      <c r="BH64" s="1683"/>
      <c r="BI64" s="1683"/>
      <c r="BJ64" s="1683"/>
      <c r="BK64" s="1683"/>
      <c r="BL64" s="1683"/>
      <c r="BM64" s="1683"/>
      <c r="BN64" s="1683"/>
      <c r="BO64" s="1683"/>
      <c r="BP64" s="1683"/>
      <c r="BQ64" s="1683"/>
      <c r="BR64" s="1683"/>
      <c r="BS64" s="1683"/>
      <c r="BT64" s="1683"/>
      <c r="BU64" s="1683"/>
      <c r="BV64" s="1683"/>
      <c r="BW64" s="1683"/>
      <c r="BX64" s="1683"/>
      <c r="BY64" s="1683"/>
      <c r="BZ64" s="1683"/>
      <c r="CA64" s="1683"/>
      <c r="CB64" s="1683"/>
      <c r="CC64" s="1683"/>
      <c r="CD64" s="1683"/>
      <c r="CE64" s="1683"/>
      <c r="CF64" s="1683"/>
      <c r="CG64" s="1683"/>
      <c r="CH64" s="1683"/>
      <c r="CI64" s="1683"/>
      <c r="CJ64" s="1683"/>
      <c r="CK64" s="1683"/>
      <c r="CL64" s="1683"/>
      <c r="CM64" s="1683"/>
      <c r="CN64" s="1683"/>
      <c r="CO64" s="1683"/>
      <c r="CP64" s="1683"/>
      <c r="CQ64" s="1683"/>
      <c r="CR64" s="1683"/>
      <c r="CS64" s="1683"/>
      <c r="CT64" s="1683"/>
      <c r="CU64" s="1683"/>
      <c r="CV64" s="1683"/>
      <c r="CW64" s="1683"/>
      <c r="CX64" s="1683"/>
      <c r="CY64" s="1683"/>
      <c r="CZ64" s="1683"/>
      <c r="DA64" s="1683"/>
      <c r="DB64" s="1683"/>
      <c r="DC64" s="1683"/>
      <c r="DD64" s="1683"/>
      <c r="DE64" s="1683"/>
      <c r="DF64" s="1683"/>
      <c r="DG64" s="1683"/>
      <c r="DH64" s="1683"/>
      <c r="DI64" s="1683"/>
      <c r="DJ64" s="1683"/>
      <c r="DK64" s="1683"/>
      <c r="DL64" s="1683"/>
      <c r="DM64" s="1683"/>
      <c r="DN64" s="1683"/>
      <c r="DO64" s="1683"/>
      <c r="DP64" s="1683"/>
      <c r="DQ64" s="1683"/>
      <c r="DR64" s="1683"/>
      <c r="DS64" s="1683"/>
      <c r="DT64" s="1683"/>
      <c r="DU64" s="1683"/>
      <c r="DV64" s="1683"/>
      <c r="DW64" s="1683"/>
      <c r="DX64" s="1683"/>
      <c r="DY64" s="1683"/>
      <c r="DZ64" s="1683"/>
      <c r="EA64" s="1683"/>
      <c r="EB64" s="1683"/>
      <c r="EC64" s="1683"/>
      <c r="ED64" s="1683"/>
      <c r="EE64" s="1683"/>
      <c r="EF64" s="1683"/>
      <c r="EG64" s="1683"/>
      <c r="EH64" s="1683"/>
      <c r="EI64" s="1683"/>
      <c r="EJ64" s="1683"/>
      <c r="EK64" s="1683"/>
      <c r="EL64" s="1683"/>
      <c r="EM64" s="1683"/>
      <c r="EN64" s="1683"/>
      <c r="EO64" s="1683"/>
      <c r="EP64" s="1683"/>
      <c r="EQ64" s="1683"/>
      <c r="ER64" s="1683"/>
      <c r="ES64" s="1683"/>
      <c r="ET64" s="1683"/>
      <c r="EU64" s="1683"/>
      <c r="EV64" s="1683"/>
      <c r="EW64" s="1683"/>
      <c r="EX64" s="1683"/>
      <c r="EY64" s="1683"/>
      <c r="EZ64" s="1683"/>
      <c r="FA64" s="1683"/>
      <c r="FB64" s="1683"/>
      <c r="FC64" s="1683"/>
      <c r="FD64" s="1683"/>
      <c r="FE64" s="1683"/>
      <c r="FF64" s="1683"/>
      <c r="FG64" s="1683"/>
      <c r="FH64" s="1683"/>
      <c r="FI64" s="1683"/>
      <c r="FJ64" s="1683"/>
      <c r="FK64" s="1683"/>
      <c r="FL64" s="1683"/>
      <c r="FM64" s="1683"/>
      <c r="FN64" s="1683"/>
      <c r="FO64" s="1683"/>
      <c r="FP64" s="1683"/>
      <c r="FQ64" s="1683"/>
      <c r="FR64" s="1683"/>
      <c r="FS64" s="1683"/>
      <c r="FT64" s="1683"/>
      <c r="FU64" s="1683"/>
      <c r="FV64" s="1683"/>
      <c r="FW64" s="1683"/>
      <c r="FX64" s="1683"/>
      <c r="FY64" s="1683"/>
      <c r="FZ64" s="1683"/>
      <c r="GA64" s="1683"/>
      <c r="GB64" s="1683"/>
      <c r="GC64" s="1683"/>
      <c r="GD64" s="1683"/>
      <c r="GE64" s="1683"/>
      <c r="GF64" s="1683"/>
      <c r="GG64" s="1683"/>
      <c r="GH64" s="1683"/>
      <c r="GI64" s="1683"/>
      <c r="GJ64" s="1683"/>
      <c r="GK64" s="1683"/>
      <c r="GL64" s="1683"/>
      <c r="GM64" s="1683"/>
      <c r="GN64" s="1683"/>
      <c r="GO64" s="1683"/>
      <c r="GP64" s="1683"/>
      <c r="GQ64" s="1683"/>
      <c r="GR64" s="1683"/>
      <c r="GS64" s="1683"/>
      <c r="GT64" s="1683"/>
      <c r="GU64" s="1683"/>
      <c r="GV64" s="1683"/>
      <c r="GW64" s="1683"/>
      <c r="GX64" s="1683"/>
      <c r="GY64" s="1683"/>
      <c r="GZ64" s="1683"/>
      <c r="HA64" s="1683"/>
      <c r="HB64" s="1683"/>
      <c r="HC64" s="1683"/>
      <c r="HD64" s="1683"/>
      <c r="HE64" s="1683"/>
      <c r="HF64" s="1683"/>
      <c r="HG64" s="1683"/>
      <c r="HH64" s="1683"/>
      <c r="HI64" s="1683"/>
      <c r="HJ64" s="1683"/>
      <c r="HK64" s="1683"/>
      <c r="HL64" s="1683"/>
      <c r="HM64" s="1683"/>
      <c r="HN64" s="1683"/>
      <c r="HO64" s="1683"/>
      <c r="HP64" s="1683"/>
      <c r="HQ64" s="1683"/>
      <c r="HR64" s="1683"/>
      <c r="HS64" s="1683"/>
      <c r="HT64" s="1683"/>
      <c r="HU64" s="1683"/>
      <c r="HV64" s="1683"/>
      <c r="HW64" s="1683"/>
      <c r="HX64" s="1683"/>
      <c r="HY64" s="1683"/>
      <c r="HZ64" s="1683"/>
      <c r="IA64" s="1683"/>
      <c r="IB64" s="1683"/>
      <c r="IC64" s="1683"/>
      <c r="ID64" s="1683"/>
      <c r="IE64" s="1683"/>
      <c r="IF64" s="1683"/>
      <c r="IG64" s="1683"/>
      <c r="IH64" s="1683"/>
      <c r="II64" s="1683"/>
      <c r="IJ64" s="1683"/>
      <c r="IK64" s="1683"/>
      <c r="IL64" s="1683"/>
      <c r="IM64" s="1683"/>
      <c r="IN64" s="1683"/>
      <c r="IO64" s="1683"/>
      <c r="IP64" s="1683"/>
      <c r="IQ64" s="1683"/>
      <c r="IR64" s="1683"/>
      <c r="IS64" s="1683"/>
      <c r="IT64" s="1683"/>
      <c r="IU64" s="1683"/>
      <c r="IV64" s="1683"/>
    </row>
    <row r="65" spans="1:256" ht="13.5" x14ac:dyDescent="0.25">
      <c r="A65" s="1692" t="s">
        <v>145</v>
      </c>
      <c r="B65" s="1695"/>
      <c r="C65" s="4" t="s">
        <v>1816</v>
      </c>
      <c r="D65" s="4"/>
      <c r="E65" s="1430">
        <v>39541</v>
      </c>
      <c r="F65" s="257">
        <v>33067</v>
      </c>
      <c r="G65" s="1683"/>
      <c r="H65" s="1683"/>
      <c r="I65" s="1683"/>
      <c r="J65" s="1683"/>
      <c r="K65" s="1683"/>
      <c r="L65" s="1683"/>
      <c r="M65" s="1683"/>
      <c r="N65" s="1683"/>
      <c r="O65" s="1683"/>
      <c r="P65" s="1683"/>
      <c r="Q65" s="1683"/>
      <c r="R65" s="1683"/>
      <c r="S65" s="1683"/>
      <c r="T65" s="1683"/>
      <c r="U65" s="1683"/>
      <c r="V65" s="1683"/>
      <c r="W65" s="1683"/>
      <c r="X65" s="1683"/>
      <c r="Y65" s="1683"/>
      <c r="Z65" s="1683"/>
      <c r="AA65" s="1683"/>
      <c r="AB65" s="1683"/>
      <c r="AC65" s="1683"/>
      <c r="AD65" s="1683"/>
      <c r="AE65" s="1683"/>
      <c r="AF65" s="1683"/>
      <c r="AG65" s="1683"/>
      <c r="AH65" s="1683"/>
      <c r="AI65" s="1683"/>
      <c r="AJ65" s="1683"/>
      <c r="AK65" s="1683"/>
      <c r="AL65" s="1683"/>
      <c r="AM65" s="1683"/>
      <c r="AN65" s="1683"/>
      <c r="AO65" s="1683"/>
      <c r="AP65" s="1683"/>
      <c r="AQ65" s="1683"/>
      <c r="AR65" s="1683"/>
      <c r="AS65" s="1683"/>
      <c r="AT65" s="1683"/>
      <c r="AU65" s="1683"/>
      <c r="AV65" s="1683"/>
      <c r="AW65" s="1683"/>
      <c r="AX65" s="1683"/>
      <c r="AY65" s="1683"/>
      <c r="AZ65" s="1683"/>
      <c r="BA65" s="1683"/>
      <c r="BB65" s="1683"/>
      <c r="BC65" s="1683"/>
      <c r="BD65" s="1683"/>
      <c r="BE65" s="1683"/>
      <c r="BF65" s="1683"/>
      <c r="BG65" s="1683"/>
      <c r="BH65" s="1683"/>
      <c r="BI65" s="1683"/>
      <c r="BJ65" s="1683"/>
      <c r="BK65" s="1683"/>
      <c r="BL65" s="1683"/>
      <c r="BM65" s="1683"/>
      <c r="BN65" s="1683"/>
      <c r="BO65" s="1683"/>
      <c r="BP65" s="1683"/>
      <c r="BQ65" s="1683"/>
      <c r="BR65" s="1683"/>
      <c r="BS65" s="1683"/>
      <c r="BT65" s="1683"/>
      <c r="BU65" s="1683"/>
      <c r="BV65" s="1683"/>
      <c r="BW65" s="1683"/>
      <c r="BX65" s="1683"/>
      <c r="BY65" s="1683"/>
      <c r="BZ65" s="1683"/>
      <c r="CA65" s="1683"/>
      <c r="CB65" s="1683"/>
      <c r="CC65" s="1683"/>
      <c r="CD65" s="1683"/>
      <c r="CE65" s="1683"/>
      <c r="CF65" s="1683"/>
      <c r="CG65" s="1683"/>
      <c r="CH65" s="1683"/>
      <c r="CI65" s="1683"/>
      <c r="CJ65" s="1683"/>
      <c r="CK65" s="1683"/>
      <c r="CL65" s="1683"/>
      <c r="CM65" s="1683"/>
      <c r="CN65" s="1683"/>
      <c r="CO65" s="1683"/>
      <c r="CP65" s="1683"/>
      <c r="CQ65" s="1683"/>
      <c r="CR65" s="1683"/>
      <c r="CS65" s="1683"/>
      <c r="CT65" s="1683"/>
      <c r="CU65" s="1683"/>
      <c r="CV65" s="1683"/>
      <c r="CW65" s="1683"/>
      <c r="CX65" s="1683"/>
      <c r="CY65" s="1683"/>
      <c r="CZ65" s="1683"/>
      <c r="DA65" s="1683"/>
      <c r="DB65" s="1683"/>
      <c r="DC65" s="1683"/>
      <c r="DD65" s="1683"/>
      <c r="DE65" s="1683"/>
      <c r="DF65" s="1683"/>
      <c r="DG65" s="1683"/>
      <c r="DH65" s="1683"/>
      <c r="DI65" s="1683"/>
      <c r="DJ65" s="1683"/>
      <c r="DK65" s="1683"/>
      <c r="DL65" s="1683"/>
      <c r="DM65" s="1683"/>
      <c r="DN65" s="1683"/>
      <c r="DO65" s="1683"/>
      <c r="DP65" s="1683"/>
      <c r="DQ65" s="1683"/>
      <c r="DR65" s="1683"/>
      <c r="DS65" s="1683"/>
      <c r="DT65" s="1683"/>
      <c r="DU65" s="1683"/>
      <c r="DV65" s="1683"/>
      <c r="DW65" s="1683"/>
      <c r="DX65" s="1683"/>
      <c r="DY65" s="1683"/>
      <c r="DZ65" s="1683"/>
      <c r="EA65" s="1683"/>
      <c r="EB65" s="1683"/>
      <c r="EC65" s="1683"/>
      <c r="ED65" s="1683"/>
      <c r="EE65" s="1683"/>
      <c r="EF65" s="1683"/>
      <c r="EG65" s="1683"/>
      <c r="EH65" s="1683"/>
      <c r="EI65" s="1683"/>
      <c r="EJ65" s="1683"/>
      <c r="EK65" s="1683"/>
      <c r="EL65" s="1683"/>
      <c r="EM65" s="1683"/>
      <c r="EN65" s="1683"/>
      <c r="EO65" s="1683"/>
      <c r="EP65" s="1683"/>
      <c r="EQ65" s="1683"/>
      <c r="ER65" s="1683"/>
      <c r="ES65" s="1683"/>
      <c r="ET65" s="1683"/>
      <c r="EU65" s="1683"/>
      <c r="EV65" s="1683"/>
      <c r="EW65" s="1683"/>
      <c r="EX65" s="1683"/>
      <c r="EY65" s="1683"/>
      <c r="EZ65" s="1683"/>
      <c r="FA65" s="1683"/>
      <c r="FB65" s="1683"/>
      <c r="FC65" s="1683"/>
      <c r="FD65" s="1683"/>
      <c r="FE65" s="1683"/>
      <c r="FF65" s="1683"/>
      <c r="FG65" s="1683"/>
      <c r="FH65" s="1683"/>
      <c r="FI65" s="1683"/>
      <c r="FJ65" s="1683"/>
      <c r="FK65" s="1683"/>
      <c r="FL65" s="1683"/>
      <c r="FM65" s="1683"/>
      <c r="FN65" s="1683"/>
      <c r="FO65" s="1683"/>
      <c r="FP65" s="1683"/>
      <c r="FQ65" s="1683"/>
      <c r="FR65" s="1683"/>
      <c r="FS65" s="1683"/>
      <c r="FT65" s="1683"/>
      <c r="FU65" s="1683"/>
      <c r="FV65" s="1683"/>
      <c r="FW65" s="1683"/>
      <c r="FX65" s="1683"/>
      <c r="FY65" s="1683"/>
      <c r="FZ65" s="1683"/>
      <c r="GA65" s="1683"/>
      <c r="GB65" s="1683"/>
      <c r="GC65" s="1683"/>
      <c r="GD65" s="1683"/>
      <c r="GE65" s="1683"/>
      <c r="GF65" s="1683"/>
      <c r="GG65" s="1683"/>
      <c r="GH65" s="1683"/>
      <c r="GI65" s="1683"/>
      <c r="GJ65" s="1683"/>
      <c r="GK65" s="1683"/>
      <c r="GL65" s="1683"/>
      <c r="GM65" s="1683"/>
      <c r="GN65" s="1683"/>
      <c r="GO65" s="1683"/>
      <c r="GP65" s="1683"/>
      <c r="GQ65" s="1683"/>
      <c r="GR65" s="1683"/>
      <c r="GS65" s="1683"/>
      <c r="GT65" s="1683"/>
      <c r="GU65" s="1683"/>
      <c r="GV65" s="1683"/>
      <c r="GW65" s="1683"/>
      <c r="GX65" s="1683"/>
      <c r="GY65" s="1683"/>
      <c r="GZ65" s="1683"/>
      <c r="HA65" s="1683"/>
      <c r="HB65" s="1683"/>
      <c r="HC65" s="1683"/>
      <c r="HD65" s="1683"/>
      <c r="HE65" s="1683"/>
      <c r="HF65" s="1683"/>
      <c r="HG65" s="1683"/>
      <c r="HH65" s="1683"/>
      <c r="HI65" s="1683"/>
      <c r="HJ65" s="1683"/>
      <c r="HK65" s="1683"/>
      <c r="HL65" s="1683"/>
      <c r="HM65" s="1683"/>
      <c r="HN65" s="1683"/>
      <c r="HO65" s="1683"/>
      <c r="HP65" s="1683"/>
      <c r="HQ65" s="1683"/>
      <c r="HR65" s="1683"/>
      <c r="HS65" s="1683"/>
      <c r="HT65" s="1683"/>
      <c r="HU65" s="1683"/>
      <c r="HV65" s="1683"/>
      <c r="HW65" s="1683"/>
      <c r="HX65" s="1683"/>
      <c r="HY65" s="1683"/>
      <c r="HZ65" s="1683"/>
      <c r="IA65" s="1683"/>
      <c r="IB65" s="1683"/>
      <c r="IC65" s="1683"/>
      <c r="ID65" s="1683"/>
      <c r="IE65" s="1683"/>
      <c r="IF65" s="1683"/>
      <c r="IG65" s="1683"/>
      <c r="IH65" s="1683"/>
      <c r="II65" s="1683"/>
      <c r="IJ65" s="1683"/>
      <c r="IK65" s="1683"/>
      <c r="IL65" s="1683"/>
      <c r="IM65" s="1683"/>
      <c r="IN65" s="1683"/>
      <c r="IO65" s="1683"/>
      <c r="IP65" s="1683"/>
      <c r="IQ65" s="1683"/>
      <c r="IR65" s="1683"/>
      <c r="IS65" s="1683"/>
      <c r="IT65" s="1683"/>
      <c r="IU65" s="1683"/>
      <c r="IV65" s="1683"/>
    </row>
    <row r="66" spans="1:256" s="4" customFormat="1" ht="13.5" x14ac:dyDescent="0.25">
      <c r="A66" s="1692" t="s">
        <v>146</v>
      </c>
      <c r="B66" s="2159" t="s">
        <v>1817</v>
      </c>
      <c r="C66" s="2159"/>
      <c r="D66" s="1699"/>
      <c r="E66" s="1700">
        <f>SUM(E11:E65)</f>
        <v>437365</v>
      </c>
      <c r="F66" s="1700">
        <f>SUM(F11:F65)</f>
        <v>393796</v>
      </c>
    </row>
    <row r="67" spans="1:256" x14ac:dyDescent="0.2">
      <c r="A67" s="1692" t="s">
        <v>148</v>
      </c>
      <c r="B67" s="2156" t="s">
        <v>1714</v>
      </c>
      <c r="C67" s="2156"/>
      <c r="D67" s="1657"/>
      <c r="E67" s="1657"/>
      <c r="F67" s="170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 spans="1:256" x14ac:dyDescent="0.2">
      <c r="A68" s="1692" t="s">
        <v>151</v>
      </c>
      <c r="B68" s="1695" t="s">
        <v>1818</v>
      </c>
      <c r="C68" s="4" t="s">
        <v>1819</v>
      </c>
      <c r="D68" s="4" t="s">
        <v>1766</v>
      </c>
      <c r="E68" s="257">
        <v>64028</v>
      </c>
      <c r="F68" s="257">
        <v>38777</v>
      </c>
      <c r="G68" s="4"/>
      <c r="H68" s="4"/>
      <c r="I68" s="4"/>
      <c r="J68" s="140"/>
      <c r="K68" s="4"/>
      <c r="L68" s="140"/>
      <c r="M68" s="4"/>
      <c r="N68" s="14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 spans="1:256" s="1684" customFormat="1" ht="13.5" x14ac:dyDescent="0.25">
      <c r="A69" s="1692" t="s">
        <v>153</v>
      </c>
      <c r="B69" s="1695" t="s">
        <v>1820</v>
      </c>
      <c r="C69" s="4" t="s">
        <v>1821</v>
      </c>
      <c r="D69" s="4" t="s">
        <v>1822</v>
      </c>
      <c r="E69" s="257">
        <v>42012</v>
      </c>
      <c r="F69" s="257">
        <v>28237</v>
      </c>
      <c r="G69" s="1683"/>
      <c r="H69" s="4"/>
      <c r="I69" s="4"/>
      <c r="J69" s="140"/>
      <c r="K69" s="4"/>
      <c r="L69" s="4"/>
      <c r="M69" s="1679"/>
      <c r="N69" s="1683"/>
      <c r="O69" s="1683"/>
      <c r="P69" s="1683"/>
      <c r="Q69" s="1683"/>
      <c r="R69" s="1683"/>
      <c r="S69" s="1683"/>
      <c r="T69" s="1683"/>
      <c r="U69" s="1683"/>
      <c r="V69" s="1683"/>
      <c r="W69" s="1683"/>
      <c r="X69" s="1683"/>
      <c r="Y69" s="1683"/>
      <c r="Z69" s="1683"/>
      <c r="AA69" s="1683"/>
      <c r="AB69" s="1683"/>
      <c r="AC69" s="1683"/>
      <c r="AD69" s="1683"/>
      <c r="AE69" s="1683"/>
      <c r="AF69" s="1683"/>
      <c r="AG69" s="1683"/>
      <c r="AH69" s="1683"/>
      <c r="AI69" s="1683"/>
      <c r="AJ69" s="1683"/>
      <c r="AK69" s="1683"/>
      <c r="AL69" s="1683"/>
      <c r="AM69" s="1683"/>
      <c r="AN69" s="1683"/>
      <c r="AO69" s="1683"/>
      <c r="AP69" s="1683"/>
      <c r="AQ69" s="1683"/>
      <c r="AR69" s="1683"/>
      <c r="AS69" s="1683"/>
      <c r="AT69" s="1683"/>
      <c r="AU69" s="1683"/>
      <c r="AV69" s="1683"/>
      <c r="AW69" s="1683"/>
      <c r="AX69" s="1683"/>
      <c r="AY69" s="1683"/>
      <c r="AZ69" s="1683"/>
      <c r="BA69" s="1683"/>
      <c r="BB69" s="1683"/>
      <c r="BC69" s="1683"/>
      <c r="BD69" s="1683"/>
      <c r="BE69" s="1683"/>
      <c r="BF69" s="1683"/>
      <c r="BG69" s="1683"/>
      <c r="BH69" s="1683"/>
      <c r="BI69" s="1683"/>
      <c r="BJ69" s="1683"/>
      <c r="BK69" s="1683"/>
      <c r="BL69" s="1683"/>
      <c r="BM69" s="1683"/>
      <c r="BN69" s="1683"/>
      <c r="BO69" s="1683"/>
      <c r="BP69" s="1683"/>
      <c r="BQ69" s="1683"/>
      <c r="BR69" s="1683"/>
      <c r="BS69" s="1683"/>
      <c r="BT69" s="1683"/>
      <c r="BU69" s="1683"/>
      <c r="BV69" s="1683"/>
      <c r="BW69" s="1683"/>
      <c r="BX69" s="1683"/>
      <c r="BY69" s="1683"/>
      <c r="BZ69" s="1683"/>
      <c r="CA69" s="1683"/>
      <c r="CB69" s="1683"/>
      <c r="CC69" s="1683"/>
      <c r="CD69" s="1683"/>
      <c r="CE69" s="1683"/>
      <c r="CF69" s="1683"/>
      <c r="CG69" s="1683"/>
      <c r="CH69" s="1683"/>
      <c r="CI69" s="1683"/>
      <c r="CJ69" s="1683"/>
      <c r="CK69" s="1683"/>
      <c r="CL69" s="1683"/>
      <c r="CM69" s="1683"/>
      <c r="CN69" s="1683"/>
      <c r="CO69" s="1683"/>
      <c r="CP69" s="1683"/>
      <c r="CQ69" s="1683"/>
      <c r="CR69" s="1683"/>
      <c r="CS69" s="1683"/>
      <c r="CT69" s="1683"/>
      <c r="CU69" s="1683"/>
      <c r="CV69" s="1683"/>
      <c r="CW69" s="1683"/>
      <c r="CX69" s="1683"/>
      <c r="CY69" s="1683"/>
      <c r="CZ69" s="1683"/>
      <c r="DA69" s="1683"/>
      <c r="DB69" s="1683"/>
      <c r="DC69" s="1683"/>
      <c r="DD69" s="1683"/>
      <c r="DE69" s="1683"/>
      <c r="DF69" s="1683"/>
      <c r="DG69" s="1683"/>
      <c r="DH69" s="1683"/>
      <c r="DI69" s="1683"/>
      <c r="DJ69" s="1683"/>
      <c r="DK69" s="1683"/>
      <c r="DL69" s="1683"/>
      <c r="DM69" s="1683"/>
      <c r="DN69" s="1683"/>
      <c r="DO69" s="1683"/>
      <c r="DP69" s="1683"/>
      <c r="DQ69" s="1683"/>
      <c r="DR69" s="1683"/>
      <c r="DS69" s="1683"/>
      <c r="DT69" s="1683"/>
      <c r="DU69" s="1683"/>
      <c r="DV69" s="1683"/>
      <c r="DW69" s="1683"/>
      <c r="DX69" s="1683"/>
      <c r="DY69" s="1683"/>
      <c r="DZ69" s="1683"/>
      <c r="EA69" s="1683"/>
      <c r="EB69" s="1683"/>
      <c r="EC69" s="1683"/>
      <c r="ED69" s="1683"/>
      <c r="EE69" s="1683"/>
      <c r="EF69" s="1683"/>
      <c r="EG69" s="1683"/>
      <c r="EH69" s="1683"/>
      <c r="EI69" s="1683"/>
      <c r="EJ69" s="1683"/>
      <c r="EK69" s="1683"/>
      <c r="EL69" s="1683"/>
      <c r="EM69" s="1683"/>
      <c r="EN69" s="1683"/>
      <c r="EO69" s="1683"/>
      <c r="EP69" s="1683"/>
      <c r="EQ69" s="1683"/>
      <c r="ER69" s="1683"/>
      <c r="ES69" s="1683"/>
      <c r="ET69" s="1683"/>
      <c r="EU69" s="1683"/>
      <c r="EV69" s="1683"/>
      <c r="EW69" s="1683"/>
      <c r="EX69" s="1683"/>
      <c r="EY69" s="1683"/>
      <c r="EZ69" s="1683"/>
      <c r="FA69" s="1683"/>
      <c r="FB69" s="1683"/>
      <c r="FC69" s="1683"/>
      <c r="FD69" s="1683"/>
      <c r="FE69" s="1683"/>
      <c r="FF69" s="1683"/>
      <c r="FG69" s="1683"/>
      <c r="FH69" s="1683"/>
      <c r="FI69" s="1683"/>
      <c r="FJ69" s="1683"/>
      <c r="FK69" s="1683"/>
      <c r="FL69" s="1683"/>
      <c r="FM69" s="1683"/>
      <c r="FN69" s="1683"/>
      <c r="FO69" s="1683"/>
      <c r="FP69" s="1683"/>
      <c r="FQ69" s="1683"/>
      <c r="FR69" s="1683"/>
      <c r="FS69" s="1683"/>
      <c r="FT69" s="1683"/>
      <c r="FU69" s="1683"/>
      <c r="FV69" s="1683"/>
      <c r="FW69" s="1683"/>
      <c r="FX69" s="1683"/>
      <c r="FY69" s="1683"/>
      <c r="FZ69" s="1683"/>
      <c r="GA69" s="1683"/>
      <c r="GB69" s="1683"/>
      <c r="GC69" s="1683"/>
      <c r="GD69" s="1683"/>
      <c r="GE69" s="1683"/>
      <c r="GF69" s="1683"/>
      <c r="GG69" s="1683"/>
      <c r="GH69" s="1683"/>
      <c r="GI69" s="1683"/>
      <c r="GJ69" s="1683"/>
      <c r="GK69" s="1683"/>
      <c r="GL69" s="1683"/>
      <c r="GM69" s="1683"/>
      <c r="GN69" s="1683"/>
      <c r="GO69" s="1683"/>
      <c r="GP69" s="1683"/>
      <c r="GQ69" s="1683"/>
      <c r="GR69" s="1683"/>
      <c r="GS69" s="1683"/>
      <c r="GT69" s="1683"/>
      <c r="GU69" s="1683"/>
      <c r="GV69" s="1683"/>
      <c r="GW69" s="1683"/>
      <c r="GX69" s="1683"/>
      <c r="GY69" s="1683"/>
      <c r="GZ69" s="1683"/>
      <c r="HA69" s="1683"/>
      <c r="HB69" s="1683"/>
      <c r="HC69" s="1683"/>
      <c r="HD69" s="1683"/>
      <c r="HE69" s="1683"/>
      <c r="HF69" s="1683"/>
      <c r="HG69" s="1683"/>
      <c r="HH69" s="1683"/>
      <c r="HI69" s="1683"/>
      <c r="HJ69" s="1683"/>
      <c r="HK69" s="1683"/>
      <c r="HL69" s="1683"/>
      <c r="HM69" s="1683"/>
      <c r="HN69" s="1683"/>
      <c r="HO69" s="1683"/>
      <c r="HP69" s="1683"/>
      <c r="HQ69" s="1683"/>
      <c r="HR69" s="1683"/>
      <c r="HS69" s="1683"/>
      <c r="HT69" s="1683"/>
      <c r="HU69" s="1683"/>
      <c r="HV69" s="1683"/>
      <c r="HW69" s="1683"/>
      <c r="HX69" s="1683"/>
      <c r="HY69" s="1683"/>
      <c r="HZ69" s="1683"/>
      <c r="IA69" s="1683"/>
      <c r="IB69" s="1683"/>
      <c r="IC69" s="1683"/>
      <c r="ID69" s="1683"/>
      <c r="IE69" s="1683"/>
      <c r="IF69" s="1683"/>
      <c r="IG69" s="1683"/>
      <c r="IH69" s="1683"/>
      <c r="II69" s="1683"/>
      <c r="IJ69" s="1683"/>
      <c r="IK69" s="1683"/>
      <c r="IL69" s="1683"/>
      <c r="IM69" s="1683"/>
      <c r="IN69" s="1683"/>
      <c r="IO69" s="1683"/>
      <c r="IP69" s="1683"/>
      <c r="IQ69" s="1683"/>
      <c r="IR69" s="1683"/>
      <c r="IS69" s="1683"/>
      <c r="IT69" s="1683"/>
      <c r="IU69" s="1683"/>
      <c r="IV69" s="1683"/>
    </row>
    <row r="70" spans="1:256" x14ac:dyDescent="0.2">
      <c r="A70" s="1692" t="s">
        <v>154</v>
      </c>
      <c r="B70" s="1695" t="s">
        <v>1823</v>
      </c>
      <c r="C70" s="4" t="s">
        <v>1824</v>
      </c>
      <c r="D70" s="4" t="s">
        <v>1825</v>
      </c>
      <c r="E70" s="257">
        <v>15114</v>
      </c>
      <c r="F70" s="257">
        <v>11929</v>
      </c>
      <c r="G70" s="4"/>
      <c r="H70" s="4"/>
      <c r="I70" s="4"/>
      <c r="J70" s="140"/>
      <c r="K70" s="4"/>
      <c r="L70" s="140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 spans="1:256" x14ac:dyDescent="0.2">
      <c r="A71" s="1692" t="s">
        <v>155</v>
      </c>
      <c r="B71" s="1695" t="s">
        <v>1826</v>
      </c>
      <c r="C71" s="4" t="s">
        <v>1827</v>
      </c>
      <c r="D71" s="4" t="s">
        <v>1763</v>
      </c>
      <c r="E71" s="257">
        <v>4000</v>
      </c>
      <c r="F71" s="257">
        <v>3726</v>
      </c>
      <c r="H71" s="4"/>
      <c r="I71" s="4"/>
      <c r="J71" s="140"/>
      <c r="K71" s="4"/>
      <c r="L71" s="4"/>
      <c r="M71" s="4"/>
    </row>
    <row r="72" spans="1:256" s="1684" customFormat="1" ht="13.5" x14ac:dyDescent="0.25">
      <c r="A72" s="1692" t="s">
        <v>1046</v>
      </c>
      <c r="B72" s="1695" t="s">
        <v>1828</v>
      </c>
      <c r="C72" s="4" t="s">
        <v>1829</v>
      </c>
      <c r="D72" s="4" t="s">
        <v>1830</v>
      </c>
      <c r="E72" s="257">
        <v>20081</v>
      </c>
      <c r="F72" s="257">
        <v>18273</v>
      </c>
      <c r="G72" s="1683"/>
      <c r="H72" s="4"/>
      <c r="I72" s="4"/>
      <c r="J72" s="140"/>
      <c r="K72" s="4"/>
      <c r="L72" s="4"/>
      <c r="M72" s="1679"/>
      <c r="N72" s="1683"/>
      <c r="O72" s="1683"/>
      <c r="P72" s="1683"/>
      <c r="Q72" s="1683"/>
      <c r="R72" s="1683"/>
      <c r="S72" s="1683"/>
      <c r="T72" s="1683"/>
      <c r="U72" s="1683"/>
      <c r="V72" s="1683"/>
      <c r="W72" s="1683"/>
      <c r="X72" s="1683"/>
      <c r="Y72" s="1683"/>
      <c r="Z72" s="1683"/>
      <c r="AA72" s="1683"/>
      <c r="AB72" s="1683"/>
      <c r="AC72" s="1683"/>
      <c r="AD72" s="1683"/>
      <c r="AE72" s="1683"/>
      <c r="AF72" s="1683"/>
      <c r="AG72" s="1683"/>
      <c r="AH72" s="1683"/>
      <c r="AI72" s="1683"/>
      <c r="AJ72" s="1683"/>
      <c r="AK72" s="1683"/>
      <c r="AL72" s="1683"/>
      <c r="AM72" s="1683"/>
      <c r="AN72" s="1683"/>
      <c r="AO72" s="1683"/>
      <c r="AP72" s="1683"/>
      <c r="AQ72" s="1683"/>
      <c r="AR72" s="1683"/>
      <c r="AS72" s="1683"/>
      <c r="AT72" s="1683"/>
      <c r="AU72" s="1683"/>
      <c r="AV72" s="1683"/>
      <c r="AW72" s="1683"/>
      <c r="AX72" s="1683"/>
      <c r="AY72" s="1683"/>
      <c r="AZ72" s="1683"/>
      <c r="BA72" s="1683"/>
      <c r="BB72" s="1683"/>
      <c r="BC72" s="1683"/>
      <c r="BD72" s="1683"/>
      <c r="BE72" s="1683"/>
      <c r="BF72" s="1683"/>
      <c r="BG72" s="1683"/>
      <c r="BH72" s="1683"/>
      <c r="BI72" s="1683"/>
      <c r="BJ72" s="1683"/>
      <c r="BK72" s="1683"/>
      <c r="BL72" s="1683"/>
      <c r="BM72" s="1683"/>
      <c r="BN72" s="1683"/>
      <c r="BO72" s="1683"/>
      <c r="BP72" s="1683"/>
      <c r="BQ72" s="1683"/>
      <c r="BR72" s="1683"/>
      <c r="BS72" s="1683"/>
      <c r="BT72" s="1683"/>
      <c r="BU72" s="1683"/>
      <c r="BV72" s="1683"/>
      <c r="BW72" s="1683"/>
      <c r="BX72" s="1683"/>
      <c r="BY72" s="1683"/>
      <c r="BZ72" s="1683"/>
      <c r="CA72" s="1683"/>
      <c r="CB72" s="1683"/>
      <c r="CC72" s="1683"/>
      <c r="CD72" s="1683"/>
      <c r="CE72" s="1683"/>
      <c r="CF72" s="1683"/>
      <c r="CG72" s="1683"/>
      <c r="CH72" s="1683"/>
      <c r="CI72" s="1683"/>
      <c r="CJ72" s="1683"/>
      <c r="CK72" s="1683"/>
      <c r="CL72" s="1683"/>
      <c r="CM72" s="1683"/>
      <c r="CN72" s="1683"/>
      <c r="CO72" s="1683"/>
      <c r="CP72" s="1683"/>
      <c r="CQ72" s="1683"/>
      <c r="CR72" s="1683"/>
      <c r="CS72" s="1683"/>
      <c r="CT72" s="1683"/>
      <c r="CU72" s="1683"/>
      <c r="CV72" s="1683"/>
      <c r="CW72" s="1683"/>
      <c r="CX72" s="1683"/>
      <c r="CY72" s="1683"/>
      <c r="CZ72" s="1683"/>
      <c r="DA72" s="1683"/>
      <c r="DB72" s="1683"/>
      <c r="DC72" s="1683"/>
      <c r="DD72" s="1683"/>
      <c r="DE72" s="1683"/>
      <c r="DF72" s="1683"/>
      <c r="DG72" s="1683"/>
      <c r="DH72" s="1683"/>
      <c r="DI72" s="1683"/>
      <c r="DJ72" s="1683"/>
      <c r="DK72" s="1683"/>
      <c r="DL72" s="1683"/>
      <c r="DM72" s="1683"/>
      <c r="DN72" s="1683"/>
      <c r="DO72" s="1683"/>
      <c r="DP72" s="1683"/>
      <c r="DQ72" s="1683"/>
      <c r="DR72" s="1683"/>
      <c r="DS72" s="1683"/>
      <c r="DT72" s="1683"/>
      <c r="DU72" s="1683"/>
      <c r="DV72" s="1683"/>
      <c r="DW72" s="1683"/>
      <c r="DX72" s="1683"/>
      <c r="DY72" s="1683"/>
      <c r="DZ72" s="1683"/>
      <c r="EA72" s="1683"/>
      <c r="EB72" s="1683"/>
      <c r="EC72" s="1683"/>
      <c r="ED72" s="1683"/>
      <c r="EE72" s="1683"/>
      <c r="EF72" s="1683"/>
      <c r="EG72" s="1683"/>
      <c r="EH72" s="1683"/>
      <c r="EI72" s="1683"/>
      <c r="EJ72" s="1683"/>
      <c r="EK72" s="1683"/>
      <c r="EL72" s="1683"/>
      <c r="EM72" s="1683"/>
      <c r="EN72" s="1683"/>
      <c r="EO72" s="1683"/>
      <c r="EP72" s="1683"/>
      <c r="EQ72" s="1683"/>
      <c r="ER72" s="1683"/>
      <c r="ES72" s="1683"/>
      <c r="ET72" s="1683"/>
      <c r="EU72" s="1683"/>
      <c r="EV72" s="1683"/>
      <c r="EW72" s="1683"/>
      <c r="EX72" s="1683"/>
      <c r="EY72" s="1683"/>
      <c r="EZ72" s="1683"/>
      <c r="FA72" s="1683"/>
      <c r="FB72" s="1683"/>
      <c r="FC72" s="1683"/>
      <c r="FD72" s="1683"/>
      <c r="FE72" s="1683"/>
      <c r="FF72" s="1683"/>
      <c r="FG72" s="1683"/>
      <c r="FH72" s="1683"/>
      <c r="FI72" s="1683"/>
      <c r="FJ72" s="1683"/>
      <c r="FK72" s="1683"/>
      <c r="FL72" s="1683"/>
      <c r="FM72" s="1683"/>
      <c r="FN72" s="1683"/>
      <c r="FO72" s="1683"/>
      <c r="FP72" s="1683"/>
      <c r="FQ72" s="1683"/>
      <c r="FR72" s="1683"/>
      <c r="FS72" s="1683"/>
      <c r="FT72" s="1683"/>
      <c r="FU72" s="1683"/>
      <c r="FV72" s="1683"/>
      <c r="FW72" s="1683"/>
      <c r="FX72" s="1683"/>
      <c r="FY72" s="1683"/>
      <c r="FZ72" s="1683"/>
      <c r="GA72" s="1683"/>
      <c r="GB72" s="1683"/>
      <c r="GC72" s="1683"/>
      <c r="GD72" s="1683"/>
      <c r="GE72" s="1683"/>
      <c r="GF72" s="1683"/>
      <c r="GG72" s="1683"/>
      <c r="GH72" s="1683"/>
      <c r="GI72" s="1683"/>
      <c r="GJ72" s="1683"/>
      <c r="GK72" s="1683"/>
      <c r="GL72" s="1683"/>
      <c r="GM72" s="1683"/>
      <c r="GN72" s="1683"/>
      <c r="GO72" s="1683"/>
      <c r="GP72" s="1683"/>
      <c r="GQ72" s="1683"/>
      <c r="GR72" s="1683"/>
      <c r="GS72" s="1683"/>
      <c r="GT72" s="1683"/>
      <c r="GU72" s="1683"/>
      <c r="GV72" s="1683"/>
      <c r="GW72" s="1683"/>
      <c r="GX72" s="1683"/>
      <c r="GY72" s="1683"/>
      <c r="GZ72" s="1683"/>
      <c r="HA72" s="1683"/>
      <c r="HB72" s="1683"/>
      <c r="HC72" s="1683"/>
      <c r="HD72" s="1683"/>
      <c r="HE72" s="1683"/>
      <c r="HF72" s="1683"/>
      <c r="HG72" s="1683"/>
      <c r="HH72" s="1683"/>
      <c r="HI72" s="1683"/>
      <c r="HJ72" s="1683"/>
      <c r="HK72" s="1683"/>
      <c r="HL72" s="1683"/>
      <c r="HM72" s="1683"/>
      <c r="HN72" s="1683"/>
      <c r="HO72" s="1683"/>
      <c r="HP72" s="1683"/>
      <c r="HQ72" s="1683"/>
      <c r="HR72" s="1683"/>
      <c r="HS72" s="1683"/>
      <c r="HT72" s="1683"/>
      <c r="HU72" s="1683"/>
      <c r="HV72" s="1683"/>
      <c r="HW72" s="1683"/>
      <c r="HX72" s="1683"/>
      <c r="HY72" s="1683"/>
      <c r="HZ72" s="1683"/>
      <c r="IA72" s="1683"/>
      <c r="IB72" s="1683"/>
      <c r="IC72" s="1683"/>
      <c r="ID72" s="1683"/>
      <c r="IE72" s="1683"/>
      <c r="IF72" s="1683"/>
      <c r="IG72" s="1683"/>
      <c r="IH72" s="1683"/>
      <c r="II72" s="1683"/>
      <c r="IJ72" s="1683"/>
      <c r="IK72" s="1683"/>
      <c r="IL72" s="1683"/>
      <c r="IM72" s="1683"/>
      <c r="IN72" s="1683"/>
      <c r="IO72" s="1683"/>
      <c r="IP72" s="1683"/>
      <c r="IQ72" s="1683"/>
      <c r="IR72" s="1683"/>
      <c r="IS72" s="1683"/>
      <c r="IT72" s="1683"/>
      <c r="IU72" s="1683"/>
      <c r="IV72" s="1683"/>
    </row>
    <row r="73" spans="1:256" x14ac:dyDescent="0.2">
      <c r="A73" s="1692" t="s">
        <v>1047</v>
      </c>
      <c r="B73" s="1695" t="s">
        <v>1831</v>
      </c>
      <c r="C73" s="4" t="s">
        <v>1832</v>
      </c>
      <c r="D73" s="4" t="s">
        <v>1833</v>
      </c>
      <c r="E73" s="257">
        <v>62677</v>
      </c>
      <c r="F73" s="257">
        <v>57477</v>
      </c>
      <c r="H73" s="4"/>
      <c r="I73" s="4"/>
      <c r="J73" s="140"/>
      <c r="K73" s="4"/>
      <c r="L73" s="140"/>
      <c r="M73" s="4"/>
      <c r="N73" s="4"/>
      <c r="O73" s="4"/>
      <c r="P73" s="4"/>
    </row>
    <row r="74" spans="1:256" x14ac:dyDescent="0.2">
      <c r="A74" s="1692" t="s">
        <v>1236</v>
      </c>
      <c r="B74" s="1695" t="s">
        <v>1834</v>
      </c>
      <c r="C74" s="4" t="s">
        <v>1835</v>
      </c>
      <c r="D74" s="4" t="s">
        <v>1836</v>
      </c>
      <c r="E74" s="257">
        <v>87305</v>
      </c>
      <c r="F74" s="257">
        <v>85651</v>
      </c>
      <c r="H74" s="4"/>
      <c r="I74" s="4"/>
      <c r="J74" s="4"/>
      <c r="K74" s="4"/>
      <c r="L74" s="4"/>
      <c r="M74" s="4"/>
    </row>
    <row r="75" spans="1:256" x14ac:dyDescent="0.2">
      <c r="A75" s="1692" t="s">
        <v>1237</v>
      </c>
      <c r="B75" s="1695" t="s">
        <v>1837</v>
      </c>
      <c r="C75" s="4" t="s">
        <v>1765</v>
      </c>
      <c r="D75" s="4" t="s">
        <v>1838</v>
      </c>
      <c r="E75" s="257">
        <v>86856</v>
      </c>
      <c r="F75" s="257">
        <v>84077</v>
      </c>
      <c r="H75" s="4"/>
      <c r="I75" s="4"/>
      <c r="J75" s="140"/>
      <c r="K75" s="4"/>
      <c r="L75" s="4"/>
      <c r="M75" s="4"/>
    </row>
    <row r="76" spans="1:256" x14ac:dyDescent="0.2">
      <c r="A76" s="1692" t="s">
        <v>1238</v>
      </c>
      <c r="B76" s="1695" t="s">
        <v>1839</v>
      </c>
      <c r="C76" s="4" t="s">
        <v>1765</v>
      </c>
      <c r="D76" s="4" t="s">
        <v>1840</v>
      </c>
      <c r="E76" s="257">
        <v>412340</v>
      </c>
      <c r="F76" s="257">
        <v>379678</v>
      </c>
    </row>
    <row r="77" spans="1:256" x14ac:dyDescent="0.2">
      <c r="A77" s="1692" t="s">
        <v>1310</v>
      </c>
      <c r="B77" s="1695" t="s">
        <v>1841</v>
      </c>
      <c r="C77" s="4" t="s">
        <v>1765</v>
      </c>
      <c r="D77" s="4" t="s">
        <v>1840</v>
      </c>
      <c r="E77" s="257">
        <v>150336</v>
      </c>
      <c r="F77" s="257">
        <v>150336</v>
      </c>
    </row>
    <row r="78" spans="1:256" x14ac:dyDescent="0.2">
      <c r="A78" s="1692" t="s">
        <v>1311</v>
      </c>
      <c r="B78" s="1695" t="s">
        <v>1842</v>
      </c>
      <c r="C78" s="4" t="s">
        <v>1843</v>
      </c>
      <c r="D78" s="4" t="s">
        <v>1844</v>
      </c>
      <c r="E78" s="257">
        <v>189924</v>
      </c>
      <c r="F78" s="257">
        <v>168136</v>
      </c>
      <c r="G78" s="4"/>
    </row>
    <row r="79" spans="1:256" x14ac:dyDescent="0.2">
      <c r="A79" s="1692" t="s">
        <v>1317</v>
      </c>
      <c r="B79" s="1695" t="s">
        <v>1845</v>
      </c>
      <c r="C79" s="4" t="s">
        <v>1846</v>
      </c>
      <c r="D79" s="4" t="s">
        <v>1766</v>
      </c>
      <c r="E79" s="257">
        <v>194425</v>
      </c>
      <c r="F79" s="257">
        <v>161053</v>
      </c>
    </row>
    <row r="80" spans="1:256" x14ac:dyDescent="0.2">
      <c r="A80" s="1692" t="s">
        <v>1318</v>
      </c>
      <c r="B80" s="1695" t="s">
        <v>1847</v>
      </c>
      <c r="C80" s="4" t="s">
        <v>1848</v>
      </c>
      <c r="D80" s="4" t="s">
        <v>1849</v>
      </c>
      <c r="E80" s="257">
        <v>102770</v>
      </c>
      <c r="F80" s="257">
        <v>91470</v>
      </c>
    </row>
    <row r="81" spans="1:256" x14ac:dyDescent="0.2">
      <c r="A81" s="1692" t="s">
        <v>1320</v>
      </c>
      <c r="B81" s="1695" t="s">
        <v>1850</v>
      </c>
      <c r="C81" s="4" t="s">
        <v>1851</v>
      </c>
      <c r="D81" s="4" t="s">
        <v>1849</v>
      </c>
      <c r="E81" s="257">
        <v>23195</v>
      </c>
      <c r="F81" s="257">
        <v>21438</v>
      </c>
    </row>
    <row r="82" spans="1:256" x14ac:dyDescent="0.2">
      <c r="A82" s="1692" t="s">
        <v>1321</v>
      </c>
      <c r="B82" s="1695" t="s">
        <v>1852</v>
      </c>
      <c r="C82" s="4" t="s">
        <v>1853</v>
      </c>
      <c r="D82" s="4" t="s">
        <v>1854</v>
      </c>
      <c r="E82" s="257">
        <v>14309</v>
      </c>
      <c r="F82" s="257">
        <v>11157</v>
      </c>
    </row>
    <row r="83" spans="1:256" x14ac:dyDescent="0.2">
      <c r="A83" s="1692" t="s">
        <v>1322</v>
      </c>
      <c r="B83" s="1695" t="s">
        <v>1855</v>
      </c>
      <c r="C83" s="4" t="s">
        <v>1856</v>
      </c>
      <c r="D83" s="4" t="s">
        <v>1857</v>
      </c>
      <c r="E83" s="257">
        <v>188008</v>
      </c>
      <c r="F83" s="257">
        <v>141764</v>
      </c>
    </row>
    <row r="84" spans="1:256" s="1684" customFormat="1" x14ac:dyDescent="0.2">
      <c r="A84" s="1692" t="s">
        <v>1323</v>
      </c>
      <c r="B84" s="1695" t="s">
        <v>1858</v>
      </c>
      <c r="C84" s="4" t="s">
        <v>1859</v>
      </c>
      <c r="D84" s="4" t="s">
        <v>1860</v>
      </c>
      <c r="E84" s="257">
        <v>89621</v>
      </c>
      <c r="F84" s="258">
        <v>61801</v>
      </c>
      <c r="G84" s="300"/>
      <c r="H84" s="4"/>
      <c r="I84" s="4"/>
      <c r="J84" s="140"/>
      <c r="K84" s="4"/>
      <c r="L84" s="4"/>
      <c r="M84" s="4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300"/>
      <c r="BL84" s="300"/>
      <c r="BM84" s="300"/>
      <c r="BN84" s="300"/>
      <c r="BO84" s="300"/>
      <c r="BP84" s="300"/>
      <c r="BQ84" s="300"/>
      <c r="BR84" s="300"/>
      <c r="BS84" s="300"/>
      <c r="BT84" s="300"/>
      <c r="BU84" s="300"/>
      <c r="BV84" s="300"/>
      <c r="BW84" s="300"/>
      <c r="BX84" s="300"/>
      <c r="BY84" s="300"/>
      <c r="BZ84" s="300"/>
      <c r="CA84" s="300"/>
      <c r="CB84" s="300"/>
      <c r="CC84" s="300"/>
      <c r="CD84" s="300"/>
      <c r="CE84" s="300"/>
      <c r="CF84" s="300"/>
      <c r="CG84" s="300"/>
      <c r="CH84" s="300"/>
      <c r="CI84" s="300"/>
      <c r="CJ84" s="300"/>
      <c r="CK84" s="300"/>
      <c r="CL84" s="300"/>
      <c r="CM84" s="300"/>
      <c r="CN84" s="300"/>
      <c r="CO84" s="300"/>
      <c r="CP84" s="300"/>
      <c r="CQ84" s="300"/>
      <c r="CR84" s="300"/>
      <c r="CS84" s="300"/>
      <c r="CT84" s="300"/>
      <c r="CU84" s="300"/>
      <c r="CV84" s="300"/>
      <c r="CW84" s="300"/>
      <c r="CX84" s="300"/>
      <c r="CY84" s="300"/>
      <c r="CZ84" s="300"/>
      <c r="DA84" s="300"/>
      <c r="DB84" s="300"/>
      <c r="DC84" s="300"/>
      <c r="DD84" s="300"/>
      <c r="DE84" s="300"/>
      <c r="DF84" s="300"/>
      <c r="DG84" s="300"/>
      <c r="DH84" s="300"/>
      <c r="DI84" s="300"/>
      <c r="DJ84" s="300"/>
      <c r="DK84" s="300"/>
      <c r="DL84" s="300"/>
      <c r="DM84" s="300"/>
      <c r="DN84" s="300"/>
      <c r="DO84" s="300"/>
      <c r="DP84" s="300"/>
      <c r="DQ84" s="300"/>
      <c r="DR84" s="300"/>
      <c r="DS84" s="300"/>
      <c r="DT84" s="300"/>
      <c r="DU84" s="300"/>
      <c r="DV84" s="300"/>
      <c r="DW84" s="300"/>
      <c r="DX84" s="300"/>
      <c r="DY84" s="300"/>
      <c r="DZ84" s="300"/>
      <c r="EA84" s="300"/>
      <c r="EB84" s="300"/>
      <c r="EC84" s="300"/>
      <c r="ED84" s="300"/>
      <c r="EE84" s="300"/>
      <c r="EF84" s="300"/>
      <c r="EG84" s="300"/>
      <c r="EH84" s="300"/>
      <c r="EI84" s="300"/>
      <c r="EJ84" s="300"/>
      <c r="EK84" s="300"/>
      <c r="EL84" s="300"/>
      <c r="EM84" s="300"/>
      <c r="EN84" s="300"/>
      <c r="EO84" s="300"/>
      <c r="EP84" s="300"/>
      <c r="EQ84" s="300"/>
      <c r="ER84" s="300"/>
      <c r="ES84" s="300"/>
      <c r="ET84" s="300"/>
      <c r="EU84" s="300"/>
      <c r="EV84" s="300"/>
      <c r="EW84" s="300"/>
      <c r="EX84" s="300"/>
      <c r="EY84" s="300"/>
      <c r="EZ84" s="300"/>
      <c r="FA84" s="300"/>
      <c r="FB84" s="300"/>
      <c r="FC84" s="300"/>
      <c r="FD84" s="300"/>
      <c r="FE84" s="300"/>
      <c r="FF84" s="300"/>
      <c r="FG84" s="300"/>
      <c r="FH84" s="300"/>
      <c r="FI84" s="300"/>
      <c r="FJ84" s="300"/>
      <c r="FK84" s="300"/>
      <c r="FL84" s="300"/>
      <c r="FM84" s="300"/>
      <c r="FN84" s="300"/>
      <c r="FO84" s="300"/>
      <c r="FP84" s="300"/>
      <c r="FQ84" s="300"/>
      <c r="FR84" s="300"/>
      <c r="FS84" s="300"/>
      <c r="FT84" s="300"/>
      <c r="FU84" s="300"/>
      <c r="FV84" s="300"/>
      <c r="FW84" s="300"/>
      <c r="FX84" s="300"/>
      <c r="FY84" s="300"/>
      <c r="FZ84" s="300"/>
      <c r="GA84" s="300"/>
      <c r="GB84" s="300"/>
      <c r="GC84" s="300"/>
      <c r="GD84" s="300"/>
      <c r="GE84" s="300"/>
      <c r="GF84" s="300"/>
      <c r="GG84" s="300"/>
      <c r="GH84" s="300"/>
      <c r="GI84" s="300"/>
      <c r="GJ84" s="300"/>
      <c r="GK84" s="300"/>
      <c r="GL84" s="300"/>
      <c r="GM84" s="300"/>
      <c r="GN84" s="300"/>
      <c r="GO84" s="300"/>
      <c r="GP84" s="300"/>
      <c r="GQ84" s="300"/>
      <c r="GR84" s="300"/>
      <c r="GS84" s="300"/>
      <c r="GT84" s="300"/>
      <c r="GU84" s="300"/>
      <c r="GV84" s="300"/>
      <c r="GW84" s="300"/>
      <c r="GX84" s="300"/>
      <c r="GY84" s="300"/>
      <c r="GZ84" s="300"/>
      <c r="HA84" s="300"/>
      <c r="HB84" s="300"/>
      <c r="HC84" s="300"/>
      <c r="HD84" s="300"/>
      <c r="HE84" s="300"/>
      <c r="HF84" s="300"/>
      <c r="HG84" s="300"/>
      <c r="HH84" s="300"/>
      <c r="HI84" s="300"/>
      <c r="HJ84" s="300"/>
      <c r="HK84" s="300"/>
      <c r="HL84" s="300"/>
      <c r="HM84" s="300"/>
      <c r="HN84" s="300"/>
      <c r="HO84" s="300"/>
      <c r="HP84" s="300"/>
      <c r="HQ84" s="300"/>
      <c r="HR84" s="300"/>
      <c r="HS84" s="300"/>
      <c r="HT84" s="300"/>
      <c r="HU84" s="300"/>
      <c r="HV84" s="300"/>
      <c r="HW84" s="300"/>
      <c r="HX84" s="300"/>
      <c r="HY84" s="300"/>
      <c r="HZ84" s="300"/>
      <c r="IA84" s="300"/>
      <c r="IB84" s="300"/>
      <c r="IC84" s="300"/>
      <c r="ID84" s="300"/>
      <c r="IE84" s="300"/>
      <c r="IF84" s="300"/>
      <c r="IG84" s="300"/>
      <c r="IH84" s="300"/>
      <c r="II84" s="300"/>
      <c r="IJ84" s="300"/>
      <c r="IK84" s="300"/>
      <c r="IL84" s="300"/>
      <c r="IM84" s="300"/>
      <c r="IN84" s="300"/>
      <c r="IO84" s="300"/>
      <c r="IP84" s="300"/>
      <c r="IQ84" s="300"/>
      <c r="IR84" s="300"/>
      <c r="IS84" s="300"/>
      <c r="IT84" s="300"/>
      <c r="IU84" s="300"/>
      <c r="IV84" s="300"/>
    </row>
    <row r="85" spans="1:256" s="4" customFormat="1" ht="13.5" x14ac:dyDescent="0.25">
      <c r="A85" s="1692" t="s">
        <v>1324</v>
      </c>
      <c r="B85" s="2159" t="s">
        <v>1861</v>
      </c>
      <c r="C85" s="2159"/>
      <c r="D85" s="1702"/>
      <c r="E85" s="1700">
        <f>SUM(E68:E84)</f>
        <v>1747001</v>
      </c>
      <c r="F85" s="1700">
        <f>SUM(F68:F84)</f>
        <v>1514980</v>
      </c>
      <c r="G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300"/>
      <c r="BL85" s="300"/>
      <c r="BM85" s="300"/>
      <c r="BN85" s="300"/>
      <c r="BO85" s="300"/>
      <c r="BP85" s="300"/>
      <c r="BQ85" s="300"/>
      <c r="BR85" s="300"/>
      <c r="BS85" s="300"/>
      <c r="BT85" s="300"/>
      <c r="BU85" s="300"/>
      <c r="BV85" s="300"/>
      <c r="BW85" s="300"/>
      <c r="BX85" s="300"/>
      <c r="BY85" s="300"/>
      <c r="BZ85" s="300"/>
      <c r="CA85" s="300"/>
      <c r="CB85" s="300"/>
      <c r="CC85" s="300"/>
      <c r="CD85" s="300"/>
      <c r="CE85" s="300"/>
      <c r="CF85" s="300"/>
      <c r="CG85" s="300"/>
      <c r="CH85" s="300"/>
      <c r="CI85" s="300"/>
      <c r="CJ85" s="300"/>
      <c r="CK85" s="300"/>
      <c r="CL85" s="300"/>
      <c r="CM85" s="300"/>
      <c r="CN85" s="300"/>
      <c r="CO85" s="300"/>
      <c r="CP85" s="300"/>
      <c r="CQ85" s="300"/>
      <c r="CR85" s="300"/>
      <c r="CS85" s="300"/>
      <c r="CT85" s="300"/>
      <c r="CU85" s="300"/>
      <c r="CV85" s="300"/>
      <c r="CW85" s="300"/>
      <c r="CX85" s="300"/>
      <c r="CY85" s="300"/>
      <c r="CZ85" s="300"/>
      <c r="DA85" s="300"/>
      <c r="DB85" s="300"/>
      <c r="DC85" s="300"/>
      <c r="DD85" s="300"/>
      <c r="DE85" s="300"/>
      <c r="DF85" s="300"/>
      <c r="DG85" s="300"/>
      <c r="DH85" s="300"/>
      <c r="DI85" s="300"/>
      <c r="DJ85" s="300"/>
      <c r="DK85" s="300"/>
      <c r="DL85" s="300"/>
      <c r="DM85" s="300"/>
      <c r="DN85" s="300"/>
      <c r="DO85" s="300"/>
      <c r="DP85" s="300"/>
      <c r="DQ85" s="300"/>
      <c r="DR85" s="300"/>
      <c r="DS85" s="300"/>
      <c r="DT85" s="300"/>
      <c r="DU85" s="300"/>
      <c r="DV85" s="300"/>
      <c r="DW85" s="300"/>
      <c r="DX85" s="300"/>
      <c r="DY85" s="300"/>
      <c r="DZ85" s="300"/>
      <c r="EA85" s="300"/>
      <c r="EB85" s="300"/>
      <c r="EC85" s="300"/>
      <c r="ED85" s="300"/>
      <c r="EE85" s="300"/>
      <c r="EF85" s="300"/>
      <c r="EG85" s="300"/>
      <c r="EH85" s="300"/>
      <c r="EI85" s="300"/>
      <c r="EJ85" s="300"/>
      <c r="EK85" s="300"/>
      <c r="EL85" s="300"/>
      <c r="EM85" s="300"/>
      <c r="EN85" s="300"/>
      <c r="EO85" s="300"/>
      <c r="EP85" s="300"/>
      <c r="EQ85" s="300"/>
      <c r="ER85" s="300"/>
      <c r="ES85" s="300"/>
      <c r="ET85" s="300"/>
      <c r="EU85" s="300"/>
      <c r="EV85" s="300"/>
      <c r="EW85" s="300"/>
      <c r="EX85" s="300"/>
      <c r="EY85" s="300"/>
      <c r="EZ85" s="300"/>
      <c r="FA85" s="300"/>
      <c r="FB85" s="300"/>
      <c r="FC85" s="300"/>
      <c r="FD85" s="300"/>
      <c r="FE85" s="300"/>
      <c r="FF85" s="300"/>
      <c r="FG85" s="300"/>
      <c r="FH85" s="300"/>
      <c r="FI85" s="300"/>
      <c r="FJ85" s="300"/>
      <c r="FK85" s="300"/>
      <c r="FL85" s="300"/>
      <c r="FM85" s="300"/>
      <c r="FN85" s="300"/>
      <c r="FO85" s="300"/>
      <c r="FP85" s="300"/>
      <c r="FQ85" s="300"/>
      <c r="FR85" s="300"/>
      <c r="FS85" s="300"/>
      <c r="FT85" s="300"/>
      <c r="FU85" s="300"/>
      <c r="FV85" s="300"/>
      <c r="FW85" s="300"/>
      <c r="FX85" s="300"/>
      <c r="FY85" s="300"/>
      <c r="FZ85" s="300"/>
      <c r="GA85" s="300"/>
      <c r="GB85" s="300"/>
      <c r="GC85" s="300"/>
      <c r="GD85" s="300"/>
      <c r="GE85" s="300"/>
      <c r="GF85" s="300"/>
      <c r="GG85" s="300"/>
      <c r="GH85" s="300"/>
      <c r="GI85" s="300"/>
      <c r="GJ85" s="300"/>
      <c r="GK85" s="300"/>
      <c r="GL85" s="300"/>
      <c r="GM85" s="300"/>
      <c r="GN85" s="300"/>
      <c r="GO85" s="300"/>
      <c r="GP85" s="300"/>
      <c r="GQ85" s="300"/>
      <c r="GR85" s="300"/>
      <c r="GS85" s="300"/>
      <c r="GT85" s="300"/>
      <c r="GU85" s="300"/>
      <c r="GV85" s="300"/>
      <c r="GW85" s="300"/>
      <c r="GX85" s="300"/>
      <c r="GY85" s="300"/>
      <c r="GZ85" s="300"/>
      <c r="HA85" s="300"/>
      <c r="HB85" s="300"/>
      <c r="HC85" s="300"/>
      <c r="HD85" s="300"/>
      <c r="HE85" s="300"/>
      <c r="HF85" s="300"/>
      <c r="HG85" s="300"/>
      <c r="HH85" s="300"/>
      <c r="HI85" s="300"/>
      <c r="HJ85" s="300"/>
      <c r="HK85" s="300"/>
      <c r="HL85" s="300"/>
      <c r="HM85" s="300"/>
      <c r="HN85" s="300"/>
      <c r="HO85" s="300"/>
      <c r="HP85" s="300"/>
      <c r="HQ85" s="300"/>
      <c r="HR85" s="300"/>
      <c r="HS85" s="300"/>
      <c r="HT85" s="300"/>
      <c r="HU85" s="300"/>
      <c r="HV85" s="300"/>
      <c r="HW85" s="300"/>
      <c r="HX85" s="300"/>
      <c r="HY85" s="300"/>
      <c r="HZ85" s="300"/>
      <c r="IA85" s="300"/>
      <c r="IB85" s="300"/>
      <c r="IC85" s="300"/>
      <c r="ID85" s="300"/>
      <c r="IE85" s="300"/>
      <c r="IF85" s="300"/>
      <c r="IG85" s="300"/>
      <c r="IH85" s="300"/>
      <c r="II85" s="300"/>
      <c r="IJ85" s="300"/>
      <c r="IK85" s="300"/>
      <c r="IL85" s="300"/>
      <c r="IM85" s="300"/>
      <c r="IN85" s="300"/>
      <c r="IO85" s="300"/>
      <c r="IP85" s="300"/>
      <c r="IQ85" s="300"/>
      <c r="IR85" s="300"/>
      <c r="IS85" s="300"/>
      <c r="IT85" s="300"/>
      <c r="IU85" s="300"/>
      <c r="IV85" s="300"/>
    </row>
    <row r="86" spans="1:256" s="4" customFormat="1" ht="13.5" x14ac:dyDescent="0.25">
      <c r="A86" s="1692"/>
      <c r="B86" s="1703"/>
      <c r="C86" s="300"/>
      <c r="D86" s="300"/>
      <c r="E86" s="257"/>
      <c r="F86" s="1680"/>
      <c r="G86" s="1679"/>
      <c r="H86" s="1704"/>
      <c r="I86" s="1704"/>
      <c r="J86" s="1704"/>
      <c r="K86" s="1704"/>
      <c r="L86" s="1679"/>
      <c r="M86" s="1679"/>
      <c r="N86" s="1679"/>
      <c r="O86" s="1679"/>
      <c r="P86" s="1679"/>
      <c r="Q86" s="1679"/>
      <c r="R86" s="1679"/>
      <c r="S86" s="1679"/>
      <c r="T86" s="1679"/>
      <c r="U86" s="1679"/>
      <c r="V86" s="1679"/>
      <c r="W86" s="1679"/>
      <c r="X86" s="1679"/>
      <c r="Y86" s="1679"/>
      <c r="Z86" s="1679"/>
      <c r="AA86" s="1679"/>
      <c r="AB86" s="1679"/>
      <c r="AC86" s="1679"/>
      <c r="AD86" s="1679"/>
      <c r="AE86" s="1679"/>
      <c r="AF86" s="1679"/>
      <c r="AG86" s="1679"/>
      <c r="AH86" s="1679"/>
      <c r="AI86" s="1679"/>
      <c r="AJ86" s="1679"/>
      <c r="AK86" s="1679"/>
      <c r="AL86" s="1679"/>
      <c r="AM86" s="1679"/>
      <c r="AN86" s="1679"/>
      <c r="AO86" s="1679"/>
      <c r="AP86" s="1679"/>
      <c r="AQ86" s="1679"/>
      <c r="AR86" s="1679"/>
      <c r="AS86" s="1679"/>
      <c r="AT86" s="1679"/>
      <c r="AU86" s="1679"/>
      <c r="AV86" s="1679"/>
      <c r="AW86" s="1679"/>
      <c r="AX86" s="1679"/>
      <c r="AY86" s="1679"/>
      <c r="AZ86" s="1679"/>
      <c r="BA86" s="1679"/>
      <c r="BB86" s="1679"/>
      <c r="BC86" s="1679"/>
      <c r="BD86" s="1679"/>
      <c r="BE86" s="1679"/>
      <c r="BF86" s="1679"/>
      <c r="BG86" s="1679"/>
      <c r="BH86" s="1679"/>
      <c r="BI86" s="1679"/>
      <c r="BJ86" s="1679"/>
      <c r="BK86" s="1679"/>
      <c r="BL86" s="1679"/>
      <c r="BM86" s="1679"/>
      <c r="BN86" s="1679"/>
      <c r="BO86" s="1679"/>
      <c r="BP86" s="1679"/>
      <c r="BQ86" s="1679"/>
      <c r="BR86" s="1679"/>
      <c r="BS86" s="1679"/>
      <c r="BT86" s="1679"/>
      <c r="BU86" s="1679"/>
      <c r="BV86" s="1679"/>
      <c r="BW86" s="1679"/>
      <c r="BX86" s="1679"/>
      <c r="BY86" s="1679"/>
      <c r="BZ86" s="1679"/>
      <c r="CA86" s="1679"/>
      <c r="CB86" s="1679"/>
      <c r="CC86" s="1679"/>
      <c r="CD86" s="1679"/>
      <c r="CE86" s="1679"/>
      <c r="CF86" s="1679"/>
      <c r="CG86" s="1679"/>
      <c r="CH86" s="1679"/>
      <c r="CI86" s="1679"/>
      <c r="CJ86" s="1679"/>
      <c r="CK86" s="1679"/>
      <c r="CL86" s="1679"/>
      <c r="CM86" s="1679"/>
      <c r="CN86" s="1679"/>
      <c r="CO86" s="1679"/>
      <c r="CP86" s="1679"/>
      <c r="CQ86" s="1679"/>
      <c r="CR86" s="1679"/>
      <c r="CS86" s="1679"/>
      <c r="CT86" s="1679"/>
      <c r="CU86" s="1679"/>
      <c r="CV86" s="1679"/>
      <c r="CW86" s="1679"/>
      <c r="CX86" s="1679"/>
      <c r="CY86" s="1679"/>
      <c r="CZ86" s="1679"/>
      <c r="DA86" s="1679"/>
      <c r="DB86" s="1679"/>
      <c r="DC86" s="1679"/>
      <c r="DD86" s="1679"/>
      <c r="DE86" s="1679"/>
      <c r="DF86" s="1679"/>
      <c r="DG86" s="1679"/>
      <c r="DH86" s="1679"/>
      <c r="DI86" s="1679"/>
      <c r="DJ86" s="1679"/>
      <c r="DK86" s="1679"/>
      <c r="DL86" s="1679"/>
      <c r="DM86" s="1679"/>
      <c r="DN86" s="1679"/>
      <c r="DO86" s="1679"/>
      <c r="DP86" s="1679"/>
      <c r="DQ86" s="1679"/>
      <c r="DR86" s="1679"/>
      <c r="DS86" s="1679"/>
      <c r="DT86" s="1679"/>
      <c r="DU86" s="1679"/>
      <c r="DV86" s="1679"/>
      <c r="DW86" s="1679"/>
      <c r="DX86" s="1679"/>
      <c r="DY86" s="1679"/>
      <c r="DZ86" s="1679"/>
      <c r="EA86" s="1679"/>
      <c r="EB86" s="1679"/>
      <c r="EC86" s="1679"/>
      <c r="ED86" s="1679"/>
      <c r="EE86" s="1679"/>
      <c r="EF86" s="1679"/>
      <c r="EG86" s="1679"/>
      <c r="EH86" s="1679"/>
      <c r="EI86" s="1679"/>
      <c r="EJ86" s="1679"/>
      <c r="EK86" s="1679"/>
      <c r="EL86" s="1679"/>
      <c r="EM86" s="1679"/>
      <c r="EN86" s="1679"/>
      <c r="EO86" s="1679"/>
      <c r="EP86" s="1679"/>
      <c r="EQ86" s="1679"/>
      <c r="ER86" s="1679"/>
      <c r="ES86" s="1679"/>
      <c r="ET86" s="1679"/>
      <c r="EU86" s="1679"/>
      <c r="EV86" s="1679"/>
      <c r="EW86" s="1679"/>
      <c r="EX86" s="1679"/>
      <c r="EY86" s="1679"/>
      <c r="EZ86" s="1679"/>
      <c r="FA86" s="1679"/>
      <c r="FB86" s="1679"/>
      <c r="FC86" s="1679"/>
      <c r="FD86" s="1679"/>
      <c r="FE86" s="1679"/>
      <c r="FF86" s="1679"/>
      <c r="FG86" s="1679"/>
      <c r="FH86" s="1679"/>
      <c r="FI86" s="1679"/>
      <c r="FJ86" s="1679"/>
      <c r="FK86" s="1679"/>
      <c r="FL86" s="1679"/>
      <c r="FM86" s="1679"/>
      <c r="FN86" s="1679"/>
      <c r="FO86" s="1679"/>
      <c r="FP86" s="1679"/>
      <c r="FQ86" s="1679"/>
      <c r="FR86" s="1679"/>
      <c r="FS86" s="1679"/>
      <c r="FT86" s="1679"/>
      <c r="FU86" s="1679"/>
      <c r="FV86" s="1679"/>
      <c r="FW86" s="1679"/>
      <c r="FX86" s="1679"/>
      <c r="FY86" s="1679"/>
      <c r="FZ86" s="1679"/>
      <c r="GA86" s="1679"/>
      <c r="GB86" s="1679"/>
      <c r="GC86" s="1679"/>
      <c r="GD86" s="1679"/>
      <c r="GE86" s="1679"/>
      <c r="GF86" s="1679"/>
      <c r="GG86" s="1679"/>
      <c r="GH86" s="1679"/>
      <c r="GI86" s="1679"/>
      <c r="GJ86" s="1679"/>
      <c r="GK86" s="1679"/>
      <c r="GL86" s="1679"/>
      <c r="GM86" s="1679"/>
      <c r="GN86" s="1679"/>
      <c r="GO86" s="1679"/>
      <c r="GP86" s="1679"/>
      <c r="GQ86" s="1679"/>
      <c r="GR86" s="1679"/>
      <c r="GS86" s="1679"/>
      <c r="GT86" s="1679"/>
      <c r="GU86" s="1679"/>
      <c r="GV86" s="1679"/>
      <c r="GW86" s="1679"/>
      <c r="GX86" s="1679"/>
      <c r="GY86" s="1679"/>
      <c r="GZ86" s="1679"/>
      <c r="HA86" s="1679"/>
      <c r="HB86" s="1679"/>
      <c r="HC86" s="1679"/>
      <c r="HD86" s="1679"/>
      <c r="HE86" s="1679"/>
      <c r="HF86" s="1679"/>
      <c r="HG86" s="1679"/>
      <c r="HH86" s="1679"/>
      <c r="HI86" s="1679"/>
      <c r="HJ86" s="1679"/>
      <c r="HK86" s="1679"/>
      <c r="HL86" s="1679"/>
      <c r="HM86" s="1679"/>
      <c r="HN86" s="1679"/>
      <c r="HO86" s="1679"/>
      <c r="HP86" s="1679"/>
      <c r="HQ86" s="1679"/>
      <c r="HR86" s="1679"/>
      <c r="HS86" s="1679"/>
      <c r="HT86" s="1679"/>
      <c r="HU86" s="1679"/>
      <c r="HV86" s="1679"/>
      <c r="HW86" s="1679"/>
      <c r="HX86" s="1679"/>
      <c r="HY86" s="1679"/>
      <c r="HZ86" s="1679"/>
      <c r="IA86" s="1679"/>
      <c r="IB86" s="1679"/>
      <c r="IC86" s="1679"/>
      <c r="ID86" s="1679"/>
      <c r="IE86" s="1679"/>
      <c r="IF86" s="1679"/>
      <c r="IG86" s="1679"/>
      <c r="IH86" s="1679"/>
      <c r="II86" s="1679"/>
      <c r="IJ86" s="1679"/>
      <c r="IK86" s="1679"/>
      <c r="IL86" s="1679"/>
      <c r="IM86" s="1679"/>
      <c r="IN86" s="1679"/>
      <c r="IO86" s="1679"/>
      <c r="IP86" s="1679"/>
      <c r="IQ86" s="1679"/>
      <c r="IR86" s="1679"/>
      <c r="IS86" s="1679"/>
      <c r="IT86" s="1679"/>
      <c r="IU86" s="1679"/>
      <c r="IV86" s="1679"/>
    </row>
    <row r="87" spans="1:256" s="4" customFormat="1" x14ac:dyDescent="0.2">
      <c r="A87" s="1692" t="s">
        <v>1558</v>
      </c>
      <c r="B87" s="2156" t="s">
        <v>1862</v>
      </c>
      <c r="C87" s="2156"/>
      <c r="D87" s="2156"/>
      <c r="E87" s="259">
        <f>E66+E85</f>
        <v>2184366</v>
      </c>
      <c r="F87" s="259">
        <f>F66+F85</f>
        <v>1908776</v>
      </c>
      <c r="G87" s="1684"/>
      <c r="H87" s="1705"/>
      <c r="I87" s="1233"/>
      <c r="J87" s="1233"/>
      <c r="K87" s="1233"/>
      <c r="L87" s="1684"/>
      <c r="M87" s="1684"/>
      <c r="N87" s="1684"/>
      <c r="O87" s="1684"/>
      <c r="P87" s="1684"/>
      <c r="Q87" s="1684"/>
      <c r="R87" s="1684"/>
      <c r="S87" s="1684"/>
      <c r="T87" s="1684"/>
      <c r="U87" s="1684"/>
      <c r="V87" s="1684"/>
      <c r="W87" s="1684"/>
      <c r="X87" s="1684"/>
      <c r="Y87" s="1684"/>
      <c r="Z87" s="1684"/>
      <c r="AA87" s="1684"/>
      <c r="AB87" s="1684"/>
      <c r="AC87" s="1684"/>
      <c r="AD87" s="1684"/>
      <c r="AE87" s="1684"/>
      <c r="AF87" s="1684"/>
      <c r="AG87" s="1684"/>
      <c r="AH87" s="1684"/>
      <c r="AI87" s="1684"/>
      <c r="AJ87" s="1684"/>
      <c r="AK87" s="1684"/>
      <c r="AL87" s="1684"/>
      <c r="AM87" s="1684"/>
      <c r="AN87" s="1684"/>
      <c r="AO87" s="1684"/>
      <c r="AP87" s="1684"/>
      <c r="AQ87" s="1684"/>
      <c r="AR87" s="1684"/>
      <c r="AS87" s="1684"/>
      <c r="AT87" s="1684"/>
      <c r="AU87" s="1684"/>
      <c r="AV87" s="1684"/>
      <c r="AW87" s="1684"/>
      <c r="AX87" s="1684"/>
      <c r="AY87" s="1684"/>
      <c r="AZ87" s="1684"/>
      <c r="BA87" s="1684"/>
      <c r="BB87" s="1684"/>
      <c r="BC87" s="1684"/>
      <c r="BD87" s="1684"/>
      <c r="BE87" s="1684"/>
      <c r="BF87" s="1684"/>
      <c r="BG87" s="1684"/>
      <c r="BH87" s="1684"/>
      <c r="BI87" s="1684"/>
      <c r="BJ87" s="1684"/>
      <c r="BK87" s="1684"/>
      <c r="BL87" s="1684"/>
      <c r="BM87" s="1684"/>
      <c r="BN87" s="1684"/>
      <c r="BO87" s="1684"/>
      <c r="BP87" s="1684"/>
      <c r="BQ87" s="1684"/>
      <c r="BR87" s="1684"/>
      <c r="BS87" s="1684"/>
      <c r="BT87" s="1684"/>
      <c r="BU87" s="1684"/>
      <c r="BV87" s="1684"/>
      <c r="BW87" s="1684"/>
      <c r="BX87" s="1684"/>
      <c r="BY87" s="1684"/>
      <c r="BZ87" s="1684"/>
      <c r="CA87" s="1684"/>
      <c r="CB87" s="1684"/>
      <c r="CC87" s="1684"/>
      <c r="CD87" s="1684"/>
      <c r="CE87" s="1684"/>
      <c r="CF87" s="1684"/>
      <c r="CG87" s="1684"/>
      <c r="CH87" s="1684"/>
      <c r="CI87" s="1684"/>
      <c r="CJ87" s="1684"/>
      <c r="CK87" s="1684"/>
      <c r="CL87" s="1684"/>
      <c r="CM87" s="1684"/>
      <c r="CN87" s="1684"/>
      <c r="CO87" s="1684"/>
      <c r="CP87" s="1684"/>
      <c r="CQ87" s="1684"/>
      <c r="CR87" s="1684"/>
      <c r="CS87" s="1684"/>
      <c r="CT87" s="1684"/>
      <c r="CU87" s="1684"/>
      <c r="CV87" s="1684"/>
      <c r="CW87" s="1684"/>
      <c r="CX87" s="1684"/>
      <c r="CY87" s="1684"/>
      <c r="CZ87" s="1684"/>
      <c r="DA87" s="1684"/>
      <c r="DB87" s="1684"/>
      <c r="DC87" s="1684"/>
      <c r="DD87" s="1684"/>
      <c r="DE87" s="1684"/>
      <c r="DF87" s="1684"/>
      <c r="DG87" s="1684"/>
      <c r="DH87" s="1684"/>
      <c r="DI87" s="1684"/>
      <c r="DJ87" s="1684"/>
      <c r="DK87" s="1684"/>
      <c r="DL87" s="1684"/>
      <c r="DM87" s="1684"/>
      <c r="DN87" s="1684"/>
      <c r="DO87" s="1684"/>
      <c r="DP87" s="1684"/>
      <c r="DQ87" s="1684"/>
      <c r="DR87" s="1684"/>
      <c r="DS87" s="1684"/>
      <c r="DT87" s="1684"/>
      <c r="DU87" s="1684"/>
      <c r="DV87" s="1684"/>
      <c r="DW87" s="1684"/>
      <c r="DX87" s="1684"/>
      <c r="DY87" s="1684"/>
      <c r="DZ87" s="1684"/>
      <c r="EA87" s="1684"/>
      <c r="EB87" s="1684"/>
      <c r="EC87" s="1684"/>
      <c r="ED87" s="1684"/>
      <c r="EE87" s="1684"/>
      <c r="EF87" s="1684"/>
      <c r="EG87" s="1684"/>
      <c r="EH87" s="1684"/>
      <c r="EI87" s="1684"/>
      <c r="EJ87" s="1684"/>
      <c r="EK87" s="1684"/>
      <c r="EL87" s="1684"/>
      <c r="EM87" s="1684"/>
      <c r="EN87" s="1684"/>
      <c r="EO87" s="1684"/>
      <c r="EP87" s="1684"/>
      <c r="EQ87" s="1684"/>
      <c r="ER87" s="1684"/>
      <c r="ES87" s="1684"/>
      <c r="ET87" s="1684"/>
      <c r="EU87" s="1684"/>
      <c r="EV87" s="1684"/>
      <c r="EW87" s="1684"/>
      <c r="EX87" s="1684"/>
      <c r="EY87" s="1684"/>
      <c r="EZ87" s="1684"/>
      <c r="FA87" s="1684"/>
      <c r="FB87" s="1684"/>
      <c r="FC87" s="1684"/>
      <c r="FD87" s="1684"/>
      <c r="FE87" s="1684"/>
      <c r="FF87" s="1684"/>
      <c r="FG87" s="1684"/>
      <c r="FH87" s="1684"/>
      <c r="FI87" s="1684"/>
      <c r="FJ87" s="1684"/>
      <c r="FK87" s="1684"/>
      <c r="FL87" s="1684"/>
      <c r="FM87" s="1684"/>
      <c r="FN87" s="1684"/>
      <c r="FO87" s="1684"/>
      <c r="FP87" s="1684"/>
      <c r="FQ87" s="1684"/>
      <c r="FR87" s="1684"/>
      <c r="FS87" s="1684"/>
      <c r="FT87" s="1684"/>
      <c r="FU87" s="1684"/>
      <c r="FV87" s="1684"/>
      <c r="FW87" s="1684"/>
      <c r="FX87" s="1684"/>
      <c r="FY87" s="1684"/>
      <c r="FZ87" s="1684"/>
      <c r="GA87" s="1684"/>
      <c r="GB87" s="1684"/>
      <c r="GC87" s="1684"/>
      <c r="GD87" s="1684"/>
      <c r="GE87" s="1684"/>
      <c r="GF87" s="1684"/>
      <c r="GG87" s="1684"/>
      <c r="GH87" s="1684"/>
      <c r="GI87" s="1684"/>
      <c r="GJ87" s="1684"/>
      <c r="GK87" s="1684"/>
      <c r="GL87" s="1684"/>
      <c r="GM87" s="1684"/>
      <c r="GN87" s="1684"/>
      <c r="GO87" s="1684"/>
      <c r="GP87" s="1684"/>
      <c r="GQ87" s="1684"/>
      <c r="GR87" s="1684"/>
      <c r="GS87" s="1684"/>
      <c r="GT87" s="1684"/>
      <c r="GU87" s="1684"/>
      <c r="GV87" s="1684"/>
      <c r="GW87" s="1684"/>
      <c r="GX87" s="1684"/>
      <c r="GY87" s="1684"/>
      <c r="GZ87" s="1684"/>
      <c r="HA87" s="1684"/>
      <c r="HB87" s="1684"/>
      <c r="HC87" s="1684"/>
      <c r="HD87" s="1684"/>
      <c r="HE87" s="1684"/>
      <c r="HF87" s="1684"/>
      <c r="HG87" s="1684"/>
      <c r="HH87" s="1684"/>
      <c r="HI87" s="1684"/>
      <c r="HJ87" s="1684"/>
      <c r="HK87" s="1684"/>
      <c r="HL87" s="1684"/>
      <c r="HM87" s="1684"/>
      <c r="HN87" s="1684"/>
      <c r="HO87" s="1684"/>
      <c r="HP87" s="1684"/>
      <c r="HQ87" s="1684"/>
      <c r="HR87" s="1684"/>
      <c r="HS87" s="1684"/>
      <c r="HT87" s="1684"/>
      <c r="HU87" s="1684"/>
      <c r="HV87" s="1684"/>
      <c r="HW87" s="1684"/>
      <c r="HX87" s="1684"/>
      <c r="HY87" s="1684"/>
      <c r="HZ87" s="1684"/>
      <c r="IA87" s="1684"/>
      <c r="IB87" s="1684"/>
      <c r="IC87" s="1684"/>
      <c r="ID87" s="1684"/>
      <c r="IE87" s="1684"/>
      <c r="IF87" s="1684"/>
      <c r="IG87" s="1684"/>
      <c r="IH87" s="1684"/>
      <c r="II87" s="1684"/>
      <c r="IJ87" s="1684"/>
      <c r="IK87" s="1684"/>
      <c r="IL87" s="1684"/>
      <c r="IM87" s="1684"/>
      <c r="IN87" s="1684"/>
      <c r="IO87" s="1684"/>
      <c r="IP87" s="1684"/>
      <c r="IQ87" s="1684"/>
      <c r="IR87" s="1684"/>
      <c r="IS87" s="1684"/>
      <c r="IT87" s="1684"/>
      <c r="IU87" s="1684"/>
      <c r="IV87" s="1684"/>
    </row>
    <row r="88" spans="1:256" s="4" customFormat="1" x14ac:dyDescent="0.2">
      <c r="A88" s="1692" t="s">
        <v>1560</v>
      </c>
      <c r="B88" s="2157" t="s">
        <v>1863</v>
      </c>
      <c r="C88" s="2157"/>
      <c r="D88" s="2157"/>
      <c r="E88" s="1682">
        <v>2042729</v>
      </c>
      <c r="F88" s="1682"/>
      <c r="G88" s="1684"/>
      <c r="H88" s="1705"/>
      <c r="I88" s="1233"/>
      <c r="J88" s="1233"/>
      <c r="K88" s="1233"/>
      <c r="L88" s="1684"/>
      <c r="M88" s="1684"/>
      <c r="N88" s="1684"/>
      <c r="O88" s="1684"/>
      <c r="P88" s="1684"/>
      <c r="Q88" s="1684"/>
      <c r="R88" s="1684"/>
      <c r="S88" s="1684"/>
      <c r="T88" s="1684"/>
      <c r="U88" s="1684"/>
      <c r="V88" s="1684"/>
      <c r="W88" s="1684"/>
      <c r="X88" s="1684"/>
      <c r="Y88" s="1684"/>
      <c r="Z88" s="1684"/>
      <c r="AA88" s="1684"/>
      <c r="AB88" s="1684"/>
      <c r="AC88" s="1684"/>
      <c r="AD88" s="1684"/>
      <c r="AE88" s="1684"/>
      <c r="AF88" s="1684"/>
      <c r="AG88" s="1684"/>
      <c r="AH88" s="1684"/>
      <c r="AI88" s="1684"/>
      <c r="AJ88" s="1684"/>
      <c r="AK88" s="1684"/>
      <c r="AL88" s="1684"/>
      <c r="AM88" s="1684"/>
      <c r="AN88" s="1684"/>
      <c r="AO88" s="1684"/>
      <c r="AP88" s="1684"/>
      <c r="AQ88" s="1684"/>
      <c r="AR88" s="1684"/>
      <c r="AS88" s="1684"/>
      <c r="AT88" s="1684"/>
      <c r="AU88" s="1684"/>
      <c r="AV88" s="1684"/>
      <c r="AW88" s="1684"/>
      <c r="AX88" s="1684"/>
      <c r="AY88" s="1684"/>
      <c r="AZ88" s="1684"/>
      <c r="BA88" s="1684"/>
      <c r="BB88" s="1684"/>
      <c r="BC88" s="1684"/>
      <c r="BD88" s="1684"/>
      <c r="BE88" s="1684"/>
      <c r="BF88" s="1684"/>
      <c r="BG88" s="1684"/>
      <c r="BH88" s="1684"/>
      <c r="BI88" s="1684"/>
      <c r="BJ88" s="1684"/>
      <c r="BK88" s="1684"/>
      <c r="BL88" s="1684"/>
      <c r="BM88" s="1684"/>
      <c r="BN88" s="1684"/>
      <c r="BO88" s="1684"/>
      <c r="BP88" s="1684"/>
      <c r="BQ88" s="1684"/>
      <c r="BR88" s="1684"/>
      <c r="BS88" s="1684"/>
      <c r="BT88" s="1684"/>
      <c r="BU88" s="1684"/>
      <c r="BV88" s="1684"/>
      <c r="BW88" s="1684"/>
      <c r="BX88" s="1684"/>
      <c r="BY88" s="1684"/>
      <c r="BZ88" s="1684"/>
      <c r="CA88" s="1684"/>
      <c r="CB88" s="1684"/>
      <c r="CC88" s="1684"/>
      <c r="CD88" s="1684"/>
      <c r="CE88" s="1684"/>
      <c r="CF88" s="1684"/>
      <c r="CG88" s="1684"/>
      <c r="CH88" s="1684"/>
      <c r="CI88" s="1684"/>
      <c r="CJ88" s="1684"/>
      <c r="CK88" s="1684"/>
      <c r="CL88" s="1684"/>
      <c r="CM88" s="1684"/>
      <c r="CN88" s="1684"/>
      <c r="CO88" s="1684"/>
      <c r="CP88" s="1684"/>
      <c r="CQ88" s="1684"/>
      <c r="CR88" s="1684"/>
      <c r="CS88" s="1684"/>
      <c r="CT88" s="1684"/>
      <c r="CU88" s="1684"/>
      <c r="CV88" s="1684"/>
      <c r="CW88" s="1684"/>
      <c r="CX88" s="1684"/>
      <c r="CY88" s="1684"/>
      <c r="CZ88" s="1684"/>
      <c r="DA88" s="1684"/>
      <c r="DB88" s="1684"/>
      <c r="DC88" s="1684"/>
      <c r="DD88" s="1684"/>
      <c r="DE88" s="1684"/>
      <c r="DF88" s="1684"/>
      <c r="DG88" s="1684"/>
      <c r="DH88" s="1684"/>
      <c r="DI88" s="1684"/>
      <c r="DJ88" s="1684"/>
      <c r="DK88" s="1684"/>
      <c r="DL88" s="1684"/>
      <c r="DM88" s="1684"/>
      <c r="DN88" s="1684"/>
      <c r="DO88" s="1684"/>
      <c r="DP88" s="1684"/>
      <c r="DQ88" s="1684"/>
      <c r="DR88" s="1684"/>
      <c r="DS88" s="1684"/>
      <c r="DT88" s="1684"/>
      <c r="DU88" s="1684"/>
      <c r="DV88" s="1684"/>
      <c r="DW88" s="1684"/>
      <c r="DX88" s="1684"/>
      <c r="DY88" s="1684"/>
      <c r="DZ88" s="1684"/>
      <c r="EA88" s="1684"/>
      <c r="EB88" s="1684"/>
      <c r="EC88" s="1684"/>
      <c r="ED88" s="1684"/>
      <c r="EE88" s="1684"/>
      <c r="EF88" s="1684"/>
      <c r="EG88" s="1684"/>
      <c r="EH88" s="1684"/>
      <c r="EI88" s="1684"/>
      <c r="EJ88" s="1684"/>
      <c r="EK88" s="1684"/>
      <c r="EL88" s="1684"/>
      <c r="EM88" s="1684"/>
      <c r="EN88" s="1684"/>
      <c r="EO88" s="1684"/>
      <c r="EP88" s="1684"/>
      <c r="EQ88" s="1684"/>
      <c r="ER88" s="1684"/>
      <c r="ES88" s="1684"/>
      <c r="ET88" s="1684"/>
      <c r="EU88" s="1684"/>
      <c r="EV88" s="1684"/>
      <c r="EW88" s="1684"/>
      <c r="EX88" s="1684"/>
      <c r="EY88" s="1684"/>
      <c r="EZ88" s="1684"/>
      <c r="FA88" s="1684"/>
      <c r="FB88" s="1684"/>
      <c r="FC88" s="1684"/>
      <c r="FD88" s="1684"/>
      <c r="FE88" s="1684"/>
      <c r="FF88" s="1684"/>
      <c r="FG88" s="1684"/>
      <c r="FH88" s="1684"/>
      <c r="FI88" s="1684"/>
      <c r="FJ88" s="1684"/>
      <c r="FK88" s="1684"/>
      <c r="FL88" s="1684"/>
      <c r="FM88" s="1684"/>
      <c r="FN88" s="1684"/>
      <c r="FO88" s="1684"/>
      <c r="FP88" s="1684"/>
      <c r="FQ88" s="1684"/>
      <c r="FR88" s="1684"/>
      <c r="FS88" s="1684"/>
      <c r="FT88" s="1684"/>
      <c r="FU88" s="1684"/>
      <c r="FV88" s="1684"/>
      <c r="FW88" s="1684"/>
      <c r="FX88" s="1684"/>
      <c r="FY88" s="1684"/>
      <c r="FZ88" s="1684"/>
      <c r="GA88" s="1684"/>
      <c r="GB88" s="1684"/>
      <c r="GC88" s="1684"/>
      <c r="GD88" s="1684"/>
      <c r="GE88" s="1684"/>
      <c r="GF88" s="1684"/>
      <c r="GG88" s="1684"/>
      <c r="GH88" s="1684"/>
      <c r="GI88" s="1684"/>
      <c r="GJ88" s="1684"/>
      <c r="GK88" s="1684"/>
      <c r="GL88" s="1684"/>
      <c r="GM88" s="1684"/>
      <c r="GN88" s="1684"/>
      <c r="GO88" s="1684"/>
      <c r="GP88" s="1684"/>
      <c r="GQ88" s="1684"/>
      <c r="GR88" s="1684"/>
      <c r="GS88" s="1684"/>
      <c r="GT88" s="1684"/>
      <c r="GU88" s="1684"/>
      <c r="GV88" s="1684"/>
      <c r="GW88" s="1684"/>
      <c r="GX88" s="1684"/>
      <c r="GY88" s="1684"/>
      <c r="GZ88" s="1684"/>
      <c r="HA88" s="1684"/>
      <c r="HB88" s="1684"/>
      <c r="HC88" s="1684"/>
      <c r="HD88" s="1684"/>
      <c r="HE88" s="1684"/>
      <c r="HF88" s="1684"/>
      <c r="HG88" s="1684"/>
      <c r="HH88" s="1684"/>
      <c r="HI88" s="1684"/>
      <c r="HJ88" s="1684"/>
      <c r="HK88" s="1684"/>
      <c r="HL88" s="1684"/>
      <c r="HM88" s="1684"/>
      <c r="HN88" s="1684"/>
      <c r="HO88" s="1684"/>
      <c r="HP88" s="1684"/>
      <c r="HQ88" s="1684"/>
      <c r="HR88" s="1684"/>
      <c r="HS88" s="1684"/>
      <c r="HT88" s="1684"/>
      <c r="HU88" s="1684"/>
      <c r="HV88" s="1684"/>
      <c r="HW88" s="1684"/>
      <c r="HX88" s="1684"/>
      <c r="HY88" s="1684"/>
      <c r="HZ88" s="1684"/>
      <c r="IA88" s="1684"/>
      <c r="IB88" s="1684"/>
      <c r="IC88" s="1684"/>
      <c r="ID88" s="1684"/>
      <c r="IE88" s="1684"/>
      <c r="IF88" s="1684"/>
      <c r="IG88" s="1684"/>
      <c r="IH88" s="1684"/>
      <c r="II88" s="1684"/>
      <c r="IJ88" s="1684"/>
      <c r="IK88" s="1684"/>
      <c r="IL88" s="1684"/>
      <c r="IM88" s="1684"/>
      <c r="IN88" s="1684"/>
      <c r="IO88" s="1684"/>
      <c r="IP88" s="1684"/>
      <c r="IQ88" s="1684"/>
      <c r="IR88" s="1684"/>
      <c r="IS88" s="1684"/>
      <c r="IT88" s="1684"/>
      <c r="IU88" s="1684"/>
      <c r="IV88" s="1684"/>
    </row>
    <row r="89" spans="1:256" s="4" customFormat="1" x14ac:dyDescent="0.2">
      <c r="A89" s="1692" t="s">
        <v>1562</v>
      </c>
      <c r="B89" s="2157" t="s">
        <v>1864</v>
      </c>
      <c r="C89" s="2157"/>
      <c r="D89" s="2157"/>
      <c r="E89" s="1682">
        <f>E87-E88</f>
        <v>141637</v>
      </c>
      <c r="F89" s="1682"/>
      <c r="G89" s="1684"/>
      <c r="H89" s="1684"/>
      <c r="I89" s="1684"/>
      <c r="J89" s="1684"/>
      <c r="K89" s="1684"/>
      <c r="L89" s="1684"/>
      <c r="M89" s="1684"/>
      <c r="N89" s="1684"/>
      <c r="O89" s="1684"/>
      <c r="P89" s="1684"/>
      <c r="Q89" s="1684"/>
      <c r="R89" s="1684"/>
      <c r="S89" s="1684"/>
      <c r="T89" s="1684"/>
      <c r="U89" s="1684"/>
      <c r="V89" s="1684"/>
      <c r="W89" s="1684"/>
      <c r="X89" s="1684"/>
      <c r="Y89" s="1684"/>
      <c r="Z89" s="1684"/>
      <c r="AA89" s="1684"/>
      <c r="AB89" s="1684"/>
      <c r="AC89" s="1684"/>
      <c r="AD89" s="1684"/>
      <c r="AE89" s="1684"/>
      <c r="AF89" s="1684"/>
      <c r="AG89" s="1684"/>
      <c r="AH89" s="1684"/>
      <c r="AI89" s="1684"/>
      <c r="AJ89" s="1684"/>
      <c r="AK89" s="1684"/>
      <c r="AL89" s="1684"/>
      <c r="AM89" s="1684"/>
      <c r="AN89" s="1684"/>
      <c r="AO89" s="1684"/>
      <c r="AP89" s="1684"/>
      <c r="AQ89" s="1684"/>
      <c r="AR89" s="1684"/>
      <c r="AS89" s="1684"/>
      <c r="AT89" s="1684"/>
      <c r="AU89" s="1684"/>
      <c r="AV89" s="1684"/>
      <c r="AW89" s="1684"/>
      <c r="AX89" s="1684"/>
      <c r="AY89" s="1684"/>
      <c r="AZ89" s="1684"/>
      <c r="BA89" s="1684"/>
      <c r="BB89" s="1684"/>
      <c r="BC89" s="1684"/>
      <c r="BD89" s="1684"/>
      <c r="BE89" s="1684"/>
      <c r="BF89" s="1684"/>
      <c r="BG89" s="1684"/>
      <c r="BH89" s="1684"/>
      <c r="BI89" s="1684"/>
      <c r="BJ89" s="1684"/>
      <c r="BK89" s="1684"/>
      <c r="BL89" s="1684"/>
      <c r="BM89" s="1684"/>
      <c r="BN89" s="1684"/>
      <c r="BO89" s="1684"/>
      <c r="BP89" s="1684"/>
      <c r="BQ89" s="1684"/>
      <c r="BR89" s="1684"/>
      <c r="BS89" s="1684"/>
      <c r="BT89" s="1684"/>
      <c r="BU89" s="1684"/>
      <c r="BV89" s="1684"/>
      <c r="BW89" s="1684"/>
      <c r="BX89" s="1684"/>
      <c r="BY89" s="1684"/>
      <c r="BZ89" s="1684"/>
      <c r="CA89" s="1684"/>
      <c r="CB89" s="1684"/>
      <c r="CC89" s="1684"/>
      <c r="CD89" s="1684"/>
      <c r="CE89" s="1684"/>
      <c r="CF89" s="1684"/>
      <c r="CG89" s="1684"/>
      <c r="CH89" s="1684"/>
      <c r="CI89" s="1684"/>
      <c r="CJ89" s="1684"/>
      <c r="CK89" s="1684"/>
      <c r="CL89" s="1684"/>
      <c r="CM89" s="1684"/>
      <c r="CN89" s="1684"/>
      <c r="CO89" s="1684"/>
      <c r="CP89" s="1684"/>
      <c r="CQ89" s="1684"/>
      <c r="CR89" s="1684"/>
      <c r="CS89" s="1684"/>
      <c r="CT89" s="1684"/>
      <c r="CU89" s="1684"/>
      <c r="CV89" s="1684"/>
      <c r="CW89" s="1684"/>
      <c r="CX89" s="1684"/>
      <c r="CY89" s="1684"/>
      <c r="CZ89" s="1684"/>
      <c r="DA89" s="1684"/>
      <c r="DB89" s="1684"/>
      <c r="DC89" s="1684"/>
      <c r="DD89" s="1684"/>
      <c r="DE89" s="1684"/>
      <c r="DF89" s="1684"/>
      <c r="DG89" s="1684"/>
      <c r="DH89" s="1684"/>
      <c r="DI89" s="1684"/>
      <c r="DJ89" s="1684"/>
      <c r="DK89" s="1684"/>
      <c r="DL89" s="1684"/>
      <c r="DM89" s="1684"/>
      <c r="DN89" s="1684"/>
      <c r="DO89" s="1684"/>
      <c r="DP89" s="1684"/>
      <c r="DQ89" s="1684"/>
      <c r="DR89" s="1684"/>
      <c r="DS89" s="1684"/>
      <c r="DT89" s="1684"/>
      <c r="DU89" s="1684"/>
      <c r="DV89" s="1684"/>
      <c r="DW89" s="1684"/>
      <c r="DX89" s="1684"/>
      <c r="DY89" s="1684"/>
      <c r="DZ89" s="1684"/>
      <c r="EA89" s="1684"/>
      <c r="EB89" s="1684"/>
      <c r="EC89" s="1684"/>
      <c r="ED89" s="1684"/>
      <c r="EE89" s="1684"/>
      <c r="EF89" s="1684"/>
      <c r="EG89" s="1684"/>
      <c r="EH89" s="1684"/>
      <c r="EI89" s="1684"/>
      <c r="EJ89" s="1684"/>
      <c r="EK89" s="1684"/>
      <c r="EL89" s="1684"/>
      <c r="EM89" s="1684"/>
      <c r="EN89" s="1684"/>
      <c r="EO89" s="1684"/>
      <c r="EP89" s="1684"/>
      <c r="EQ89" s="1684"/>
      <c r="ER89" s="1684"/>
      <c r="ES89" s="1684"/>
      <c r="ET89" s="1684"/>
      <c r="EU89" s="1684"/>
      <c r="EV89" s="1684"/>
      <c r="EW89" s="1684"/>
      <c r="EX89" s="1684"/>
      <c r="EY89" s="1684"/>
      <c r="EZ89" s="1684"/>
      <c r="FA89" s="1684"/>
      <c r="FB89" s="1684"/>
      <c r="FC89" s="1684"/>
      <c r="FD89" s="1684"/>
      <c r="FE89" s="1684"/>
      <c r="FF89" s="1684"/>
      <c r="FG89" s="1684"/>
      <c r="FH89" s="1684"/>
      <c r="FI89" s="1684"/>
      <c r="FJ89" s="1684"/>
      <c r="FK89" s="1684"/>
      <c r="FL89" s="1684"/>
      <c r="FM89" s="1684"/>
      <c r="FN89" s="1684"/>
      <c r="FO89" s="1684"/>
      <c r="FP89" s="1684"/>
      <c r="FQ89" s="1684"/>
      <c r="FR89" s="1684"/>
      <c r="FS89" s="1684"/>
      <c r="FT89" s="1684"/>
      <c r="FU89" s="1684"/>
      <c r="FV89" s="1684"/>
      <c r="FW89" s="1684"/>
      <c r="FX89" s="1684"/>
      <c r="FY89" s="1684"/>
      <c r="FZ89" s="1684"/>
      <c r="GA89" s="1684"/>
      <c r="GB89" s="1684"/>
      <c r="GC89" s="1684"/>
      <c r="GD89" s="1684"/>
      <c r="GE89" s="1684"/>
      <c r="GF89" s="1684"/>
      <c r="GG89" s="1684"/>
      <c r="GH89" s="1684"/>
      <c r="GI89" s="1684"/>
      <c r="GJ89" s="1684"/>
      <c r="GK89" s="1684"/>
      <c r="GL89" s="1684"/>
      <c r="GM89" s="1684"/>
      <c r="GN89" s="1684"/>
      <c r="GO89" s="1684"/>
      <c r="GP89" s="1684"/>
      <c r="GQ89" s="1684"/>
      <c r="GR89" s="1684"/>
      <c r="GS89" s="1684"/>
      <c r="GT89" s="1684"/>
      <c r="GU89" s="1684"/>
      <c r="GV89" s="1684"/>
      <c r="GW89" s="1684"/>
      <c r="GX89" s="1684"/>
      <c r="GY89" s="1684"/>
      <c r="GZ89" s="1684"/>
      <c r="HA89" s="1684"/>
      <c r="HB89" s="1684"/>
      <c r="HC89" s="1684"/>
      <c r="HD89" s="1684"/>
      <c r="HE89" s="1684"/>
      <c r="HF89" s="1684"/>
      <c r="HG89" s="1684"/>
      <c r="HH89" s="1684"/>
      <c r="HI89" s="1684"/>
      <c r="HJ89" s="1684"/>
      <c r="HK89" s="1684"/>
      <c r="HL89" s="1684"/>
      <c r="HM89" s="1684"/>
      <c r="HN89" s="1684"/>
      <c r="HO89" s="1684"/>
      <c r="HP89" s="1684"/>
      <c r="HQ89" s="1684"/>
      <c r="HR89" s="1684"/>
      <c r="HS89" s="1684"/>
      <c r="HT89" s="1684"/>
      <c r="HU89" s="1684"/>
      <c r="HV89" s="1684"/>
      <c r="HW89" s="1684"/>
      <c r="HX89" s="1684"/>
      <c r="HY89" s="1684"/>
      <c r="HZ89" s="1684"/>
      <c r="IA89" s="1684"/>
      <c r="IB89" s="1684"/>
      <c r="IC89" s="1684"/>
      <c r="ID89" s="1684"/>
      <c r="IE89" s="1684"/>
      <c r="IF89" s="1684"/>
      <c r="IG89" s="1684"/>
      <c r="IH89" s="1684"/>
      <c r="II89" s="1684"/>
      <c r="IJ89" s="1684"/>
      <c r="IK89" s="1684"/>
      <c r="IL89" s="1684"/>
      <c r="IM89" s="1684"/>
      <c r="IN89" s="1684"/>
      <c r="IO89" s="1684"/>
      <c r="IP89" s="1684"/>
      <c r="IQ89" s="1684"/>
      <c r="IR89" s="1684"/>
      <c r="IS89" s="1684"/>
      <c r="IT89" s="1684"/>
      <c r="IU89" s="1684"/>
      <c r="IV89" s="1684"/>
    </row>
    <row r="90" spans="1:256" s="4" customFormat="1" ht="15.75" customHeight="1" x14ac:dyDescent="0.2">
      <c r="A90" s="1692"/>
      <c r="B90" s="1431"/>
      <c r="C90" s="1431"/>
      <c r="D90" s="1431"/>
      <c r="E90" s="1706"/>
      <c r="F90" s="1706"/>
    </row>
    <row r="91" spans="1:256" s="4" customFormat="1" ht="13.5" x14ac:dyDescent="0.25">
      <c r="A91" s="1692" t="s">
        <v>1564</v>
      </c>
      <c r="B91" s="1707" t="s">
        <v>665</v>
      </c>
      <c r="C91" s="1702"/>
      <c r="D91" s="1679"/>
      <c r="E91" s="1680"/>
      <c r="F91" s="1680"/>
    </row>
    <row r="92" spans="1:256" s="4" customFormat="1" x14ac:dyDescent="0.2">
      <c r="A92" s="1692" t="s">
        <v>1566</v>
      </c>
      <c r="B92" s="1691">
        <v>1021</v>
      </c>
      <c r="C92" s="4" t="s">
        <v>1865</v>
      </c>
      <c r="D92" s="4" t="s">
        <v>1866</v>
      </c>
      <c r="E92" s="257">
        <v>780</v>
      </c>
      <c r="F92" s="257">
        <v>416</v>
      </c>
      <c r="G92" s="257"/>
    </row>
    <row r="93" spans="1:256" s="4" customFormat="1" ht="15.75" customHeight="1" x14ac:dyDescent="0.2">
      <c r="A93" s="1692" t="s">
        <v>1568</v>
      </c>
      <c r="B93" s="2158" t="s">
        <v>1867</v>
      </c>
      <c r="C93" s="2158"/>
      <c r="D93" s="2158"/>
      <c r="E93" s="259">
        <f>E92</f>
        <v>780</v>
      </c>
      <c r="F93" s="259">
        <f>F92</f>
        <v>416</v>
      </c>
    </row>
    <row r="94" spans="1:256" s="4" customFormat="1" ht="15.75" customHeight="1" x14ac:dyDescent="0.2">
      <c r="A94" s="1692"/>
      <c r="B94" s="1708"/>
      <c r="C94" s="1708"/>
      <c r="D94" s="1708"/>
      <c r="E94" s="259"/>
      <c r="F94" s="259"/>
    </row>
    <row r="95" spans="1:256" s="4" customFormat="1" x14ac:dyDescent="0.2">
      <c r="A95" s="1692" t="s">
        <v>1570</v>
      </c>
      <c r="B95" s="2158" t="s">
        <v>1868</v>
      </c>
      <c r="C95" s="2158"/>
      <c r="D95" s="2158"/>
      <c r="E95" s="259">
        <f>E87+E93</f>
        <v>2185146</v>
      </c>
      <c r="F95" s="259">
        <f>F87+F93</f>
        <v>1909192</v>
      </c>
    </row>
    <row r="96" spans="1:256" ht="11.25" customHeight="1" x14ac:dyDescent="0.2">
      <c r="E96" s="362"/>
      <c r="F96" s="362"/>
    </row>
  </sheetData>
  <mergeCells count="17">
    <mergeCell ref="B85:C85"/>
    <mergeCell ref="B1:F1"/>
    <mergeCell ref="A2:F2"/>
    <mergeCell ref="A3:F3"/>
    <mergeCell ref="A4:F4"/>
    <mergeCell ref="A5:F5"/>
    <mergeCell ref="A6:F6"/>
    <mergeCell ref="A7:A8"/>
    <mergeCell ref="B9:C9"/>
    <mergeCell ref="B10:C10"/>
    <mergeCell ref="B66:C66"/>
    <mergeCell ref="B67:C67"/>
    <mergeCell ref="B87:D87"/>
    <mergeCell ref="B88:D88"/>
    <mergeCell ref="B89:D89"/>
    <mergeCell ref="B93:D93"/>
    <mergeCell ref="B95:D9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workbookViewId="0">
      <selection activeCell="D1" sqref="D1:G1"/>
    </sheetView>
  </sheetViews>
  <sheetFormatPr defaultRowHeight="12.75" x14ac:dyDescent="0.2"/>
  <cols>
    <col min="1" max="1" width="4" style="1709" bestFit="1" customWidth="1"/>
    <col min="2" max="2" width="13.28515625" style="1742" bestFit="1" customWidth="1"/>
    <col min="3" max="3" width="65" style="1742" bestFit="1" customWidth="1"/>
    <col min="4" max="4" width="11.42578125" style="1742" bestFit="1" customWidth="1"/>
    <col min="5" max="5" width="11.5703125" style="1742" bestFit="1" customWidth="1"/>
    <col min="6" max="6" width="12.85546875" style="1742" bestFit="1" customWidth="1"/>
    <col min="7" max="7" width="11.5703125" style="1742" bestFit="1" customWidth="1"/>
    <col min="8" max="8" width="11" style="1710" bestFit="1" customWidth="1"/>
    <col min="9" max="9" width="10.7109375" style="1709" bestFit="1" customWidth="1"/>
    <col min="10" max="10" width="11.42578125" style="1709" bestFit="1" customWidth="1"/>
    <col min="11" max="256" width="9.140625" style="1709"/>
    <col min="257" max="257" width="4" style="1709" bestFit="1" customWidth="1"/>
    <col min="258" max="258" width="13.28515625" style="1709" bestFit="1" customWidth="1"/>
    <col min="259" max="259" width="54.5703125" style="1709" bestFit="1" customWidth="1"/>
    <col min="260" max="260" width="11.42578125" style="1709" bestFit="1" customWidth="1"/>
    <col min="261" max="263" width="11.5703125" style="1709" bestFit="1" customWidth="1"/>
    <col min="264" max="264" width="11" style="1709" bestFit="1" customWidth="1"/>
    <col min="265" max="265" width="10.7109375" style="1709" bestFit="1" customWidth="1"/>
    <col min="266" max="266" width="11.42578125" style="1709" bestFit="1" customWidth="1"/>
    <col min="267" max="512" width="9.140625" style="1709"/>
    <col min="513" max="513" width="4" style="1709" bestFit="1" customWidth="1"/>
    <col min="514" max="514" width="13.28515625" style="1709" bestFit="1" customWidth="1"/>
    <col min="515" max="515" width="54.5703125" style="1709" bestFit="1" customWidth="1"/>
    <col min="516" max="516" width="11.42578125" style="1709" bestFit="1" customWidth="1"/>
    <col min="517" max="519" width="11.5703125" style="1709" bestFit="1" customWidth="1"/>
    <col min="520" max="520" width="11" style="1709" bestFit="1" customWidth="1"/>
    <col min="521" max="521" width="10.7109375" style="1709" bestFit="1" customWidth="1"/>
    <col min="522" max="522" width="11.42578125" style="1709" bestFit="1" customWidth="1"/>
    <col min="523" max="768" width="9.140625" style="1709"/>
    <col min="769" max="769" width="4" style="1709" bestFit="1" customWidth="1"/>
    <col min="770" max="770" width="13.28515625" style="1709" bestFit="1" customWidth="1"/>
    <col min="771" max="771" width="54.5703125" style="1709" bestFit="1" customWidth="1"/>
    <col min="772" max="772" width="11.42578125" style="1709" bestFit="1" customWidth="1"/>
    <col min="773" max="775" width="11.5703125" style="1709" bestFit="1" customWidth="1"/>
    <col min="776" max="776" width="11" style="1709" bestFit="1" customWidth="1"/>
    <col min="777" max="777" width="10.7109375" style="1709" bestFit="1" customWidth="1"/>
    <col min="778" max="778" width="11.42578125" style="1709" bestFit="1" customWidth="1"/>
    <col min="779" max="1024" width="9.140625" style="1709"/>
    <col min="1025" max="1025" width="4" style="1709" bestFit="1" customWidth="1"/>
    <col min="1026" max="1026" width="13.28515625" style="1709" bestFit="1" customWidth="1"/>
    <col min="1027" max="1027" width="54.5703125" style="1709" bestFit="1" customWidth="1"/>
    <col min="1028" max="1028" width="11.42578125" style="1709" bestFit="1" customWidth="1"/>
    <col min="1029" max="1031" width="11.5703125" style="1709" bestFit="1" customWidth="1"/>
    <col min="1032" max="1032" width="11" style="1709" bestFit="1" customWidth="1"/>
    <col min="1033" max="1033" width="10.7109375" style="1709" bestFit="1" customWidth="1"/>
    <col min="1034" max="1034" width="11.42578125" style="1709" bestFit="1" customWidth="1"/>
    <col min="1035" max="1280" width="9.140625" style="1709"/>
    <col min="1281" max="1281" width="4" style="1709" bestFit="1" customWidth="1"/>
    <col min="1282" max="1282" width="13.28515625" style="1709" bestFit="1" customWidth="1"/>
    <col min="1283" max="1283" width="54.5703125" style="1709" bestFit="1" customWidth="1"/>
    <col min="1284" max="1284" width="11.42578125" style="1709" bestFit="1" customWidth="1"/>
    <col min="1285" max="1287" width="11.5703125" style="1709" bestFit="1" customWidth="1"/>
    <col min="1288" max="1288" width="11" style="1709" bestFit="1" customWidth="1"/>
    <col min="1289" max="1289" width="10.7109375" style="1709" bestFit="1" customWidth="1"/>
    <col min="1290" max="1290" width="11.42578125" style="1709" bestFit="1" customWidth="1"/>
    <col min="1291" max="1536" width="9.140625" style="1709"/>
    <col min="1537" max="1537" width="4" style="1709" bestFit="1" customWidth="1"/>
    <col min="1538" max="1538" width="13.28515625" style="1709" bestFit="1" customWidth="1"/>
    <col min="1539" max="1539" width="54.5703125" style="1709" bestFit="1" customWidth="1"/>
    <col min="1540" max="1540" width="11.42578125" style="1709" bestFit="1" customWidth="1"/>
    <col min="1541" max="1543" width="11.5703125" style="1709" bestFit="1" customWidth="1"/>
    <col min="1544" max="1544" width="11" style="1709" bestFit="1" customWidth="1"/>
    <col min="1545" max="1545" width="10.7109375" style="1709" bestFit="1" customWidth="1"/>
    <col min="1546" max="1546" width="11.42578125" style="1709" bestFit="1" customWidth="1"/>
    <col min="1547" max="1792" width="9.140625" style="1709"/>
    <col min="1793" max="1793" width="4" style="1709" bestFit="1" customWidth="1"/>
    <col min="1794" max="1794" width="13.28515625" style="1709" bestFit="1" customWidth="1"/>
    <col min="1795" max="1795" width="54.5703125" style="1709" bestFit="1" customWidth="1"/>
    <col min="1796" max="1796" width="11.42578125" style="1709" bestFit="1" customWidth="1"/>
    <col min="1797" max="1799" width="11.5703125" style="1709" bestFit="1" customWidth="1"/>
    <col min="1800" max="1800" width="11" style="1709" bestFit="1" customWidth="1"/>
    <col min="1801" max="1801" width="10.7109375" style="1709" bestFit="1" customWidth="1"/>
    <col min="1802" max="1802" width="11.42578125" style="1709" bestFit="1" customWidth="1"/>
    <col min="1803" max="2048" width="9.140625" style="1709"/>
    <col min="2049" max="2049" width="4" style="1709" bestFit="1" customWidth="1"/>
    <col min="2050" max="2050" width="13.28515625" style="1709" bestFit="1" customWidth="1"/>
    <col min="2051" max="2051" width="54.5703125" style="1709" bestFit="1" customWidth="1"/>
    <col min="2052" max="2052" width="11.42578125" style="1709" bestFit="1" customWidth="1"/>
    <col min="2053" max="2055" width="11.5703125" style="1709" bestFit="1" customWidth="1"/>
    <col min="2056" max="2056" width="11" style="1709" bestFit="1" customWidth="1"/>
    <col min="2057" max="2057" width="10.7109375" style="1709" bestFit="1" customWidth="1"/>
    <col min="2058" max="2058" width="11.42578125" style="1709" bestFit="1" customWidth="1"/>
    <col min="2059" max="2304" width="9.140625" style="1709"/>
    <col min="2305" max="2305" width="4" style="1709" bestFit="1" customWidth="1"/>
    <col min="2306" max="2306" width="13.28515625" style="1709" bestFit="1" customWidth="1"/>
    <col min="2307" max="2307" width="54.5703125" style="1709" bestFit="1" customWidth="1"/>
    <col min="2308" max="2308" width="11.42578125" style="1709" bestFit="1" customWidth="1"/>
    <col min="2309" max="2311" width="11.5703125" style="1709" bestFit="1" customWidth="1"/>
    <col min="2312" max="2312" width="11" style="1709" bestFit="1" customWidth="1"/>
    <col min="2313" max="2313" width="10.7109375" style="1709" bestFit="1" customWidth="1"/>
    <col min="2314" max="2314" width="11.42578125" style="1709" bestFit="1" customWidth="1"/>
    <col min="2315" max="2560" width="9.140625" style="1709"/>
    <col min="2561" max="2561" width="4" style="1709" bestFit="1" customWidth="1"/>
    <col min="2562" max="2562" width="13.28515625" style="1709" bestFit="1" customWidth="1"/>
    <col min="2563" max="2563" width="54.5703125" style="1709" bestFit="1" customWidth="1"/>
    <col min="2564" max="2564" width="11.42578125" style="1709" bestFit="1" customWidth="1"/>
    <col min="2565" max="2567" width="11.5703125" style="1709" bestFit="1" customWidth="1"/>
    <col min="2568" max="2568" width="11" style="1709" bestFit="1" customWidth="1"/>
    <col min="2569" max="2569" width="10.7109375" style="1709" bestFit="1" customWidth="1"/>
    <col min="2570" max="2570" width="11.42578125" style="1709" bestFit="1" customWidth="1"/>
    <col min="2571" max="2816" width="9.140625" style="1709"/>
    <col min="2817" max="2817" width="4" style="1709" bestFit="1" customWidth="1"/>
    <col min="2818" max="2818" width="13.28515625" style="1709" bestFit="1" customWidth="1"/>
    <col min="2819" max="2819" width="54.5703125" style="1709" bestFit="1" customWidth="1"/>
    <col min="2820" max="2820" width="11.42578125" style="1709" bestFit="1" customWidth="1"/>
    <col min="2821" max="2823" width="11.5703125" style="1709" bestFit="1" customWidth="1"/>
    <col min="2824" max="2824" width="11" style="1709" bestFit="1" customWidth="1"/>
    <col min="2825" max="2825" width="10.7109375" style="1709" bestFit="1" customWidth="1"/>
    <col min="2826" max="2826" width="11.42578125" style="1709" bestFit="1" customWidth="1"/>
    <col min="2827" max="3072" width="9.140625" style="1709"/>
    <col min="3073" max="3073" width="4" style="1709" bestFit="1" customWidth="1"/>
    <col min="3074" max="3074" width="13.28515625" style="1709" bestFit="1" customWidth="1"/>
    <col min="3075" max="3075" width="54.5703125" style="1709" bestFit="1" customWidth="1"/>
    <col min="3076" max="3076" width="11.42578125" style="1709" bestFit="1" customWidth="1"/>
    <col min="3077" max="3079" width="11.5703125" style="1709" bestFit="1" customWidth="1"/>
    <col min="3080" max="3080" width="11" style="1709" bestFit="1" customWidth="1"/>
    <col min="3081" max="3081" width="10.7109375" style="1709" bestFit="1" customWidth="1"/>
    <col min="3082" max="3082" width="11.42578125" style="1709" bestFit="1" customWidth="1"/>
    <col min="3083" max="3328" width="9.140625" style="1709"/>
    <col min="3329" max="3329" width="4" style="1709" bestFit="1" customWidth="1"/>
    <col min="3330" max="3330" width="13.28515625" style="1709" bestFit="1" customWidth="1"/>
    <col min="3331" max="3331" width="54.5703125" style="1709" bestFit="1" customWidth="1"/>
    <col min="3332" max="3332" width="11.42578125" style="1709" bestFit="1" customWidth="1"/>
    <col min="3333" max="3335" width="11.5703125" style="1709" bestFit="1" customWidth="1"/>
    <col min="3336" max="3336" width="11" style="1709" bestFit="1" customWidth="1"/>
    <col min="3337" max="3337" width="10.7109375" style="1709" bestFit="1" customWidth="1"/>
    <col min="3338" max="3338" width="11.42578125" style="1709" bestFit="1" customWidth="1"/>
    <col min="3339" max="3584" width="9.140625" style="1709"/>
    <col min="3585" max="3585" width="4" style="1709" bestFit="1" customWidth="1"/>
    <col min="3586" max="3586" width="13.28515625" style="1709" bestFit="1" customWidth="1"/>
    <col min="3587" max="3587" width="54.5703125" style="1709" bestFit="1" customWidth="1"/>
    <col min="3588" max="3588" width="11.42578125" style="1709" bestFit="1" customWidth="1"/>
    <col min="3589" max="3591" width="11.5703125" style="1709" bestFit="1" customWidth="1"/>
    <col min="3592" max="3592" width="11" style="1709" bestFit="1" customWidth="1"/>
    <col min="3593" max="3593" width="10.7109375" style="1709" bestFit="1" customWidth="1"/>
    <col min="3594" max="3594" width="11.42578125" style="1709" bestFit="1" customWidth="1"/>
    <col min="3595" max="3840" width="9.140625" style="1709"/>
    <col min="3841" max="3841" width="4" style="1709" bestFit="1" customWidth="1"/>
    <col min="3842" max="3842" width="13.28515625" style="1709" bestFit="1" customWidth="1"/>
    <col min="3843" max="3843" width="54.5703125" style="1709" bestFit="1" customWidth="1"/>
    <col min="3844" max="3844" width="11.42578125" style="1709" bestFit="1" customWidth="1"/>
    <col min="3845" max="3847" width="11.5703125" style="1709" bestFit="1" customWidth="1"/>
    <col min="3848" max="3848" width="11" style="1709" bestFit="1" customWidth="1"/>
    <col min="3849" max="3849" width="10.7109375" style="1709" bestFit="1" customWidth="1"/>
    <col min="3850" max="3850" width="11.42578125" style="1709" bestFit="1" customWidth="1"/>
    <col min="3851" max="4096" width="9.140625" style="1709"/>
    <col min="4097" max="4097" width="4" style="1709" bestFit="1" customWidth="1"/>
    <col min="4098" max="4098" width="13.28515625" style="1709" bestFit="1" customWidth="1"/>
    <col min="4099" max="4099" width="54.5703125" style="1709" bestFit="1" customWidth="1"/>
    <col min="4100" max="4100" width="11.42578125" style="1709" bestFit="1" customWidth="1"/>
    <col min="4101" max="4103" width="11.5703125" style="1709" bestFit="1" customWidth="1"/>
    <col min="4104" max="4104" width="11" style="1709" bestFit="1" customWidth="1"/>
    <col min="4105" max="4105" width="10.7109375" style="1709" bestFit="1" customWidth="1"/>
    <col min="4106" max="4106" width="11.42578125" style="1709" bestFit="1" customWidth="1"/>
    <col min="4107" max="4352" width="9.140625" style="1709"/>
    <col min="4353" max="4353" width="4" style="1709" bestFit="1" customWidth="1"/>
    <col min="4354" max="4354" width="13.28515625" style="1709" bestFit="1" customWidth="1"/>
    <col min="4355" max="4355" width="54.5703125" style="1709" bestFit="1" customWidth="1"/>
    <col min="4356" max="4356" width="11.42578125" style="1709" bestFit="1" customWidth="1"/>
    <col min="4357" max="4359" width="11.5703125" style="1709" bestFit="1" customWidth="1"/>
    <col min="4360" max="4360" width="11" style="1709" bestFit="1" customWidth="1"/>
    <col min="4361" max="4361" width="10.7109375" style="1709" bestFit="1" customWidth="1"/>
    <col min="4362" max="4362" width="11.42578125" style="1709" bestFit="1" customWidth="1"/>
    <col min="4363" max="4608" width="9.140625" style="1709"/>
    <col min="4609" max="4609" width="4" style="1709" bestFit="1" customWidth="1"/>
    <col min="4610" max="4610" width="13.28515625" style="1709" bestFit="1" customWidth="1"/>
    <col min="4611" max="4611" width="54.5703125" style="1709" bestFit="1" customWidth="1"/>
    <col min="4612" max="4612" width="11.42578125" style="1709" bestFit="1" customWidth="1"/>
    <col min="4613" max="4615" width="11.5703125" style="1709" bestFit="1" customWidth="1"/>
    <col min="4616" max="4616" width="11" style="1709" bestFit="1" customWidth="1"/>
    <col min="4617" max="4617" width="10.7109375" style="1709" bestFit="1" customWidth="1"/>
    <col min="4618" max="4618" width="11.42578125" style="1709" bestFit="1" customWidth="1"/>
    <col min="4619" max="4864" width="9.140625" style="1709"/>
    <col min="4865" max="4865" width="4" style="1709" bestFit="1" customWidth="1"/>
    <col min="4866" max="4866" width="13.28515625" style="1709" bestFit="1" customWidth="1"/>
    <col min="4867" max="4867" width="54.5703125" style="1709" bestFit="1" customWidth="1"/>
    <col min="4868" max="4868" width="11.42578125" style="1709" bestFit="1" customWidth="1"/>
    <col min="4869" max="4871" width="11.5703125" style="1709" bestFit="1" customWidth="1"/>
    <col min="4872" max="4872" width="11" style="1709" bestFit="1" customWidth="1"/>
    <col min="4873" max="4873" width="10.7109375" style="1709" bestFit="1" customWidth="1"/>
    <col min="4874" max="4874" width="11.42578125" style="1709" bestFit="1" customWidth="1"/>
    <col min="4875" max="5120" width="9.140625" style="1709"/>
    <col min="5121" max="5121" width="4" style="1709" bestFit="1" customWidth="1"/>
    <col min="5122" max="5122" width="13.28515625" style="1709" bestFit="1" customWidth="1"/>
    <col min="5123" max="5123" width="54.5703125" style="1709" bestFit="1" customWidth="1"/>
    <col min="5124" max="5124" width="11.42578125" style="1709" bestFit="1" customWidth="1"/>
    <col min="5125" max="5127" width="11.5703125" style="1709" bestFit="1" customWidth="1"/>
    <col min="5128" max="5128" width="11" style="1709" bestFit="1" customWidth="1"/>
    <col min="5129" max="5129" width="10.7109375" style="1709" bestFit="1" customWidth="1"/>
    <col min="5130" max="5130" width="11.42578125" style="1709" bestFit="1" customWidth="1"/>
    <col min="5131" max="5376" width="9.140625" style="1709"/>
    <col min="5377" max="5377" width="4" style="1709" bestFit="1" customWidth="1"/>
    <col min="5378" max="5378" width="13.28515625" style="1709" bestFit="1" customWidth="1"/>
    <col min="5379" max="5379" width="54.5703125" style="1709" bestFit="1" customWidth="1"/>
    <col min="5380" max="5380" width="11.42578125" style="1709" bestFit="1" customWidth="1"/>
    <col min="5381" max="5383" width="11.5703125" style="1709" bestFit="1" customWidth="1"/>
    <col min="5384" max="5384" width="11" style="1709" bestFit="1" customWidth="1"/>
    <col min="5385" max="5385" width="10.7109375" style="1709" bestFit="1" customWidth="1"/>
    <col min="5386" max="5386" width="11.42578125" style="1709" bestFit="1" customWidth="1"/>
    <col min="5387" max="5632" width="9.140625" style="1709"/>
    <col min="5633" max="5633" width="4" style="1709" bestFit="1" customWidth="1"/>
    <col min="5634" max="5634" width="13.28515625" style="1709" bestFit="1" customWidth="1"/>
    <col min="5635" max="5635" width="54.5703125" style="1709" bestFit="1" customWidth="1"/>
    <col min="5636" max="5636" width="11.42578125" style="1709" bestFit="1" customWidth="1"/>
    <col min="5637" max="5639" width="11.5703125" style="1709" bestFit="1" customWidth="1"/>
    <col min="5640" max="5640" width="11" style="1709" bestFit="1" customWidth="1"/>
    <col min="5641" max="5641" width="10.7109375" style="1709" bestFit="1" customWidth="1"/>
    <col min="5642" max="5642" width="11.42578125" style="1709" bestFit="1" customWidth="1"/>
    <col min="5643" max="5888" width="9.140625" style="1709"/>
    <col min="5889" max="5889" width="4" style="1709" bestFit="1" customWidth="1"/>
    <col min="5890" max="5890" width="13.28515625" style="1709" bestFit="1" customWidth="1"/>
    <col min="5891" max="5891" width="54.5703125" style="1709" bestFit="1" customWidth="1"/>
    <col min="5892" max="5892" width="11.42578125" style="1709" bestFit="1" customWidth="1"/>
    <col min="5893" max="5895" width="11.5703125" style="1709" bestFit="1" customWidth="1"/>
    <col min="5896" max="5896" width="11" style="1709" bestFit="1" customWidth="1"/>
    <col min="5897" max="5897" width="10.7109375" style="1709" bestFit="1" customWidth="1"/>
    <col min="5898" max="5898" width="11.42578125" style="1709" bestFit="1" customWidth="1"/>
    <col min="5899" max="6144" width="9.140625" style="1709"/>
    <col min="6145" max="6145" width="4" style="1709" bestFit="1" customWidth="1"/>
    <col min="6146" max="6146" width="13.28515625" style="1709" bestFit="1" customWidth="1"/>
    <col min="6147" max="6147" width="54.5703125" style="1709" bestFit="1" customWidth="1"/>
    <col min="6148" max="6148" width="11.42578125" style="1709" bestFit="1" customWidth="1"/>
    <col min="6149" max="6151" width="11.5703125" style="1709" bestFit="1" customWidth="1"/>
    <col min="6152" max="6152" width="11" style="1709" bestFit="1" customWidth="1"/>
    <col min="6153" max="6153" width="10.7109375" style="1709" bestFit="1" customWidth="1"/>
    <col min="6154" max="6154" width="11.42578125" style="1709" bestFit="1" customWidth="1"/>
    <col min="6155" max="6400" width="9.140625" style="1709"/>
    <col min="6401" max="6401" width="4" style="1709" bestFit="1" customWidth="1"/>
    <col min="6402" max="6402" width="13.28515625" style="1709" bestFit="1" customWidth="1"/>
    <col min="6403" max="6403" width="54.5703125" style="1709" bestFit="1" customWidth="1"/>
    <col min="6404" max="6404" width="11.42578125" style="1709" bestFit="1" customWidth="1"/>
    <col min="6405" max="6407" width="11.5703125" style="1709" bestFit="1" customWidth="1"/>
    <col min="6408" max="6408" width="11" style="1709" bestFit="1" customWidth="1"/>
    <col min="6409" max="6409" width="10.7109375" style="1709" bestFit="1" customWidth="1"/>
    <col min="6410" max="6410" width="11.42578125" style="1709" bestFit="1" customWidth="1"/>
    <col min="6411" max="6656" width="9.140625" style="1709"/>
    <col min="6657" max="6657" width="4" style="1709" bestFit="1" customWidth="1"/>
    <col min="6658" max="6658" width="13.28515625" style="1709" bestFit="1" customWidth="1"/>
    <col min="6659" max="6659" width="54.5703125" style="1709" bestFit="1" customWidth="1"/>
    <col min="6660" max="6660" width="11.42578125" style="1709" bestFit="1" customWidth="1"/>
    <col min="6661" max="6663" width="11.5703125" style="1709" bestFit="1" customWidth="1"/>
    <col min="6664" max="6664" width="11" style="1709" bestFit="1" customWidth="1"/>
    <col min="6665" max="6665" width="10.7109375" style="1709" bestFit="1" customWidth="1"/>
    <col min="6666" max="6666" width="11.42578125" style="1709" bestFit="1" customWidth="1"/>
    <col min="6667" max="6912" width="9.140625" style="1709"/>
    <col min="6913" max="6913" width="4" style="1709" bestFit="1" customWidth="1"/>
    <col min="6914" max="6914" width="13.28515625" style="1709" bestFit="1" customWidth="1"/>
    <col min="6915" max="6915" width="54.5703125" style="1709" bestFit="1" customWidth="1"/>
    <col min="6916" max="6916" width="11.42578125" style="1709" bestFit="1" customWidth="1"/>
    <col min="6917" max="6919" width="11.5703125" style="1709" bestFit="1" customWidth="1"/>
    <col min="6920" max="6920" width="11" style="1709" bestFit="1" customWidth="1"/>
    <col min="6921" max="6921" width="10.7109375" style="1709" bestFit="1" customWidth="1"/>
    <col min="6922" max="6922" width="11.42578125" style="1709" bestFit="1" customWidth="1"/>
    <col min="6923" max="7168" width="9.140625" style="1709"/>
    <col min="7169" max="7169" width="4" style="1709" bestFit="1" customWidth="1"/>
    <col min="7170" max="7170" width="13.28515625" style="1709" bestFit="1" customWidth="1"/>
    <col min="7171" max="7171" width="54.5703125" style="1709" bestFit="1" customWidth="1"/>
    <col min="7172" max="7172" width="11.42578125" style="1709" bestFit="1" customWidth="1"/>
    <col min="7173" max="7175" width="11.5703125" style="1709" bestFit="1" customWidth="1"/>
    <col min="7176" max="7176" width="11" style="1709" bestFit="1" customWidth="1"/>
    <col min="7177" max="7177" width="10.7109375" style="1709" bestFit="1" customWidth="1"/>
    <col min="7178" max="7178" width="11.42578125" style="1709" bestFit="1" customWidth="1"/>
    <col min="7179" max="7424" width="9.140625" style="1709"/>
    <col min="7425" max="7425" width="4" style="1709" bestFit="1" customWidth="1"/>
    <col min="7426" max="7426" width="13.28515625" style="1709" bestFit="1" customWidth="1"/>
    <col min="7427" max="7427" width="54.5703125" style="1709" bestFit="1" customWidth="1"/>
    <col min="7428" max="7428" width="11.42578125" style="1709" bestFit="1" customWidth="1"/>
    <col min="7429" max="7431" width="11.5703125" style="1709" bestFit="1" customWidth="1"/>
    <col min="7432" max="7432" width="11" style="1709" bestFit="1" customWidth="1"/>
    <col min="7433" max="7433" width="10.7109375" style="1709" bestFit="1" customWidth="1"/>
    <col min="7434" max="7434" width="11.42578125" style="1709" bestFit="1" customWidth="1"/>
    <col min="7435" max="7680" width="9.140625" style="1709"/>
    <col min="7681" max="7681" width="4" style="1709" bestFit="1" customWidth="1"/>
    <col min="7682" max="7682" width="13.28515625" style="1709" bestFit="1" customWidth="1"/>
    <col min="7683" max="7683" width="54.5703125" style="1709" bestFit="1" customWidth="1"/>
    <col min="7684" max="7684" width="11.42578125" style="1709" bestFit="1" customWidth="1"/>
    <col min="7685" max="7687" width="11.5703125" style="1709" bestFit="1" customWidth="1"/>
    <col min="7688" max="7688" width="11" style="1709" bestFit="1" customWidth="1"/>
    <col min="7689" max="7689" width="10.7109375" style="1709" bestFit="1" customWidth="1"/>
    <col min="7690" max="7690" width="11.42578125" style="1709" bestFit="1" customWidth="1"/>
    <col min="7691" max="7936" width="9.140625" style="1709"/>
    <col min="7937" max="7937" width="4" style="1709" bestFit="1" customWidth="1"/>
    <col min="7938" max="7938" width="13.28515625" style="1709" bestFit="1" customWidth="1"/>
    <col min="7939" max="7939" width="54.5703125" style="1709" bestFit="1" customWidth="1"/>
    <col min="7940" max="7940" width="11.42578125" style="1709" bestFit="1" customWidth="1"/>
    <col min="7941" max="7943" width="11.5703125" style="1709" bestFit="1" customWidth="1"/>
    <col min="7944" max="7944" width="11" style="1709" bestFit="1" customWidth="1"/>
    <col min="7945" max="7945" width="10.7109375" style="1709" bestFit="1" customWidth="1"/>
    <col min="7946" max="7946" width="11.42578125" style="1709" bestFit="1" customWidth="1"/>
    <col min="7947" max="8192" width="9.140625" style="1709"/>
    <col min="8193" max="8193" width="4" style="1709" bestFit="1" customWidth="1"/>
    <col min="8194" max="8194" width="13.28515625" style="1709" bestFit="1" customWidth="1"/>
    <col min="8195" max="8195" width="54.5703125" style="1709" bestFit="1" customWidth="1"/>
    <col min="8196" max="8196" width="11.42578125" style="1709" bestFit="1" customWidth="1"/>
    <col min="8197" max="8199" width="11.5703125" style="1709" bestFit="1" customWidth="1"/>
    <col min="8200" max="8200" width="11" style="1709" bestFit="1" customWidth="1"/>
    <col min="8201" max="8201" width="10.7109375" style="1709" bestFit="1" customWidth="1"/>
    <col min="8202" max="8202" width="11.42578125" style="1709" bestFit="1" customWidth="1"/>
    <col min="8203" max="8448" width="9.140625" style="1709"/>
    <col min="8449" max="8449" width="4" style="1709" bestFit="1" customWidth="1"/>
    <col min="8450" max="8450" width="13.28515625" style="1709" bestFit="1" customWidth="1"/>
    <col min="8451" max="8451" width="54.5703125" style="1709" bestFit="1" customWidth="1"/>
    <col min="8452" max="8452" width="11.42578125" style="1709" bestFit="1" customWidth="1"/>
    <col min="8453" max="8455" width="11.5703125" style="1709" bestFit="1" customWidth="1"/>
    <col min="8456" max="8456" width="11" style="1709" bestFit="1" customWidth="1"/>
    <col min="8457" max="8457" width="10.7109375" style="1709" bestFit="1" customWidth="1"/>
    <col min="8458" max="8458" width="11.42578125" style="1709" bestFit="1" customWidth="1"/>
    <col min="8459" max="8704" width="9.140625" style="1709"/>
    <col min="8705" max="8705" width="4" style="1709" bestFit="1" customWidth="1"/>
    <col min="8706" max="8706" width="13.28515625" style="1709" bestFit="1" customWidth="1"/>
    <col min="8707" max="8707" width="54.5703125" style="1709" bestFit="1" customWidth="1"/>
    <col min="8708" max="8708" width="11.42578125" style="1709" bestFit="1" customWidth="1"/>
    <col min="8709" max="8711" width="11.5703125" style="1709" bestFit="1" customWidth="1"/>
    <col min="8712" max="8712" width="11" style="1709" bestFit="1" customWidth="1"/>
    <col min="8713" max="8713" width="10.7109375" style="1709" bestFit="1" customWidth="1"/>
    <col min="8714" max="8714" width="11.42578125" style="1709" bestFit="1" customWidth="1"/>
    <col min="8715" max="8960" width="9.140625" style="1709"/>
    <col min="8961" max="8961" width="4" style="1709" bestFit="1" customWidth="1"/>
    <col min="8962" max="8962" width="13.28515625" style="1709" bestFit="1" customWidth="1"/>
    <col min="8963" max="8963" width="54.5703125" style="1709" bestFit="1" customWidth="1"/>
    <col min="8964" max="8964" width="11.42578125" style="1709" bestFit="1" customWidth="1"/>
    <col min="8965" max="8967" width="11.5703125" style="1709" bestFit="1" customWidth="1"/>
    <col min="8968" max="8968" width="11" style="1709" bestFit="1" customWidth="1"/>
    <col min="8969" max="8969" width="10.7109375" style="1709" bestFit="1" customWidth="1"/>
    <col min="8970" max="8970" width="11.42578125" style="1709" bestFit="1" customWidth="1"/>
    <col min="8971" max="9216" width="9.140625" style="1709"/>
    <col min="9217" max="9217" width="4" style="1709" bestFit="1" customWidth="1"/>
    <col min="9218" max="9218" width="13.28515625" style="1709" bestFit="1" customWidth="1"/>
    <col min="9219" max="9219" width="54.5703125" style="1709" bestFit="1" customWidth="1"/>
    <col min="9220" max="9220" width="11.42578125" style="1709" bestFit="1" customWidth="1"/>
    <col min="9221" max="9223" width="11.5703125" style="1709" bestFit="1" customWidth="1"/>
    <col min="9224" max="9224" width="11" style="1709" bestFit="1" customWidth="1"/>
    <col min="9225" max="9225" width="10.7109375" style="1709" bestFit="1" customWidth="1"/>
    <col min="9226" max="9226" width="11.42578125" style="1709" bestFit="1" customWidth="1"/>
    <col min="9227" max="9472" width="9.140625" style="1709"/>
    <col min="9473" max="9473" width="4" style="1709" bestFit="1" customWidth="1"/>
    <col min="9474" max="9474" width="13.28515625" style="1709" bestFit="1" customWidth="1"/>
    <col min="9475" max="9475" width="54.5703125" style="1709" bestFit="1" customWidth="1"/>
    <col min="9476" max="9476" width="11.42578125" style="1709" bestFit="1" customWidth="1"/>
    <col min="9477" max="9479" width="11.5703125" style="1709" bestFit="1" customWidth="1"/>
    <col min="9480" max="9480" width="11" style="1709" bestFit="1" customWidth="1"/>
    <col min="9481" max="9481" width="10.7109375" style="1709" bestFit="1" customWidth="1"/>
    <col min="9482" max="9482" width="11.42578125" style="1709" bestFit="1" customWidth="1"/>
    <col min="9483" max="9728" width="9.140625" style="1709"/>
    <col min="9729" max="9729" width="4" style="1709" bestFit="1" customWidth="1"/>
    <col min="9730" max="9730" width="13.28515625" style="1709" bestFit="1" customWidth="1"/>
    <col min="9731" max="9731" width="54.5703125" style="1709" bestFit="1" customWidth="1"/>
    <col min="9732" max="9732" width="11.42578125" style="1709" bestFit="1" customWidth="1"/>
    <col min="9733" max="9735" width="11.5703125" style="1709" bestFit="1" customWidth="1"/>
    <col min="9736" max="9736" width="11" style="1709" bestFit="1" customWidth="1"/>
    <col min="9737" max="9737" width="10.7109375" style="1709" bestFit="1" customWidth="1"/>
    <col min="9738" max="9738" width="11.42578125" style="1709" bestFit="1" customWidth="1"/>
    <col min="9739" max="9984" width="9.140625" style="1709"/>
    <col min="9985" max="9985" width="4" style="1709" bestFit="1" customWidth="1"/>
    <col min="9986" max="9986" width="13.28515625" style="1709" bestFit="1" customWidth="1"/>
    <col min="9987" max="9987" width="54.5703125" style="1709" bestFit="1" customWidth="1"/>
    <col min="9988" max="9988" width="11.42578125" style="1709" bestFit="1" customWidth="1"/>
    <col min="9989" max="9991" width="11.5703125" style="1709" bestFit="1" customWidth="1"/>
    <col min="9992" max="9992" width="11" style="1709" bestFit="1" customWidth="1"/>
    <col min="9993" max="9993" width="10.7109375" style="1709" bestFit="1" customWidth="1"/>
    <col min="9994" max="9994" width="11.42578125" style="1709" bestFit="1" customWidth="1"/>
    <col min="9995" max="10240" width="9.140625" style="1709"/>
    <col min="10241" max="10241" width="4" style="1709" bestFit="1" customWidth="1"/>
    <col min="10242" max="10242" width="13.28515625" style="1709" bestFit="1" customWidth="1"/>
    <col min="10243" max="10243" width="54.5703125" style="1709" bestFit="1" customWidth="1"/>
    <col min="10244" max="10244" width="11.42578125" style="1709" bestFit="1" customWidth="1"/>
    <col min="10245" max="10247" width="11.5703125" style="1709" bestFit="1" customWidth="1"/>
    <col min="10248" max="10248" width="11" style="1709" bestFit="1" customWidth="1"/>
    <col min="10249" max="10249" width="10.7109375" style="1709" bestFit="1" customWidth="1"/>
    <col min="10250" max="10250" width="11.42578125" style="1709" bestFit="1" customWidth="1"/>
    <col min="10251" max="10496" width="9.140625" style="1709"/>
    <col min="10497" max="10497" width="4" style="1709" bestFit="1" customWidth="1"/>
    <col min="10498" max="10498" width="13.28515625" style="1709" bestFit="1" customWidth="1"/>
    <col min="10499" max="10499" width="54.5703125" style="1709" bestFit="1" customWidth="1"/>
    <col min="10500" max="10500" width="11.42578125" style="1709" bestFit="1" customWidth="1"/>
    <col min="10501" max="10503" width="11.5703125" style="1709" bestFit="1" customWidth="1"/>
    <col min="10504" max="10504" width="11" style="1709" bestFit="1" customWidth="1"/>
    <col min="10505" max="10505" width="10.7109375" style="1709" bestFit="1" customWidth="1"/>
    <col min="10506" max="10506" width="11.42578125" style="1709" bestFit="1" customWidth="1"/>
    <col min="10507" max="10752" width="9.140625" style="1709"/>
    <col min="10753" max="10753" width="4" style="1709" bestFit="1" customWidth="1"/>
    <col min="10754" max="10754" width="13.28515625" style="1709" bestFit="1" customWidth="1"/>
    <col min="10755" max="10755" width="54.5703125" style="1709" bestFit="1" customWidth="1"/>
    <col min="10756" max="10756" width="11.42578125" style="1709" bestFit="1" customWidth="1"/>
    <col min="10757" max="10759" width="11.5703125" style="1709" bestFit="1" customWidth="1"/>
    <col min="10760" max="10760" width="11" style="1709" bestFit="1" customWidth="1"/>
    <col min="10761" max="10761" width="10.7109375" style="1709" bestFit="1" customWidth="1"/>
    <col min="10762" max="10762" width="11.42578125" style="1709" bestFit="1" customWidth="1"/>
    <col min="10763" max="11008" width="9.140625" style="1709"/>
    <col min="11009" max="11009" width="4" style="1709" bestFit="1" customWidth="1"/>
    <col min="11010" max="11010" width="13.28515625" style="1709" bestFit="1" customWidth="1"/>
    <col min="11011" max="11011" width="54.5703125" style="1709" bestFit="1" customWidth="1"/>
    <col min="11012" max="11012" width="11.42578125" style="1709" bestFit="1" customWidth="1"/>
    <col min="11013" max="11015" width="11.5703125" style="1709" bestFit="1" customWidth="1"/>
    <col min="11016" max="11016" width="11" style="1709" bestFit="1" customWidth="1"/>
    <col min="11017" max="11017" width="10.7109375" style="1709" bestFit="1" customWidth="1"/>
    <col min="11018" max="11018" width="11.42578125" style="1709" bestFit="1" customWidth="1"/>
    <col min="11019" max="11264" width="9.140625" style="1709"/>
    <col min="11265" max="11265" width="4" style="1709" bestFit="1" customWidth="1"/>
    <col min="11266" max="11266" width="13.28515625" style="1709" bestFit="1" customWidth="1"/>
    <col min="11267" max="11267" width="54.5703125" style="1709" bestFit="1" customWidth="1"/>
    <col min="11268" max="11268" width="11.42578125" style="1709" bestFit="1" customWidth="1"/>
    <col min="11269" max="11271" width="11.5703125" style="1709" bestFit="1" customWidth="1"/>
    <col min="11272" max="11272" width="11" style="1709" bestFit="1" customWidth="1"/>
    <col min="11273" max="11273" width="10.7109375" style="1709" bestFit="1" customWidth="1"/>
    <col min="11274" max="11274" width="11.42578125" style="1709" bestFit="1" customWidth="1"/>
    <col min="11275" max="11520" width="9.140625" style="1709"/>
    <col min="11521" max="11521" width="4" style="1709" bestFit="1" customWidth="1"/>
    <col min="11522" max="11522" width="13.28515625" style="1709" bestFit="1" customWidth="1"/>
    <col min="11523" max="11523" width="54.5703125" style="1709" bestFit="1" customWidth="1"/>
    <col min="11524" max="11524" width="11.42578125" style="1709" bestFit="1" customWidth="1"/>
    <col min="11525" max="11527" width="11.5703125" style="1709" bestFit="1" customWidth="1"/>
    <col min="11528" max="11528" width="11" style="1709" bestFit="1" customWidth="1"/>
    <col min="11529" max="11529" width="10.7109375" style="1709" bestFit="1" customWidth="1"/>
    <col min="11530" max="11530" width="11.42578125" style="1709" bestFit="1" customWidth="1"/>
    <col min="11531" max="11776" width="9.140625" style="1709"/>
    <col min="11777" max="11777" width="4" style="1709" bestFit="1" customWidth="1"/>
    <col min="11778" max="11778" width="13.28515625" style="1709" bestFit="1" customWidth="1"/>
    <col min="11779" max="11779" width="54.5703125" style="1709" bestFit="1" customWidth="1"/>
    <col min="11780" max="11780" width="11.42578125" style="1709" bestFit="1" customWidth="1"/>
    <col min="11781" max="11783" width="11.5703125" style="1709" bestFit="1" customWidth="1"/>
    <col min="11784" max="11784" width="11" style="1709" bestFit="1" customWidth="1"/>
    <col min="11785" max="11785" width="10.7109375" style="1709" bestFit="1" customWidth="1"/>
    <col min="11786" max="11786" width="11.42578125" style="1709" bestFit="1" customWidth="1"/>
    <col min="11787" max="12032" width="9.140625" style="1709"/>
    <col min="12033" max="12033" width="4" style="1709" bestFit="1" customWidth="1"/>
    <col min="12034" max="12034" width="13.28515625" style="1709" bestFit="1" customWidth="1"/>
    <col min="12035" max="12035" width="54.5703125" style="1709" bestFit="1" customWidth="1"/>
    <col min="12036" max="12036" width="11.42578125" style="1709" bestFit="1" customWidth="1"/>
    <col min="12037" max="12039" width="11.5703125" style="1709" bestFit="1" customWidth="1"/>
    <col min="12040" max="12040" width="11" style="1709" bestFit="1" customWidth="1"/>
    <col min="12041" max="12041" width="10.7109375" style="1709" bestFit="1" customWidth="1"/>
    <col min="12042" max="12042" width="11.42578125" style="1709" bestFit="1" customWidth="1"/>
    <col min="12043" max="12288" width="9.140625" style="1709"/>
    <col min="12289" max="12289" width="4" style="1709" bestFit="1" customWidth="1"/>
    <col min="12290" max="12290" width="13.28515625" style="1709" bestFit="1" customWidth="1"/>
    <col min="12291" max="12291" width="54.5703125" style="1709" bestFit="1" customWidth="1"/>
    <col min="12292" max="12292" width="11.42578125" style="1709" bestFit="1" customWidth="1"/>
    <col min="12293" max="12295" width="11.5703125" style="1709" bestFit="1" customWidth="1"/>
    <col min="12296" max="12296" width="11" style="1709" bestFit="1" customWidth="1"/>
    <col min="12297" max="12297" width="10.7109375" style="1709" bestFit="1" customWidth="1"/>
    <col min="12298" max="12298" width="11.42578125" style="1709" bestFit="1" customWidth="1"/>
    <col min="12299" max="12544" width="9.140625" style="1709"/>
    <col min="12545" max="12545" width="4" style="1709" bestFit="1" customWidth="1"/>
    <col min="12546" max="12546" width="13.28515625" style="1709" bestFit="1" customWidth="1"/>
    <col min="12547" max="12547" width="54.5703125" style="1709" bestFit="1" customWidth="1"/>
    <col min="12548" max="12548" width="11.42578125" style="1709" bestFit="1" customWidth="1"/>
    <col min="12549" max="12551" width="11.5703125" style="1709" bestFit="1" customWidth="1"/>
    <col min="12552" max="12552" width="11" style="1709" bestFit="1" customWidth="1"/>
    <col min="12553" max="12553" width="10.7109375" style="1709" bestFit="1" customWidth="1"/>
    <col min="12554" max="12554" width="11.42578125" style="1709" bestFit="1" customWidth="1"/>
    <col min="12555" max="12800" width="9.140625" style="1709"/>
    <col min="12801" max="12801" width="4" style="1709" bestFit="1" customWidth="1"/>
    <col min="12802" max="12802" width="13.28515625" style="1709" bestFit="1" customWidth="1"/>
    <col min="12803" max="12803" width="54.5703125" style="1709" bestFit="1" customWidth="1"/>
    <col min="12804" max="12804" width="11.42578125" style="1709" bestFit="1" customWidth="1"/>
    <col min="12805" max="12807" width="11.5703125" style="1709" bestFit="1" customWidth="1"/>
    <col min="12808" max="12808" width="11" style="1709" bestFit="1" customWidth="1"/>
    <col min="12809" max="12809" width="10.7109375" style="1709" bestFit="1" customWidth="1"/>
    <col min="12810" max="12810" width="11.42578125" style="1709" bestFit="1" customWidth="1"/>
    <col min="12811" max="13056" width="9.140625" style="1709"/>
    <col min="13057" max="13057" width="4" style="1709" bestFit="1" customWidth="1"/>
    <col min="13058" max="13058" width="13.28515625" style="1709" bestFit="1" customWidth="1"/>
    <col min="13059" max="13059" width="54.5703125" style="1709" bestFit="1" customWidth="1"/>
    <col min="13060" max="13060" width="11.42578125" style="1709" bestFit="1" customWidth="1"/>
    <col min="13061" max="13063" width="11.5703125" style="1709" bestFit="1" customWidth="1"/>
    <col min="13064" max="13064" width="11" style="1709" bestFit="1" customWidth="1"/>
    <col min="13065" max="13065" width="10.7109375" style="1709" bestFit="1" customWidth="1"/>
    <col min="13066" max="13066" width="11.42578125" style="1709" bestFit="1" customWidth="1"/>
    <col min="13067" max="13312" width="9.140625" style="1709"/>
    <col min="13313" max="13313" width="4" style="1709" bestFit="1" customWidth="1"/>
    <col min="13314" max="13314" width="13.28515625" style="1709" bestFit="1" customWidth="1"/>
    <col min="13315" max="13315" width="54.5703125" style="1709" bestFit="1" customWidth="1"/>
    <col min="13316" max="13316" width="11.42578125" style="1709" bestFit="1" customWidth="1"/>
    <col min="13317" max="13319" width="11.5703125" style="1709" bestFit="1" customWidth="1"/>
    <col min="13320" max="13320" width="11" style="1709" bestFit="1" customWidth="1"/>
    <col min="13321" max="13321" width="10.7109375" style="1709" bestFit="1" customWidth="1"/>
    <col min="13322" max="13322" width="11.42578125" style="1709" bestFit="1" customWidth="1"/>
    <col min="13323" max="13568" width="9.140625" style="1709"/>
    <col min="13569" max="13569" width="4" style="1709" bestFit="1" customWidth="1"/>
    <col min="13570" max="13570" width="13.28515625" style="1709" bestFit="1" customWidth="1"/>
    <col min="13571" max="13571" width="54.5703125" style="1709" bestFit="1" customWidth="1"/>
    <col min="13572" max="13572" width="11.42578125" style="1709" bestFit="1" customWidth="1"/>
    <col min="13573" max="13575" width="11.5703125" style="1709" bestFit="1" customWidth="1"/>
    <col min="13576" max="13576" width="11" style="1709" bestFit="1" customWidth="1"/>
    <col min="13577" max="13577" width="10.7109375" style="1709" bestFit="1" customWidth="1"/>
    <col min="13578" max="13578" width="11.42578125" style="1709" bestFit="1" customWidth="1"/>
    <col min="13579" max="13824" width="9.140625" style="1709"/>
    <col min="13825" max="13825" width="4" style="1709" bestFit="1" customWidth="1"/>
    <col min="13826" max="13826" width="13.28515625" style="1709" bestFit="1" customWidth="1"/>
    <col min="13827" max="13827" width="54.5703125" style="1709" bestFit="1" customWidth="1"/>
    <col min="13828" max="13828" width="11.42578125" style="1709" bestFit="1" customWidth="1"/>
    <col min="13829" max="13831" width="11.5703125" style="1709" bestFit="1" customWidth="1"/>
    <col min="13832" max="13832" width="11" style="1709" bestFit="1" customWidth="1"/>
    <col min="13833" max="13833" width="10.7109375" style="1709" bestFit="1" customWidth="1"/>
    <col min="13834" max="13834" width="11.42578125" style="1709" bestFit="1" customWidth="1"/>
    <col min="13835" max="14080" width="9.140625" style="1709"/>
    <col min="14081" max="14081" width="4" style="1709" bestFit="1" customWidth="1"/>
    <col min="14082" max="14082" width="13.28515625" style="1709" bestFit="1" customWidth="1"/>
    <col min="14083" max="14083" width="54.5703125" style="1709" bestFit="1" customWidth="1"/>
    <col min="14084" max="14084" width="11.42578125" style="1709" bestFit="1" customWidth="1"/>
    <col min="14085" max="14087" width="11.5703125" style="1709" bestFit="1" customWidth="1"/>
    <col min="14088" max="14088" width="11" style="1709" bestFit="1" customWidth="1"/>
    <col min="14089" max="14089" width="10.7109375" style="1709" bestFit="1" customWidth="1"/>
    <col min="14090" max="14090" width="11.42578125" style="1709" bestFit="1" customWidth="1"/>
    <col min="14091" max="14336" width="9.140625" style="1709"/>
    <col min="14337" max="14337" width="4" style="1709" bestFit="1" customWidth="1"/>
    <col min="14338" max="14338" width="13.28515625" style="1709" bestFit="1" customWidth="1"/>
    <col min="14339" max="14339" width="54.5703125" style="1709" bestFit="1" customWidth="1"/>
    <col min="14340" max="14340" width="11.42578125" style="1709" bestFit="1" customWidth="1"/>
    <col min="14341" max="14343" width="11.5703125" style="1709" bestFit="1" customWidth="1"/>
    <col min="14344" max="14344" width="11" style="1709" bestFit="1" customWidth="1"/>
    <col min="14345" max="14345" width="10.7109375" style="1709" bestFit="1" customWidth="1"/>
    <col min="14346" max="14346" width="11.42578125" style="1709" bestFit="1" customWidth="1"/>
    <col min="14347" max="14592" width="9.140625" style="1709"/>
    <col min="14593" max="14593" width="4" style="1709" bestFit="1" customWidth="1"/>
    <col min="14594" max="14594" width="13.28515625" style="1709" bestFit="1" customWidth="1"/>
    <col min="14595" max="14595" width="54.5703125" style="1709" bestFit="1" customWidth="1"/>
    <col min="14596" max="14596" width="11.42578125" style="1709" bestFit="1" customWidth="1"/>
    <col min="14597" max="14599" width="11.5703125" style="1709" bestFit="1" customWidth="1"/>
    <col min="14600" max="14600" width="11" style="1709" bestFit="1" customWidth="1"/>
    <col min="14601" max="14601" width="10.7109375" style="1709" bestFit="1" customWidth="1"/>
    <col min="14602" max="14602" width="11.42578125" style="1709" bestFit="1" customWidth="1"/>
    <col min="14603" max="14848" width="9.140625" style="1709"/>
    <col min="14849" max="14849" width="4" style="1709" bestFit="1" customWidth="1"/>
    <col min="14850" max="14850" width="13.28515625" style="1709" bestFit="1" customWidth="1"/>
    <col min="14851" max="14851" width="54.5703125" style="1709" bestFit="1" customWidth="1"/>
    <col min="14852" max="14852" width="11.42578125" style="1709" bestFit="1" customWidth="1"/>
    <col min="14853" max="14855" width="11.5703125" style="1709" bestFit="1" customWidth="1"/>
    <col min="14856" max="14856" width="11" style="1709" bestFit="1" customWidth="1"/>
    <col min="14857" max="14857" width="10.7109375" style="1709" bestFit="1" customWidth="1"/>
    <col min="14858" max="14858" width="11.42578125" style="1709" bestFit="1" customWidth="1"/>
    <col min="14859" max="15104" width="9.140625" style="1709"/>
    <col min="15105" max="15105" width="4" style="1709" bestFit="1" customWidth="1"/>
    <col min="15106" max="15106" width="13.28515625" style="1709" bestFit="1" customWidth="1"/>
    <col min="15107" max="15107" width="54.5703125" style="1709" bestFit="1" customWidth="1"/>
    <col min="15108" max="15108" width="11.42578125" style="1709" bestFit="1" customWidth="1"/>
    <col min="15109" max="15111" width="11.5703125" style="1709" bestFit="1" customWidth="1"/>
    <col min="15112" max="15112" width="11" style="1709" bestFit="1" customWidth="1"/>
    <col min="15113" max="15113" width="10.7109375" style="1709" bestFit="1" customWidth="1"/>
    <col min="15114" max="15114" width="11.42578125" style="1709" bestFit="1" customWidth="1"/>
    <col min="15115" max="15360" width="9.140625" style="1709"/>
    <col min="15361" max="15361" width="4" style="1709" bestFit="1" customWidth="1"/>
    <col min="15362" max="15362" width="13.28515625" style="1709" bestFit="1" customWidth="1"/>
    <col min="15363" max="15363" width="54.5703125" style="1709" bestFit="1" customWidth="1"/>
    <col min="15364" max="15364" width="11.42578125" style="1709" bestFit="1" customWidth="1"/>
    <col min="15365" max="15367" width="11.5703125" style="1709" bestFit="1" customWidth="1"/>
    <col min="15368" max="15368" width="11" style="1709" bestFit="1" customWidth="1"/>
    <col min="15369" max="15369" width="10.7109375" style="1709" bestFit="1" customWidth="1"/>
    <col min="15370" max="15370" width="11.42578125" style="1709" bestFit="1" customWidth="1"/>
    <col min="15371" max="15616" width="9.140625" style="1709"/>
    <col min="15617" max="15617" width="4" style="1709" bestFit="1" customWidth="1"/>
    <col min="15618" max="15618" width="13.28515625" style="1709" bestFit="1" customWidth="1"/>
    <col min="15619" max="15619" width="54.5703125" style="1709" bestFit="1" customWidth="1"/>
    <col min="15620" max="15620" width="11.42578125" style="1709" bestFit="1" customWidth="1"/>
    <col min="15621" max="15623" width="11.5703125" style="1709" bestFit="1" customWidth="1"/>
    <col min="15624" max="15624" width="11" style="1709" bestFit="1" customWidth="1"/>
    <col min="15625" max="15625" width="10.7109375" style="1709" bestFit="1" customWidth="1"/>
    <col min="15626" max="15626" width="11.42578125" style="1709" bestFit="1" customWidth="1"/>
    <col min="15627" max="15872" width="9.140625" style="1709"/>
    <col min="15873" max="15873" width="4" style="1709" bestFit="1" customWidth="1"/>
    <col min="15874" max="15874" width="13.28515625" style="1709" bestFit="1" customWidth="1"/>
    <col min="15875" max="15875" width="54.5703125" style="1709" bestFit="1" customWidth="1"/>
    <col min="15876" max="15876" width="11.42578125" style="1709" bestFit="1" customWidth="1"/>
    <col min="15877" max="15879" width="11.5703125" style="1709" bestFit="1" customWidth="1"/>
    <col min="15880" max="15880" width="11" style="1709" bestFit="1" customWidth="1"/>
    <col min="15881" max="15881" width="10.7109375" style="1709" bestFit="1" customWidth="1"/>
    <col min="15882" max="15882" width="11.42578125" style="1709" bestFit="1" customWidth="1"/>
    <col min="15883" max="16128" width="9.140625" style="1709"/>
    <col min="16129" max="16129" width="4" style="1709" bestFit="1" customWidth="1"/>
    <col min="16130" max="16130" width="13.28515625" style="1709" bestFit="1" customWidth="1"/>
    <col min="16131" max="16131" width="54.5703125" style="1709" bestFit="1" customWidth="1"/>
    <col min="16132" max="16132" width="11.42578125" style="1709" bestFit="1" customWidth="1"/>
    <col min="16133" max="16135" width="11.5703125" style="1709" bestFit="1" customWidth="1"/>
    <col min="16136" max="16136" width="11" style="1709" bestFit="1" customWidth="1"/>
    <col min="16137" max="16137" width="10.7109375" style="1709" bestFit="1" customWidth="1"/>
    <col min="16138" max="16138" width="11.42578125" style="1709" bestFit="1" customWidth="1"/>
    <col min="16139" max="16384" width="9.140625" style="1709"/>
  </cols>
  <sheetData>
    <row r="1" spans="1:9" x14ac:dyDescent="0.2">
      <c r="B1" s="1709"/>
      <c r="C1" s="1709"/>
      <c r="D1" s="2169" t="s">
        <v>2089</v>
      </c>
      <c r="E1" s="2170"/>
      <c r="F1" s="2170"/>
      <c r="G1" s="2170"/>
    </row>
    <row r="2" spans="1:9" x14ac:dyDescent="0.2">
      <c r="B2" s="2168" t="s">
        <v>77</v>
      </c>
      <c r="C2" s="2168"/>
      <c r="D2" s="2168"/>
      <c r="E2" s="2168"/>
      <c r="F2" s="2168"/>
      <c r="G2" s="2168"/>
    </row>
    <row r="3" spans="1:9" x14ac:dyDescent="0.2">
      <c r="B3" s="2168" t="s">
        <v>1362</v>
      </c>
      <c r="C3" s="2168"/>
      <c r="D3" s="2168"/>
      <c r="E3" s="2168"/>
      <c r="F3" s="2168"/>
      <c r="G3" s="2168"/>
      <c r="H3" s="1711"/>
    </row>
    <row r="4" spans="1:9" x14ac:dyDescent="0.2">
      <c r="B4" s="2168" t="s">
        <v>1869</v>
      </c>
      <c r="C4" s="2168"/>
      <c r="D4" s="2168"/>
      <c r="E4" s="2168"/>
      <c r="F4" s="2168"/>
      <c r="G4" s="2168"/>
    </row>
    <row r="5" spans="1:9" x14ac:dyDescent="0.2">
      <c r="B5" s="2168" t="s">
        <v>1401</v>
      </c>
      <c r="C5" s="2168"/>
      <c r="D5" s="2168"/>
      <c r="E5" s="2168"/>
      <c r="F5" s="2168"/>
      <c r="G5" s="2168"/>
    </row>
    <row r="6" spans="1:9" x14ac:dyDescent="0.2">
      <c r="B6" s="2168" t="s">
        <v>1870</v>
      </c>
      <c r="C6" s="2168"/>
      <c r="D6" s="2168"/>
      <c r="E6" s="2168"/>
      <c r="F6" s="2168"/>
      <c r="G6" s="2168"/>
    </row>
    <row r="7" spans="1:9" x14ac:dyDescent="0.2">
      <c r="B7" s="1712"/>
      <c r="C7" s="1712"/>
      <c r="D7" s="1712"/>
      <c r="E7" s="1712"/>
      <c r="F7" s="1712"/>
      <c r="G7" s="1712"/>
    </row>
    <row r="8" spans="1:9" x14ac:dyDescent="0.2">
      <c r="A8" s="2165" t="s">
        <v>1871</v>
      </c>
      <c r="B8" s="1713" t="s">
        <v>57</v>
      </c>
      <c r="C8" s="1713" t="s">
        <v>58</v>
      </c>
      <c r="D8" s="1714" t="s">
        <v>59</v>
      </c>
      <c r="E8" s="1714" t="s">
        <v>60</v>
      </c>
      <c r="F8" s="1714" t="s">
        <v>469</v>
      </c>
      <c r="G8" s="1714" t="s">
        <v>470</v>
      </c>
    </row>
    <row r="9" spans="1:9" s="1712" customFormat="1" x14ac:dyDescent="0.2">
      <c r="A9" s="2166"/>
      <c r="B9" s="1715" t="s">
        <v>1872</v>
      </c>
      <c r="C9" s="1715" t="s">
        <v>85</v>
      </c>
      <c r="D9" s="1715" t="s">
        <v>1873</v>
      </c>
      <c r="E9" s="1715" t="s">
        <v>1874</v>
      </c>
      <c r="F9" s="1715" t="s">
        <v>1875</v>
      </c>
      <c r="G9" s="1716" t="s">
        <v>1876</v>
      </c>
      <c r="H9" s="1717"/>
    </row>
    <row r="10" spans="1:9" s="1712" customFormat="1" ht="12.75" customHeight="1" x14ac:dyDescent="0.2">
      <c r="A10" s="1718"/>
      <c r="B10" s="1719"/>
      <c r="C10" s="1719"/>
      <c r="D10" s="1719"/>
      <c r="E10" s="1719"/>
      <c r="F10" s="1719"/>
      <c r="G10" s="1719"/>
      <c r="H10" s="1717"/>
    </row>
    <row r="11" spans="1:9" s="1712" customFormat="1" ht="12.75" customHeight="1" x14ac:dyDescent="0.2">
      <c r="A11" s="1720" t="s">
        <v>478</v>
      </c>
      <c r="B11" s="1719"/>
      <c r="C11" s="1721" t="s">
        <v>1226</v>
      </c>
      <c r="D11" s="1719"/>
      <c r="E11" s="1719"/>
      <c r="F11" s="1719"/>
      <c r="G11" s="1719"/>
      <c r="H11" s="1717"/>
    </row>
    <row r="12" spans="1:9" s="1712" customFormat="1" ht="12.75" customHeight="1" x14ac:dyDescent="0.2">
      <c r="A12" s="1718"/>
      <c r="B12" s="1719"/>
      <c r="C12" s="1721"/>
      <c r="D12" s="1719"/>
      <c r="E12" s="1719"/>
      <c r="F12" s="1719"/>
      <c r="G12" s="1719"/>
      <c r="H12" s="1717"/>
    </row>
    <row r="13" spans="1:9" ht="12.75" customHeight="1" x14ac:dyDescent="0.2">
      <c r="A13" s="1720" t="s">
        <v>486</v>
      </c>
      <c r="B13" s="1722"/>
      <c r="C13" s="1723" t="s">
        <v>1877</v>
      </c>
      <c r="D13" s="1724"/>
      <c r="E13" s="1724"/>
      <c r="F13" s="1724"/>
      <c r="G13" s="1724"/>
      <c r="H13" s="1725"/>
    </row>
    <row r="14" spans="1:9" ht="12.75" customHeight="1" x14ac:dyDescent="0.2">
      <c r="A14" s="1720" t="s">
        <v>487</v>
      </c>
      <c r="B14" s="2167" t="s">
        <v>1878</v>
      </c>
      <c r="C14" s="2167"/>
      <c r="D14" s="1724"/>
      <c r="E14" s="1724"/>
      <c r="F14" s="1724"/>
      <c r="G14" s="1724"/>
      <c r="H14" s="1725"/>
    </row>
    <row r="15" spans="1:9" s="1729" customFormat="1" ht="12.75" customHeight="1" x14ac:dyDescent="0.2">
      <c r="A15" s="1720" t="s">
        <v>488</v>
      </c>
      <c r="B15" s="1726" t="s">
        <v>1879</v>
      </c>
      <c r="C15" s="1727" t="s">
        <v>1880</v>
      </c>
      <c r="D15" s="1709">
        <v>7200000</v>
      </c>
      <c r="E15" s="1709"/>
      <c r="F15" s="1709"/>
      <c r="G15" s="1709">
        <f>D15+E15-F15</f>
        <v>7200000</v>
      </c>
      <c r="H15" s="1725"/>
      <c r="I15" s="1728"/>
    </row>
    <row r="16" spans="1:9" s="1729" customFormat="1" ht="12.75" customHeight="1" x14ac:dyDescent="0.2">
      <c r="A16" s="1720" t="s">
        <v>489</v>
      </c>
      <c r="B16" s="1726" t="s">
        <v>1881</v>
      </c>
      <c r="C16" s="1727" t="s">
        <v>1882</v>
      </c>
      <c r="D16" s="1709">
        <v>17500000</v>
      </c>
      <c r="E16" s="1709">
        <v>21870079</v>
      </c>
      <c r="F16" s="1709"/>
      <c r="G16" s="1709">
        <f>D16+E16-F16</f>
        <v>39370079</v>
      </c>
      <c r="H16" s="1725"/>
      <c r="I16" s="1728"/>
    </row>
    <row r="17" spans="1:9" ht="12.75" customHeight="1" x14ac:dyDescent="0.2">
      <c r="A17" s="1720" t="s">
        <v>490</v>
      </c>
      <c r="B17" s="1726" t="s">
        <v>1883</v>
      </c>
      <c r="C17" s="1727" t="s">
        <v>1884</v>
      </c>
      <c r="D17" s="1709">
        <v>26500</v>
      </c>
      <c r="E17" s="1709"/>
      <c r="F17" s="1710"/>
      <c r="G17" s="1709">
        <f t="shared" ref="G17:G28" si="0">D17+E17-F17</f>
        <v>26500</v>
      </c>
      <c r="H17" s="1709"/>
    </row>
    <row r="18" spans="1:9" ht="12.75" customHeight="1" x14ac:dyDescent="0.2">
      <c r="A18" s="1720" t="s">
        <v>491</v>
      </c>
      <c r="B18" s="1726" t="s">
        <v>1885</v>
      </c>
      <c r="C18" s="1727" t="s">
        <v>1886</v>
      </c>
      <c r="D18" s="1709">
        <v>3709100</v>
      </c>
      <c r="E18" s="1709"/>
      <c r="F18" s="1710"/>
      <c r="G18" s="1709">
        <f t="shared" si="0"/>
        <v>3709100</v>
      </c>
      <c r="H18" s="1709"/>
    </row>
    <row r="19" spans="1:9" ht="12.75" customHeight="1" x14ac:dyDescent="0.2">
      <c r="A19" s="1720" t="s">
        <v>492</v>
      </c>
      <c r="B19" s="1726" t="s">
        <v>1887</v>
      </c>
      <c r="C19" s="1727" t="s">
        <v>1888</v>
      </c>
      <c r="D19" s="1709">
        <v>1028700</v>
      </c>
      <c r="E19" s="1709"/>
      <c r="F19" s="1709"/>
      <c r="G19" s="1709">
        <f t="shared" si="0"/>
        <v>1028700</v>
      </c>
      <c r="H19" s="1709"/>
    </row>
    <row r="20" spans="1:9" ht="12.75" customHeight="1" x14ac:dyDescent="0.2">
      <c r="A20" s="1720" t="s">
        <v>493</v>
      </c>
      <c r="B20" s="1726" t="s">
        <v>1889</v>
      </c>
      <c r="C20" s="1727" t="s">
        <v>1890</v>
      </c>
      <c r="D20" s="1709">
        <v>2057400</v>
      </c>
      <c r="E20" s="1709"/>
      <c r="F20" s="1710"/>
      <c r="G20" s="1709">
        <f t="shared" si="0"/>
        <v>2057400</v>
      </c>
      <c r="H20" s="1709"/>
    </row>
    <row r="21" spans="1:9" ht="12.75" customHeight="1" x14ac:dyDescent="0.2">
      <c r="A21" s="1720" t="s">
        <v>529</v>
      </c>
      <c r="B21" s="1726" t="s">
        <v>1891</v>
      </c>
      <c r="C21" s="1727" t="s">
        <v>1892</v>
      </c>
      <c r="D21" s="1709">
        <v>177800</v>
      </c>
      <c r="E21" s="1709"/>
      <c r="F21" s="1710"/>
      <c r="G21" s="1709">
        <f t="shared" si="0"/>
        <v>177800</v>
      </c>
      <c r="H21" s="1709"/>
    </row>
    <row r="22" spans="1:9" s="1729" customFormat="1" ht="12.75" customHeight="1" x14ac:dyDescent="0.2">
      <c r="A22" s="1720" t="s">
        <v>530</v>
      </c>
      <c r="B22" s="1726" t="s">
        <v>1883</v>
      </c>
      <c r="C22" s="1727" t="s">
        <v>1893</v>
      </c>
      <c r="D22" s="1709">
        <v>700000</v>
      </c>
      <c r="E22" s="1709"/>
      <c r="F22" s="1709"/>
      <c r="G22" s="1709">
        <f t="shared" si="0"/>
        <v>700000</v>
      </c>
      <c r="H22" s="1725"/>
      <c r="I22" s="1728"/>
    </row>
    <row r="23" spans="1:9" s="1729" customFormat="1" ht="12.75" customHeight="1" x14ac:dyDescent="0.2">
      <c r="A23" s="1720" t="s">
        <v>531</v>
      </c>
      <c r="B23" s="1726" t="s">
        <v>1894</v>
      </c>
      <c r="C23" s="1727" t="s">
        <v>1895</v>
      </c>
      <c r="D23" s="1709">
        <v>28130000</v>
      </c>
      <c r="E23" s="1709">
        <v>7850000</v>
      </c>
      <c r="F23" s="1709"/>
      <c r="G23" s="1709">
        <f t="shared" si="0"/>
        <v>35980000</v>
      </c>
      <c r="H23" s="1725"/>
      <c r="I23" s="1728"/>
    </row>
    <row r="24" spans="1:9" s="1729" customFormat="1" ht="12.75" customHeight="1" x14ac:dyDescent="0.2">
      <c r="A24" s="1720" t="s">
        <v>532</v>
      </c>
      <c r="B24" s="1726" t="s">
        <v>1896</v>
      </c>
      <c r="C24" s="1727" t="s">
        <v>1897</v>
      </c>
      <c r="D24" s="1709">
        <v>1500000</v>
      </c>
      <c r="E24" s="1709"/>
      <c r="F24" s="1709"/>
      <c r="G24" s="1709">
        <f>D24+E24-F24</f>
        <v>1500000</v>
      </c>
      <c r="H24" s="1725"/>
      <c r="I24" s="1728"/>
    </row>
    <row r="25" spans="1:9" s="1729" customFormat="1" ht="12.75" customHeight="1" x14ac:dyDescent="0.2">
      <c r="A25" s="1720" t="s">
        <v>533</v>
      </c>
      <c r="B25" s="1726" t="s">
        <v>1898</v>
      </c>
      <c r="C25" s="1727" t="s">
        <v>1899</v>
      </c>
      <c r="D25" s="1709">
        <v>2545000</v>
      </c>
      <c r="E25" s="1709">
        <v>222754281</v>
      </c>
      <c r="F25" s="1709">
        <v>224209281</v>
      </c>
      <c r="G25" s="1709">
        <f t="shared" si="0"/>
        <v>1090000</v>
      </c>
      <c r="H25" s="1725"/>
      <c r="I25" s="1728"/>
    </row>
    <row r="26" spans="1:9" s="1729" customFormat="1" ht="12.75" customHeight="1" x14ac:dyDescent="0.2">
      <c r="A26" s="1720" t="s">
        <v>534</v>
      </c>
      <c r="B26" s="1726" t="s">
        <v>1900</v>
      </c>
      <c r="C26" s="1727" t="s">
        <v>1901</v>
      </c>
      <c r="D26" s="1709">
        <v>23790000</v>
      </c>
      <c r="E26" s="1709"/>
      <c r="F26" s="1709"/>
      <c r="G26" s="1709">
        <f t="shared" si="0"/>
        <v>23790000</v>
      </c>
      <c r="H26" s="1725"/>
      <c r="I26" s="1728"/>
    </row>
    <row r="27" spans="1:9" s="1729" customFormat="1" ht="12.75" customHeight="1" x14ac:dyDescent="0.2">
      <c r="A27" s="1720" t="s">
        <v>535</v>
      </c>
      <c r="B27" s="1726" t="s">
        <v>1883</v>
      </c>
      <c r="C27" s="1727" t="s">
        <v>1902</v>
      </c>
      <c r="D27" s="1709">
        <v>3000000</v>
      </c>
      <c r="E27" s="1709"/>
      <c r="F27" s="1709"/>
      <c r="G27" s="1709">
        <f t="shared" si="0"/>
        <v>3000000</v>
      </c>
      <c r="H27" s="1725"/>
      <c r="I27" s="1728"/>
    </row>
    <row r="28" spans="1:9" s="1729" customFormat="1" ht="12.75" customHeight="1" x14ac:dyDescent="0.2">
      <c r="A28" s="1720" t="s">
        <v>536</v>
      </c>
      <c r="B28" s="1726" t="s">
        <v>1903</v>
      </c>
      <c r="C28" s="1727" t="s">
        <v>1904</v>
      </c>
      <c r="D28" s="1709">
        <v>686000</v>
      </c>
      <c r="E28" s="1709"/>
      <c r="F28" s="1709"/>
      <c r="G28" s="1709">
        <f t="shared" si="0"/>
        <v>686000</v>
      </c>
      <c r="H28" s="1725"/>
      <c r="I28" s="1728"/>
    </row>
    <row r="29" spans="1:9" s="1729" customFormat="1" ht="12.75" customHeight="1" x14ac:dyDescent="0.2">
      <c r="A29" s="1720" t="s">
        <v>538</v>
      </c>
      <c r="B29" s="1726" t="s">
        <v>1881</v>
      </c>
      <c r="C29" s="1727" t="s">
        <v>1905</v>
      </c>
      <c r="D29" s="1709">
        <v>975000</v>
      </c>
      <c r="E29" s="1709"/>
      <c r="F29" s="1709"/>
      <c r="G29" s="1709">
        <f>D29+E29-F29</f>
        <v>975000</v>
      </c>
      <c r="H29" s="1725"/>
      <c r="I29" s="1728"/>
    </row>
    <row r="30" spans="1:9" s="1729" customFormat="1" ht="12.75" customHeight="1" x14ac:dyDescent="0.2">
      <c r="A30" s="1720" t="s">
        <v>539</v>
      </c>
      <c r="B30" s="1726" t="s">
        <v>1906</v>
      </c>
      <c r="C30" s="1727" t="s">
        <v>1907</v>
      </c>
      <c r="D30" s="1709">
        <v>2200000</v>
      </c>
      <c r="E30" s="1709">
        <v>27599988</v>
      </c>
      <c r="F30" s="1709"/>
      <c r="G30" s="1709">
        <f>D30+E30-F30</f>
        <v>29799988</v>
      </c>
      <c r="H30" s="1725"/>
      <c r="I30" s="1728"/>
    </row>
    <row r="31" spans="1:9" s="1729" customFormat="1" ht="12.75" customHeight="1" x14ac:dyDescent="0.2">
      <c r="A31" s="1720" t="s">
        <v>540</v>
      </c>
      <c r="B31" s="1726" t="s">
        <v>1896</v>
      </c>
      <c r="C31" s="1727" t="s">
        <v>1908</v>
      </c>
      <c r="D31" s="1709">
        <v>529678633</v>
      </c>
      <c r="E31" s="1709">
        <v>209347593</v>
      </c>
      <c r="F31" s="1709">
        <v>734229001</v>
      </c>
      <c r="G31" s="1709">
        <f>D31+E31-F31</f>
        <v>4797225</v>
      </c>
      <c r="H31" s="1725"/>
      <c r="I31" s="1728"/>
    </row>
    <row r="32" spans="1:9" s="1729" customFormat="1" ht="12.75" customHeight="1" x14ac:dyDescent="0.2">
      <c r="A32" s="1720" t="s">
        <v>541</v>
      </c>
      <c r="B32" s="1726" t="s">
        <v>1909</v>
      </c>
      <c r="C32" s="1727" t="s">
        <v>1910</v>
      </c>
      <c r="D32" s="1709">
        <v>7557000</v>
      </c>
      <c r="E32" s="1709"/>
      <c r="F32" s="1709"/>
      <c r="G32" s="1709">
        <f>D32+E32-F32</f>
        <v>7557000</v>
      </c>
      <c r="H32" s="1725"/>
      <c r="I32" s="1728"/>
    </row>
    <row r="33" spans="1:9" s="1729" customFormat="1" ht="12.75" customHeight="1" x14ac:dyDescent="0.2">
      <c r="A33" s="1720" t="s">
        <v>542</v>
      </c>
      <c r="B33" s="1726" t="s">
        <v>1906</v>
      </c>
      <c r="C33" s="1727" t="s">
        <v>1911</v>
      </c>
      <c r="D33" s="1709">
        <v>2390000</v>
      </c>
      <c r="E33" s="1709">
        <v>4438000</v>
      </c>
      <c r="F33" s="1709"/>
      <c r="G33" s="1709">
        <f t="shared" ref="G33:G34" si="1">D33+E33-F33</f>
        <v>6828000</v>
      </c>
      <c r="H33" s="1725"/>
      <c r="I33" s="1728"/>
    </row>
    <row r="34" spans="1:9" s="1729" customFormat="1" ht="12.75" customHeight="1" x14ac:dyDescent="0.2">
      <c r="A34" s="1720" t="s">
        <v>543</v>
      </c>
      <c r="B34" s="1726" t="s">
        <v>1896</v>
      </c>
      <c r="C34" s="1727" t="s">
        <v>1912</v>
      </c>
      <c r="D34" s="1709">
        <v>31579575</v>
      </c>
      <c r="E34" s="1709">
        <v>35846905</v>
      </c>
      <c r="F34" s="1709">
        <v>67426480</v>
      </c>
      <c r="G34" s="1709">
        <f t="shared" si="1"/>
        <v>0</v>
      </c>
      <c r="H34" s="1725"/>
      <c r="I34" s="1728"/>
    </row>
    <row r="35" spans="1:9" s="1729" customFormat="1" ht="12.75" customHeight="1" x14ac:dyDescent="0.2">
      <c r="A35" s="1720" t="s">
        <v>544</v>
      </c>
      <c r="B35" s="1730" t="s">
        <v>1913</v>
      </c>
      <c r="C35" s="1727"/>
      <c r="D35" s="1709"/>
      <c r="E35" s="1709"/>
      <c r="F35" s="1709"/>
      <c r="G35" s="1709"/>
      <c r="H35" s="1725"/>
      <c r="I35" s="1728"/>
    </row>
    <row r="36" spans="1:9" s="1729" customFormat="1" ht="12.75" customHeight="1" x14ac:dyDescent="0.2">
      <c r="A36" s="1720" t="s">
        <v>545</v>
      </c>
      <c r="B36" s="1726" t="s">
        <v>1881</v>
      </c>
      <c r="C36" s="1727" t="s">
        <v>1914</v>
      </c>
      <c r="D36" s="1709"/>
      <c r="E36" s="1709">
        <v>6273948</v>
      </c>
      <c r="F36" s="1709"/>
      <c r="G36" s="1709">
        <f t="shared" ref="G36" si="2">D36+E36-F36</f>
        <v>6273948</v>
      </c>
      <c r="H36" s="1725"/>
      <c r="I36" s="1728"/>
    </row>
    <row r="37" spans="1:9" ht="12.75" customHeight="1" x14ac:dyDescent="0.25">
      <c r="A37" s="1720" t="s">
        <v>563</v>
      </c>
      <c r="B37" s="1731"/>
      <c r="C37" s="1732" t="s">
        <v>1915</v>
      </c>
      <c r="D37" s="1733">
        <f>SUM(D15:D36)</f>
        <v>666430708</v>
      </c>
      <c r="E37" s="1733">
        <f t="shared" ref="E37:G37" si="3">SUM(E15:E36)</f>
        <v>535980794</v>
      </c>
      <c r="F37" s="1733">
        <f t="shared" si="3"/>
        <v>1025864762</v>
      </c>
      <c r="G37" s="1733">
        <f t="shared" si="3"/>
        <v>176546740</v>
      </c>
    </row>
    <row r="38" spans="1:9" ht="12.75" customHeight="1" x14ac:dyDescent="0.2">
      <c r="A38" s="1720"/>
      <c r="B38" s="1726"/>
      <c r="C38" s="1727"/>
      <c r="D38" s="1709"/>
      <c r="E38" s="1709"/>
      <c r="F38" s="1709"/>
      <c r="G38" s="1709"/>
    </row>
    <row r="39" spans="1:9" ht="12.75" customHeight="1" x14ac:dyDescent="0.2">
      <c r="A39" s="1720" t="s">
        <v>564</v>
      </c>
      <c r="B39" s="1726"/>
      <c r="C39" s="1723" t="s">
        <v>1916</v>
      </c>
      <c r="D39" s="1709"/>
      <c r="E39" s="1709"/>
      <c r="F39" s="1709"/>
      <c r="G39" s="1709"/>
    </row>
    <row r="40" spans="1:9" ht="12.75" customHeight="1" x14ac:dyDescent="0.2">
      <c r="A40" s="1720" t="s">
        <v>565</v>
      </c>
      <c r="B40" s="2167" t="s">
        <v>1878</v>
      </c>
      <c r="C40" s="2167"/>
      <c r="D40" s="1709"/>
      <c r="E40" s="1709"/>
      <c r="F40" s="1709"/>
      <c r="G40" s="1709"/>
    </row>
    <row r="41" spans="1:9" ht="12.75" customHeight="1" x14ac:dyDescent="0.2">
      <c r="A41" s="1720" t="s">
        <v>566</v>
      </c>
      <c r="B41" s="1726" t="s">
        <v>1917</v>
      </c>
      <c r="C41" s="1727" t="s">
        <v>1918</v>
      </c>
      <c r="D41" s="1709">
        <v>1925000</v>
      </c>
      <c r="E41" s="1709"/>
      <c r="F41" s="1709">
        <v>1925000</v>
      </c>
      <c r="G41" s="1709">
        <f t="shared" ref="G41" si="4">D41+E41-F41</f>
        <v>0</v>
      </c>
    </row>
    <row r="42" spans="1:9" ht="12.75" customHeight="1" x14ac:dyDescent="0.25">
      <c r="A42" s="1720" t="s">
        <v>567</v>
      </c>
      <c r="B42" s="1726"/>
      <c r="C42" s="1732" t="s">
        <v>1919</v>
      </c>
      <c r="D42" s="1733">
        <f>SUM(D40:D41)</f>
        <v>1925000</v>
      </c>
      <c r="E42" s="1733">
        <f>SUM(E40:E41)</f>
        <v>0</v>
      </c>
      <c r="F42" s="1733">
        <f>SUM(F40:F41)</f>
        <v>1925000</v>
      </c>
      <c r="G42" s="1733">
        <f>SUM(G40:G41)</f>
        <v>0</v>
      </c>
    </row>
    <row r="43" spans="1:9" ht="12.75" customHeight="1" x14ac:dyDescent="0.25">
      <c r="A43" s="1720"/>
      <c r="B43" s="1726"/>
      <c r="C43" s="1732"/>
      <c r="D43" s="1733"/>
      <c r="E43" s="1733"/>
      <c r="F43" s="1733"/>
      <c r="G43" s="1733"/>
    </row>
    <row r="44" spans="1:9" ht="12.75" customHeight="1" x14ac:dyDescent="0.2">
      <c r="A44" s="1720" t="s">
        <v>568</v>
      </c>
      <c r="B44" s="1726"/>
      <c r="C44" s="1723" t="s">
        <v>1920</v>
      </c>
      <c r="D44" s="1709"/>
      <c r="E44" s="1709"/>
      <c r="F44" s="1709"/>
      <c r="G44" s="1709"/>
    </row>
    <row r="45" spans="1:9" ht="12.75" customHeight="1" x14ac:dyDescent="0.2">
      <c r="A45" s="1720" t="s">
        <v>569</v>
      </c>
      <c r="B45" s="2167" t="s">
        <v>1878</v>
      </c>
      <c r="C45" s="2167"/>
      <c r="D45" s="1724"/>
      <c r="E45" s="1724"/>
      <c r="F45" s="1724"/>
      <c r="G45" s="1724"/>
      <c r="H45" s="1725"/>
    </row>
    <row r="46" spans="1:9" ht="12.75" customHeight="1" x14ac:dyDescent="0.2">
      <c r="A46" s="1720" t="s">
        <v>570</v>
      </c>
      <c r="B46" s="1726" t="s">
        <v>1921</v>
      </c>
      <c r="C46" s="1734" t="s">
        <v>1922</v>
      </c>
      <c r="D46" s="1724">
        <v>112660</v>
      </c>
      <c r="E46" s="1724"/>
      <c r="F46" s="1724">
        <v>112660</v>
      </c>
      <c r="G46" s="1709">
        <f t="shared" ref="G46" si="5">D46+E46-F46</f>
        <v>0</v>
      </c>
      <c r="H46" s="1725"/>
    </row>
    <row r="47" spans="1:9" ht="12.75" customHeight="1" x14ac:dyDescent="0.25">
      <c r="A47" s="1720" t="s">
        <v>571</v>
      </c>
      <c r="B47" s="1726"/>
      <c r="C47" s="1732" t="s">
        <v>1923</v>
      </c>
      <c r="D47" s="1733">
        <f>SUM(D44:D46)</f>
        <v>112660</v>
      </c>
      <c r="E47" s="1733">
        <f t="shared" ref="E47:G47" si="6">SUM(E44:E46)</f>
        <v>0</v>
      </c>
      <c r="F47" s="1733">
        <f t="shared" si="6"/>
        <v>112660</v>
      </c>
      <c r="G47" s="1733">
        <f t="shared" si="6"/>
        <v>0</v>
      </c>
      <c r="H47" s="1725"/>
    </row>
    <row r="48" spans="1:9" ht="12.75" customHeight="1" x14ac:dyDescent="0.2">
      <c r="A48" s="1720"/>
      <c r="B48" s="1726"/>
      <c r="C48" s="1734"/>
      <c r="D48" s="1724"/>
      <c r="E48" s="1724"/>
      <c r="F48" s="1724"/>
      <c r="G48" s="1709"/>
      <c r="H48" s="1725"/>
    </row>
    <row r="49" spans="1:10" ht="12.75" customHeight="1" x14ac:dyDescent="0.25">
      <c r="A49" s="1720" t="s">
        <v>622</v>
      </c>
      <c r="B49" s="1726"/>
      <c r="C49" s="1723" t="s">
        <v>1924</v>
      </c>
      <c r="D49" s="1733"/>
      <c r="E49" s="1733"/>
      <c r="F49" s="1733"/>
      <c r="G49" s="1733"/>
      <c r="H49" s="1729"/>
    </row>
    <row r="50" spans="1:10" ht="12.75" customHeight="1" x14ac:dyDescent="0.25">
      <c r="A50" s="1720" t="s">
        <v>623</v>
      </c>
      <c r="B50" s="2167" t="s">
        <v>1878</v>
      </c>
      <c r="C50" s="2167"/>
      <c r="D50" s="1733"/>
      <c r="E50" s="1733"/>
      <c r="F50" s="1733"/>
      <c r="G50" s="1733"/>
      <c r="H50" s="1729"/>
    </row>
    <row r="51" spans="1:10" ht="12.75" customHeight="1" x14ac:dyDescent="0.25">
      <c r="A51" s="1720" t="s">
        <v>624</v>
      </c>
      <c r="B51" s="1726" t="s">
        <v>1925</v>
      </c>
      <c r="C51" s="1727" t="s">
        <v>1926</v>
      </c>
      <c r="D51" s="1709">
        <v>3000000</v>
      </c>
      <c r="E51" s="1709"/>
      <c r="F51" s="1733"/>
      <c r="G51" s="1709">
        <f>D51+E51+F51</f>
        <v>3000000</v>
      </c>
      <c r="H51" s="1729"/>
    </row>
    <row r="52" spans="1:10" s="1729" customFormat="1" ht="12.75" customHeight="1" x14ac:dyDescent="0.25">
      <c r="A52" s="1720" t="s">
        <v>625</v>
      </c>
      <c r="B52" s="1726"/>
      <c r="C52" s="1732" t="s">
        <v>1927</v>
      </c>
      <c r="D52" s="1733">
        <f>SUM(D51)</f>
        <v>3000000</v>
      </c>
      <c r="E52" s="1733">
        <f t="shared" ref="E52:G52" si="7">SUM(E51)</f>
        <v>0</v>
      </c>
      <c r="F52" s="1733">
        <f t="shared" si="7"/>
        <v>0</v>
      </c>
      <c r="G52" s="1733">
        <f t="shared" si="7"/>
        <v>3000000</v>
      </c>
      <c r="H52" s="1725"/>
      <c r="I52" s="1728"/>
    </row>
    <row r="53" spans="1:10" ht="12.75" customHeight="1" x14ac:dyDescent="0.25">
      <c r="A53" s="1720"/>
      <c r="B53" s="1726"/>
      <c r="C53" s="1732"/>
      <c r="D53" s="1733"/>
      <c r="E53" s="1733"/>
      <c r="F53" s="1733"/>
      <c r="G53" s="1733"/>
      <c r="H53" s="1729"/>
    </row>
    <row r="54" spans="1:10" ht="12.75" customHeight="1" x14ac:dyDescent="0.2">
      <c r="A54" s="1735" t="s">
        <v>115</v>
      </c>
      <c r="B54" s="1736"/>
      <c r="C54" s="1737" t="s">
        <v>1928</v>
      </c>
      <c r="D54" s="1738">
        <f>D37+D42+D47+D52</f>
        <v>671468368</v>
      </c>
      <c r="E54" s="1738">
        <f>E37+E42+E47+E52</f>
        <v>535980794</v>
      </c>
      <c r="F54" s="1738">
        <f>F37+F42+F47+F52</f>
        <v>1027902422</v>
      </c>
      <c r="G54" s="1738">
        <f>G37+G42+G47+G52</f>
        <v>179546740</v>
      </c>
    </row>
    <row r="55" spans="1:10" ht="12.75" customHeight="1" x14ac:dyDescent="0.2">
      <c r="A55" s="1735"/>
      <c r="B55" s="1727"/>
      <c r="C55" s="1727"/>
      <c r="D55" s="1709"/>
      <c r="E55" s="1709"/>
      <c r="F55" s="1709"/>
      <c r="G55" s="1709"/>
    </row>
    <row r="56" spans="1:10" s="1710" customFormat="1" x14ac:dyDescent="0.2">
      <c r="A56" s="1739"/>
      <c r="B56" s="1739"/>
      <c r="C56" s="1739"/>
      <c r="D56" s="1739"/>
      <c r="E56" s="1740"/>
      <c r="F56" s="1740"/>
      <c r="G56" s="1740"/>
      <c r="I56" s="1709"/>
      <c r="J56" s="1709"/>
    </row>
    <row r="57" spans="1:10" s="1710" customFormat="1" x14ac:dyDescent="0.2">
      <c r="A57" s="1709"/>
      <c r="B57" s="1741"/>
      <c r="C57" s="1741"/>
      <c r="D57" s="1741"/>
      <c r="E57" s="1741"/>
      <c r="F57" s="1741"/>
      <c r="G57" s="1741"/>
      <c r="I57" s="1709"/>
      <c r="J57" s="1709"/>
    </row>
  </sheetData>
  <mergeCells count="11">
    <mergeCell ref="B6:G6"/>
    <mergeCell ref="D1:G1"/>
    <mergeCell ref="B2:G2"/>
    <mergeCell ref="B3:G3"/>
    <mergeCell ref="B4:G4"/>
    <mergeCell ref="B5:G5"/>
    <mergeCell ref="A8:A9"/>
    <mergeCell ref="B14:C14"/>
    <mergeCell ref="B40:C40"/>
    <mergeCell ref="B45:C45"/>
    <mergeCell ref="B50:C50"/>
  </mergeCells>
  <hyperlinks>
    <hyperlink ref="B4" r:id="rId1" display="mailto:heviz_ph@t-online.hu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89"/>
  <sheetViews>
    <sheetView workbookViewId="0">
      <selection activeCell="B1" sqref="B1:D1"/>
    </sheetView>
  </sheetViews>
  <sheetFormatPr defaultColWidth="4.85546875" defaultRowHeight="12.75" x14ac:dyDescent="0.2"/>
  <cols>
    <col min="1" max="1" width="3.85546875" style="4" bestFit="1" customWidth="1"/>
    <col min="2" max="2" width="64.140625" style="4" bestFit="1" customWidth="1"/>
    <col min="3" max="3" width="9.85546875" style="4" customWidth="1"/>
    <col min="4" max="4" width="13.5703125" style="4" customWidth="1"/>
    <col min="5" max="5" width="12.42578125" style="4" bestFit="1" customWidth="1"/>
    <col min="6" max="6" width="10.85546875" style="4" bestFit="1" customWidth="1"/>
    <col min="7" max="256" width="4.85546875" style="4"/>
    <col min="257" max="257" width="3.85546875" style="4" bestFit="1" customWidth="1"/>
    <col min="258" max="258" width="64.140625" style="4" bestFit="1" customWidth="1"/>
    <col min="259" max="259" width="9.85546875" style="4" customWidth="1"/>
    <col min="260" max="260" width="13.5703125" style="4" customWidth="1"/>
    <col min="261" max="261" width="12.42578125" style="4" bestFit="1" customWidth="1"/>
    <col min="262" max="512" width="4.85546875" style="4"/>
    <col min="513" max="513" width="3.85546875" style="4" bestFit="1" customWidth="1"/>
    <col min="514" max="514" width="64.140625" style="4" bestFit="1" customWidth="1"/>
    <col min="515" max="515" width="9.85546875" style="4" customWidth="1"/>
    <col min="516" max="516" width="13.5703125" style="4" customWidth="1"/>
    <col min="517" max="517" width="12.42578125" style="4" bestFit="1" customWidth="1"/>
    <col min="518" max="768" width="4.85546875" style="4"/>
    <col min="769" max="769" width="3.85546875" style="4" bestFit="1" customWidth="1"/>
    <col min="770" max="770" width="64.140625" style="4" bestFit="1" customWidth="1"/>
    <col min="771" max="771" width="9.85546875" style="4" customWidth="1"/>
    <col min="772" max="772" width="13.5703125" style="4" customWidth="1"/>
    <col min="773" max="773" width="12.42578125" style="4" bestFit="1" customWidth="1"/>
    <col min="774" max="1024" width="4.85546875" style="4"/>
    <col min="1025" max="1025" width="3.85546875" style="4" bestFit="1" customWidth="1"/>
    <col min="1026" max="1026" width="64.140625" style="4" bestFit="1" customWidth="1"/>
    <col min="1027" max="1027" width="9.85546875" style="4" customWidth="1"/>
    <col min="1028" max="1028" width="13.5703125" style="4" customWidth="1"/>
    <col min="1029" max="1029" width="12.42578125" style="4" bestFit="1" customWidth="1"/>
    <col min="1030" max="1280" width="4.85546875" style="4"/>
    <col min="1281" max="1281" width="3.85546875" style="4" bestFit="1" customWidth="1"/>
    <col min="1282" max="1282" width="64.140625" style="4" bestFit="1" customWidth="1"/>
    <col min="1283" max="1283" width="9.85546875" style="4" customWidth="1"/>
    <col min="1284" max="1284" width="13.5703125" style="4" customWidth="1"/>
    <col min="1285" max="1285" width="12.42578125" style="4" bestFit="1" customWidth="1"/>
    <col min="1286" max="1536" width="4.85546875" style="4"/>
    <col min="1537" max="1537" width="3.85546875" style="4" bestFit="1" customWidth="1"/>
    <col min="1538" max="1538" width="64.140625" style="4" bestFit="1" customWidth="1"/>
    <col min="1539" max="1539" width="9.85546875" style="4" customWidth="1"/>
    <col min="1540" max="1540" width="13.5703125" style="4" customWidth="1"/>
    <col min="1541" max="1541" width="12.42578125" style="4" bestFit="1" customWidth="1"/>
    <col min="1542" max="1792" width="4.85546875" style="4"/>
    <col min="1793" max="1793" width="3.85546875" style="4" bestFit="1" customWidth="1"/>
    <col min="1794" max="1794" width="64.140625" style="4" bestFit="1" customWidth="1"/>
    <col min="1795" max="1795" width="9.85546875" style="4" customWidth="1"/>
    <col min="1796" max="1796" width="13.5703125" style="4" customWidth="1"/>
    <col min="1797" max="1797" width="12.42578125" style="4" bestFit="1" customWidth="1"/>
    <col min="1798" max="2048" width="4.85546875" style="4"/>
    <col min="2049" max="2049" width="3.85546875" style="4" bestFit="1" customWidth="1"/>
    <col min="2050" max="2050" width="64.140625" style="4" bestFit="1" customWidth="1"/>
    <col min="2051" max="2051" width="9.85546875" style="4" customWidth="1"/>
    <col min="2052" max="2052" width="13.5703125" style="4" customWidth="1"/>
    <col min="2053" max="2053" width="12.42578125" style="4" bestFit="1" customWidth="1"/>
    <col min="2054" max="2304" width="4.85546875" style="4"/>
    <col min="2305" max="2305" width="3.85546875" style="4" bestFit="1" customWidth="1"/>
    <col min="2306" max="2306" width="64.140625" style="4" bestFit="1" customWidth="1"/>
    <col min="2307" max="2307" width="9.85546875" style="4" customWidth="1"/>
    <col min="2308" max="2308" width="13.5703125" style="4" customWidth="1"/>
    <col min="2309" max="2309" width="12.42578125" style="4" bestFit="1" customWidth="1"/>
    <col min="2310" max="2560" width="4.85546875" style="4"/>
    <col min="2561" max="2561" width="3.85546875" style="4" bestFit="1" customWidth="1"/>
    <col min="2562" max="2562" width="64.140625" style="4" bestFit="1" customWidth="1"/>
    <col min="2563" max="2563" width="9.85546875" style="4" customWidth="1"/>
    <col min="2564" max="2564" width="13.5703125" style="4" customWidth="1"/>
    <col min="2565" max="2565" width="12.42578125" style="4" bestFit="1" customWidth="1"/>
    <col min="2566" max="2816" width="4.85546875" style="4"/>
    <col min="2817" max="2817" width="3.85546875" style="4" bestFit="1" customWidth="1"/>
    <col min="2818" max="2818" width="64.140625" style="4" bestFit="1" customWidth="1"/>
    <col min="2819" max="2819" width="9.85546875" style="4" customWidth="1"/>
    <col min="2820" max="2820" width="13.5703125" style="4" customWidth="1"/>
    <col min="2821" max="2821" width="12.42578125" style="4" bestFit="1" customWidth="1"/>
    <col min="2822" max="3072" width="4.85546875" style="4"/>
    <col min="3073" max="3073" width="3.85546875" style="4" bestFit="1" customWidth="1"/>
    <col min="3074" max="3074" width="64.140625" style="4" bestFit="1" customWidth="1"/>
    <col min="3075" max="3075" width="9.85546875" style="4" customWidth="1"/>
    <col min="3076" max="3076" width="13.5703125" style="4" customWidth="1"/>
    <col min="3077" max="3077" width="12.42578125" style="4" bestFit="1" customWidth="1"/>
    <col min="3078" max="3328" width="4.85546875" style="4"/>
    <col min="3329" max="3329" width="3.85546875" style="4" bestFit="1" customWidth="1"/>
    <col min="3330" max="3330" width="64.140625" style="4" bestFit="1" customWidth="1"/>
    <col min="3331" max="3331" width="9.85546875" style="4" customWidth="1"/>
    <col min="3332" max="3332" width="13.5703125" style="4" customWidth="1"/>
    <col min="3333" max="3333" width="12.42578125" style="4" bestFit="1" customWidth="1"/>
    <col min="3334" max="3584" width="4.85546875" style="4"/>
    <col min="3585" max="3585" width="3.85546875" style="4" bestFit="1" customWidth="1"/>
    <col min="3586" max="3586" width="64.140625" style="4" bestFit="1" customWidth="1"/>
    <col min="3587" max="3587" width="9.85546875" style="4" customWidth="1"/>
    <col min="3588" max="3588" width="13.5703125" style="4" customWidth="1"/>
    <col min="3589" max="3589" width="12.42578125" style="4" bestFit="1" customWidth="1"/>
    <col min="3590" max="3840" width="4.85546875" style="4"/>
    <col min="3841" max="3841" width="3.85546875" style="4" bestFit="1" customWidth="1"/>
    <col min="3842" max="3842" width="64.140625" style="4" bestFit="1" customWidth="1"/>
    <col min="3843" max="3843" width="9.85546875" style="4" customWidth="1"/>
    <col min="3844" max="3844" width="13.5703125" style="4" customWidth="1"/>
    <col min="3845" max="3845" width="12.42578125" style="4" bestFit="1" customWidth="1"/>
    <col min="3846" max="4096" width="4.85546875" style="4"/>
    <col min="4097" max="4097" width="3.85546875" style="4" bestFit="1" customWidth="1"/>
    <col min="4098" max="4098" width="64.140625" style="4" bestFit="1" customWidth="1"/>
    <col min="4099" max="4099" width="9.85546875" style="4" customWidth="1"/>
    <col min="4100" max="4100" width="13.5703125" style="4" customWidth="1"/>
    <col min="4101" max="4101" width="12.42578125" style="4" bestFit="1" customWidth="1"/>
    <col min="4102" max="4352" width="4.85546875" style="4"/>
    <col min="4353" max="4353" width="3.85546875" style="4" bestFit="1" customWidth="1"/>
    <col min="4354" max="4354" width="64.140625" style="4" bestFit="1" customWidth="1"/>
    <col min="4355" max="4355" width="9.85546875" style="4" customWidth="1"/>
    <col min="4356" max="4356" width="13.5703125" style="4" customWidth="1"/>
    <col min="4357" max="4357" width="12.42578125" style="4" bestFit="1" customWidth="1"/>
    <col min="4358" max="4608" width="4.85546875" style="4"/>
    <col min="4609" max="4609" width="3.85546875" style="4" bestFit="1" customWidth="1"/>
    <col min="4610" max="4610" width="64.140625" style="4" bestFit="1" customWidth="1"/>
    <col min="4611" max="4611" width="9.85546875" style="4" customWidth="1"/>
    <col min="4612" max="4612" width="13.5703125" style="4" customWidth="1"/>
    <col min="4613" max="4613" width="12.42578125" style="4" bestFit="1" customWidth="1"/>
    <col min="4614" max="4864" width="4.85546875" style="4"/>
    <col min="4865" max="4865" width="3.85546875" style="4" bestFit="1" customWidth="1"/>
    <col min="4866" max="4866" width="64.140625" style="4" bestFit="1" customWidth="1"/>
    <col min="4867" max="4867" width="9.85546875" style="4" customWidth="1"/>
    <col min="4868" max="4868" width="13.5703125" style="4" customWidth="1"/>
    <col min="4869" max="4869" width="12.42578125" style="4" bestFit="1" customWidth="1"/>
    <col min="4870" max="5120" width="4.85546875" style="4"/>
    <col min="5121" max="5121" width="3.85546875" style="4" bestFit="1" customWidth="1"/>
    <col min="5122" max="5122" width="64.140625" style="4" bestFit="1" customWidth="1"/>
    <col min="5123" max="5123" width="9.85546875" style="4" customWidth="1"/>
    <col min="5124" max="5124" width="13.5703125" style="4" customWidth="1"/>
    <col min="5125" max="5125" width="12.42578125" style="4" bestFit="1" customWidth="1"/>
    <col min="5126" max="5376" width="4.85546875" style="4"/>
    <col min="5377" max="5377" width="3.85546875" style="4" bestFit="1" customWidth="1"/>
    <col min="5378" max="5378" width="64.140625" style="4" bestFit="1" customWidth="1"/>
    <col min="5379" max="5379" width="9.85546875" style="4" customWidth="1"/>
    <col min="5380" max="5380" width="13.5703125" style="4" customWidth="1"/>
    <col min="5381" max="5381" width="12.42578125" style="4" bestFit="1" customWidth="1"/>
    <col min="5382" max="5632" width="4.85546875" style="4"/>
    <col min="5633" max="5633" width="3.85546875" style="4" bestFit="1" customWidth="1"/>
    <col min="5634" max="5634" width="64.140625" style="4" bestFit="1" customWidth="1"/>
    <col min="5635" max="5635" width="9.85546875" style="4" customWidth="1"/>
    <col min="5636" max="5636" width="13.5703125" style="4" customWidth="1"/>
    <col min="5637" max="5637" width="12.42578125" style="4" bestFit="1" customWidth="1"/>
    <col min="5638" max="5888" width="4.85546875" style="4"/>
    <col min="5889" max="5889" width="3.85546875" style="4" bestFit="1" customWidth="1"/>
    <col min="5890" max="5890" width="64.140625" style="4" bestFit="1" customWidth="1"/>
    <col min="5891" max="5891" width="9.85546875" style="4" customWidth="1"/>
    <col min="5892" max="5892" width="13.5703125" style="4" customWidth="1"/>
    <col min="5893" max="5893" width="12.42578125" style="4" bestFit="1" customWidth="1"/>
    <col min="5894" max="6144" width="4.85546875" style="4"/>
    <col min="6145" max="6145" width="3.85546875" style="4" bestFit="1" customWidth="1"/>
    <col min="6146" max="6146" width="64.140625" style="4" bestFit="1" customWidth="1"/>
    <col min="6147" max="6147" width="9.85546875" style="4" customWidth="1"/>
    <col min="6148" max="6148" width="13.5703125" style="4" customWidth="1"/>
    <col min="6149" max="6149" width="12.42578125" style="4" bestFit="1" customWidth="1"/>
    <col min="6150" max="6400" width="4.85546875" style="4"/>
    <col min="6401" max="6401" width="3.85546875" style="4" bestFit="1" customWidth="1"/>
    <col min="6402" max="6402" width="64.140625" style="4" bestFit="1" customWidth="1"/>
    <col min="6403" max="6403" width="9.85546875" style="4" customWidth="1"/>
    <col min="6404" max="6404" width="13.5703125" style="4" customWidth="1"/>
    <col min="6405" max="6405" width="12.42578125" style="4" bestFit="1" customWidth="1"/>
    <col min="6406" max="6656" width="4.85546875" style="4"/>
    <col min="6657" max="6657" width="3.85546875" style="4" bestFit="1" customWidth="1"/>
    <col min="6658" max="6658" width="64.140625" style="4" bestFit="1" customWidth="1"/>
    <col min="6659" max="6659" width="9.85546875" style="4" customWidth="1"/>
    <col min="6660" max="6660" width="13.5703125" style="4" customWidth="1"/>
    <col min="6661" max="6661" width="12.42578125" style="4" bestFit="1" customWidth="1"/>
    <col min="6662" max="6912" width="4.85546875" style="4"/>
    <col min="6913" max="6913" width="3.85546875" style="4" bestFit="1" customWidth="1"/>
    <col min="6914" max="6914" width="64.140625" style="4" bestFit="1" customWidth="1"/>
    <col min="6915" max="6915" width="9.85546875" style="4" customWidth="1"/>
    <col min="6916" max="6916" width="13.5703125" style="4" customWidth="1"/>
    <col min="6917" max="6917" width="12.42578125" style="4" bestFit="1" customWidth="1"/>
    <col min="6918" max="7168" width="4.85546875" style="4"/>
    <col min="7169" max="7169" width="3.85546875" style="4" bestFit="1" customWidth="1"/>
    <col min="7170" max="7170" width="64.140625" style="4" bestFit="1" customWidth="1"/>
    <col min="7171" max="7171" width="9.85546875" style="4" customWidth="1"/>
    <col min="7172" max="7172" width="13.5703125" style="4" customWidth="1"/>
    <col min="7173" max="7173" width="12.42578125" style="4" bestFit="1" customWidth="1"/>
    <col min="7174" max="7424" width="4.85546875" style="4"/>
    <col min="7425" max="7425" width="3.85546875" style="4" bestFit="1" customWidth="1"/>
    <col min="7426" max="7426" width="64.140625" style="4" bestFit="1" customWidth="1"/>
    <col min="7427" max="7427" width="9.85546875" style="4" customWidth="1"/>
    <col min="7428" max="7428" width="13.5703125" style="4" customWidth="1"/>
    <col min="7429" max="7429" width="12.42578125" style="4" bestFit="1" customWidth="1"/>
    <col min="7430" max="7680" width="4.85546875" style="4"/>
    <col min="7681" max="7681" width="3.85546875" style="4" bestFit="1" customWidth="1"/>
    <col min="7682" max="7682" width="64.140625" style="4" bestFit="1" customWidth="1"/>
    <col min="7683" max="7683" width="9.85546875" style="4" customWidth="1"/>
    <col min="7684" max="7684" width="13.5703125" style="4" customWidth="1"/>
    <col min="7685" max="7685" width="12.42578125" style="4" bestFit="1" customWidth="1"/>
    <col min="7686" max="7936" width="4.85546875" style="4"/>
    <col min="7937" max="7937" width="3.85546875" style="4" bestFit="1" customWidth="1"/>
    <col min="7938" max="7938" width="64.140625" style="4" bestFit="1" customWidth="1"/>
    <col min="7939" max="7939" width="9.85546875" style="4" customWidth="1"/>
    <col min="7940" max="7940" width="13.5703125" style="4" customWidth="1"/>
    <col min="7941" max="7941" width="12.42578125" style="4" bestFit="1" customWidth="1"/>
    <col min="7942" max="8192" width="4.85546875" style="4"/>
    <col min="8193" max="8193" width="3.85546875" style="4" bestFit="1" customWidth="1"/>
    <col min="8194" max="8194" width="64.140625" style="4" bestFit="1" customWidth="1"/>
    <col min="8195" max="8195" width="9.85546875" style="4" customWidth="1"/>
    <col min="8196" max="8196" width="13.5703125" style="4" customWidth="1"/>
    <col min="8197" max="8197" width="12.42578125" style="4" bestFit="1" customWidth="1"/>
    <col min="8198" max="8448" width="4.85546875" style="4"/>
    <col min="8449" max="8449" width="3.85546875" style="4" bestFit="1" customWidth="1"/>
    <col min="8450" max="8450" width="64.140625" style="4" bestFit="1" customWidth="1"/>
    <col min="8451" max="8451" width="9.85546875" style="4" customWidth="1"/>
    <col min="8452" max="8452" width="13.5703125" style="4" customWidth="1"/>
    <col min="8453" max="8453" width="12.42578125" style="4" bestFit="1" customWidth="1"/>
    <col min="8454" max="8704" width="4.85546875" style="4"/>
    <col min="8705" max="8705" width="3.85546875" style="4" bestFit="1" customWidth="1"/>
    <col min="8706" max="8706" width="64.140625" style="4" bestFit="1" customWidth="1"/>
    <col min="8707" max="8707" width="9.85546875" style="4" customWidth="1"/>
    <col min="8708" max="8708" width="13.5703125" style="4" customWidth="1"/>
    <col min="8709" max="8709" width="12.42578125" style="4" bestFit="1" customWidth="1"/>
    <col min="8710" max="8960" width="4.85546875" style="4"/>
    <col min="8961" max="8961" width="3.85546875" style="4" bestFit="1" customWidth="1"/>
    <col min="8962" max="8962" width="64.140625" style="4" bestFit="1" customWidth="1"/>
    <col min="8963" max="8963" width="9.85546875" style="4" customWidth="1"/>
    <col min="8964" max="8964" width="13.5703125" style="4" customWidth="1"/>
    <col min="8965" max="8965" width="12.42578125" style="4" bestFit="1" customWidth="1"/>
    <col min="8966" max="9216" width="4.85546875" style="4"/>
    <col min="9217" max="9217" width="3.85546875" style="4" bestFit="1" customWidth="1"/>
    <col min="9218" max="9218" width="64.140625" style="4" bestFit="1" customWidth="1"/>
    <col min="9219" max="9219" width="9.85546875" style="4" customWidth="1"/>
    <col min="9220" max="9220" width="13.5703125" style="4" customWidth="1"/>
    <col min="9221" max="9221" width="12.42578125" style="4" bestFit="1" customWidth="1"/>
    <col min="9222" max="9472" width="4.85546875" style="4"/>
    <col min="9473" max="9473" width="3.85546875" style="4" bestFit="1" customWidth="1"/>
    <col min="9474" max="9474" width="64.140625" style="4" bestFit="1" customWidth="1"/>
    <col min="9475" max="9475" width="9.85546875" style="4" customWidth="1"/>
    <col min="9476" max="9476" width="13.5703125" style="4" customWidth="1"/>
    <col min="9477" max="9477" width="12.42578125" style="4" bestFit="1" customWidth="1"/>
    <col min="9478" max="9728" width="4.85546875" style="4"/>
    <col min="9729" max="9729" width="3.85546875" style="4" bestFit="1" customWidth="1"/>
    <col min="9730" max="9730" width="64.140625" style="4" bestFit="1" customWidth="1"/>
    <col min="9731" max="9731" width="9.85546875" style="4" customWidth="1"/>
    <col min="9732" max="9732" width="13.5703125" style="4" customWidth="1"/>
    <col min="9733" max="9733" width="12.42578125" style="4" bestFit="1" customWidth="1"/>
    <col min="9734" max="9984" width="4.85546875" style="4"/>
    <col min="9985" max="9985" width="3.85546875" style="4" bestFit="1" customWidth="1"/>
    <col min="9986" max="9986" width="64.140625" style="4" bestFit="1" customWidth="1"/>
    <col min="9987" max="9987" width="9.85546875" style="4" customWidth="1"/>
    <col min="9988" max="9988" width="13.5703125" style="4" customWidth="1"/>
    <col min="9989" max="9989" width="12.42578125" style="4" bestFit="1" customWidth="1"/>
    <col min="9990" max="10240" width="4.85546875" style="4"/>
    <col min="10241" max="10241" width="3.85546875" style="4" bestFit="1" customWidth="1"/>
    <col min="10242" max="10242" width="64.140625" style="4" bestFit="1" customWidth="1"/>
    <col min="10243" max="10243" width="9.85546875" style="4" customWidth="1"/>
    <col min="10244" max="10244" width="13.5703125" style="4" customWidth="1"/>
    <col min="10245" max="10245" width="12.42578125" style="4" bestFit="1" customWidth="1"/>
    <col min="10246" max="10496" width="4.85546875" style="4"/>
    <col min="10497" max="10497" width="3.85546875" style="4" bestFit="1" customWidth="1"/>
    <col min="10498" max="10498" width="64.140625" style="4" bestFit="1" customWidth="1"/>
    <col min="10499" max="10499" width="9.85546875" style="4" customWidth="1"/>
    <col min="10500" max="10500" width="13.5703125" style="4" customWidth="1"/>
    <col min="10501" max="10501" width="12.42578125" style="4" bestFit="1" customWidth="1"/>
    <col min="10502" max="10752" width="4.85546875" style="4"/>
    <col min="10753" max="10753" width="3.85546875" style="4" bestFit="1" customWidth="1"/>
    <col min="10754" max="10754" width="64.140625" style="4" bestFit="1" customWidth="1"/>
    <col min="10755" max="10755" width="9.85546875" style="4" customWidth="1"/>
    <col min="10756" max="10756" width="13.5703125" style="4" customWidth="1"/>
    <col min="10757" max="10757" width="12.42578125" style="4" bestFit="1" customWidth="1"/>
    <col min="10758" max="11008" width="4.85546875" style="4"/>
    <col min="11009" max="11009" width="3.85546875" style="4" bestFit="1" customWidth="1"/>
    <col min="11010" max="11010" width="64.140625" style="4" bestFit="1" customWidth="1"/>
    <col min="11011" max="11011" width="9.85546875" style="4" customWidth="1"/>
    <col min="11012" max="11012" width="13.5703125" style="4" customWidth="1"/>
    <col min="11013" max="11013" width="12.42578125" style="4" bestFit="1" customWidth="1"/>
    <col min="11014" max="11264" width="4.85546875" style="4"/>
    <col min="11265" max="11265" width="3.85546875" style="4" bestFit="1" customWidth="1"/>
    <col min="11266" max="11266" width="64.140625" style="4" bestFit="1" customWidth="1"/>
    <col min="11267" max="11267" width="9.85546875" style="4" customWidth="1"/>
    <col min="11268" max="11268" width="13.5703125" style="4" customWidth="1"/>
    <col min="11269" max="11269" width="12.42578125" style="4" bestFit="1" customWidth="1"/>
    <col min="11270" max="11520" width="4.85546875" style="4"/>
    <col min="11521" max="11521" width="3.85546875" style="4" bestFit="1" customWidth="1"/>
    <col min="11522" max="11522" width="64.140625" style="4" bestFit="1" customWidth="1"/>
    <col min="11523" max="11523" width="9.85546875" style="4" customWidth="1"/>
    <col min="11524" max="11524" width="13.5703125" style="4" customWidth="1"/>
    <col min="11525" max="11525" width="12.42578125" style="4" bestFit="1" customWidth="1"/>
    <col min="11526" max="11776" width="4.85546875" style="4"/>
    <col min="11777" max="11777" width="3.85546875" style="4" bestFit="1" customWidth="1"/>
    <col min="11778" max="11778" width="64.140625" style="4" bestFit="1" customWidth="1"/>
    <col min="11779" max="11779" width="9.85546875" style="4" customWidth="1"/>
    <col min="11780" max="11780" width="13.5703125" style="4" customWidth="1"/>
    <col min="11781" max="11781" width="12.42578125" style="4" bestFit="1" customWidth="1"/>
    <col min="11782" max="12032" width="4.85546875" style="4"/>
    <col min="12033" max="12033" width="3.85546875" style="4" bestFit="1" customWidth="1"/>
    <col min="12034" max="12034" width="64.140625" style="4" bestFit="1" customWidth="1"/>
    <col min="12035" max="12035" width="9.85546875" style="4" customWidth="1"/>
    <col min="12036" max="12036" width="13.5703125" style="4" customWidth="1"/>
    <col min="12037" max="12037" width="12.42578125" style="4" bestFit="1" customWidth="1"/>
    <col min="12038" max="12288" width="4.85546875" style="4"/>
    <col min="12289" max="12289" width="3.85546875" style="4" bestFit="1" customWidth="1"/>
    <col min="12290" max="12290" width="64.140625" style="4" bestFit="1" customWidth="1"/>
    <col min="12291" max="12291" width="9.85546875" style="4" customWidth="1"/>
    <col min="12292" max="12292" width="13.5703125" style="4" customWidth="1"/>
    <col min="12293" max="12293" width="12.42578125" style="4" bestFit="1" customWidth="1"/>
    <col min="12294" max="12544" width="4.85546875" style="4"/>
    <col min="12545" max="12545" width="3.85546875" style="4" bestFit="1" customWidth="1"/>
    <col min="12546" max="12546" width="64.140625" style="4" bestFit="1" customWidth="1"/>
    <col min="12547" max="12547" width="9.85546875" style="4" customWidth="1"/>
    <col min="12548" max="12548" width="13.5703125" style="4" customWidth="1"/>
    <col min="12549" max="12549" width="12.42578125" style="4" bestFit="1" customWidth="1"/>
    <col min="12550" max="12800" width="4.85546875" style="4"/>
    <col min="12801" max="12801" width="3.85546875" style="4" bestFit="1" customWidth="1"/>
    <col min="12802" max="12802" width="64.140625" style="4" bestFit="1" customWidth="1"/>
    <col min="12803" max="12803" width="9.85546875" style="4" customWidth="1"/>
    <col min="12804" max="12804" width="13.5703125" style="4" customWidth="1"/>
    <col min="12805" max="12805" width="12.42578125" style="4" bestFit="1" customWidth="1"/>
    <col min="12806" max="13056" width="4.85546875" style="4"/>
    <col min="13057" max="13057" width="3.85546875" style="4" bestFit="1" customWidth="1"/>
    <col min="13058" max="13058" width="64.140625" style="4" bestFit="1" customWidth="1"/>
    <col min="13059" max="13059" width="9.85546875" style="4" customWidth="1"/>
    <col min="13060" max="13060" width="13.5703125" style="4" customWidth="1"/>
    <col min="13061" max="13061" width="12.42578125" style="4" bestFit="1" customWidth="1"/>
    <col min="13062" max="13312" width="4.85546875" style="4"/>
    <col min="13313" max="13313" width="3.85546875" style="4" bestFit="1" customWidth="1"/>
    <col min="13314" max="13314" width="64.140625" style="4" bestFit="1" customWidth="1"/>
    <col min="13315" max="13315" width="9.85546875" style="4" customWidth="1"/>
    <col min="13316" max="13316" width="13.5703125" style="4" customWidth="1"/>
    <col min="13317" max="13317" width="12.42578125" style="4" bestFit="1" customWidth="1"/>
    <col min="13318" max="13568" width="4.85546875" style="4"/>
    <col min="13569" max="13569" width="3.85546875" style="4" bestFit="1" customWidth="1"/>
    <col min="13570" max="13570" width="64.140625" style="4" bestFit="1" customWidth="1"/>
    <col min="13571" max="13571" width="9.85546875" style="4" customWidth="1"/>
    <col min="13572" max="13572" width="13.5703125" style="4" customWidth="1"/>
    <col min="13573" max="13573" width="12.42578125" style="4" bestFit="1" customWidth="1"/>
    <col min="13574" max="13824" width="4.85546875" style="4"/>
    <col min="13825" max="13825" width="3.85546875" style="4" bestFit="1" customWidth="1"/>
    <col min="13826" max="13826" width="64.140625" style="4" bestFit="1" customWidth="1"/>
    <col min="13827" max="13827" width="9.85546875" style="4" customWidth="1"/>
    <col min="13828" max="13828" width="13.5703125" style="4" customWidth="1"/>
    <col min="13829" max="13829" width="12.42578125" style="4" bestFit="1" customWidth="1"/>
    <col min="13830" max="14080" width="4.85546875" style="4"/>
    <col min="14081" max="14081" width="3.85546875" style="4" bestFit="1" customWidth="1"/>
    <col min="14082" max="14082" width="64.140625" style="4" bestFit="1" customWidth="1"/>
    <col min="14083" max="14083" width="9.85546875" style="4" customWidth="1"/>
    <col min="14084" max="14084" width="13.5703125" style="4" customWidth="1"/>
    <col min="14085" max="14085" width="12.42578125" style="4" bestFit="1" customWidth="1"/>
    <col min="14086" max="14336" width="4.85546875" style="4"/>
    <col min="14337" max="14337" width="3.85546875" style="4" bestFit="1" customWidth="1"/>
    <col min="14338" max="14338" width="64.140625" style="4" bestFit="1" customWidth="1"/>
    <col min="14339" max="14339" width="9.85546875" style="4" customWidth="1"/>
    <col min="14340" max="14340" width="13.5703125" style="4" customWidth="1"/>
    <col min="14341" max="14341" width="12.42578125" style="4" bestFit="1" customWidth="1"/>
    <col min="14342" max="14592" width="4.85546875" style="4"/>
    <col min="14593" max="14593" width="3.85546875" style="4" bestFit="1" customWidth="1"/>
    <col min="14594" max="14594" width="64.140625" style="4" bestFit="1" customWidth="1"/>
    <col min="14595" max="14595" width="9.85546875" style="4" customWidth="1"/>
    <col min="14596" max="14596" width="13.5703125" style="4" customWidth="1"/>
    <col min="14597" max="14597" width="12.42578125" style="4" bestFit="1" customWidth="1"/>
    <col min="14598" max="14848" width="4.85546875" style="4"/>
    <col min="14849" max="14849" width="3.85546875" style="4" bestFit="1" customWidth="1"/>
    <col min="14850" max="14850" width="64.140625" style="4" bestFit="1" customWidth="1"/>
    <col min="14851" max="14851" width="9.85546875" style="4" customWidth="1"/>
    <col min="14852" max="14852" width="13.5703125" style="4" customWidth="1"/>
    <col min="14853" max="14853" width="12.42578125" style="4" bestFit="1" customWidth="1"/>
    <col min="14854" max="15104" width="4.85546875" style="4"/>
    <col min="15105" max="15105" width="3.85546875" style="4" bestFit="1" customWidth="1"/>
    <col min="15106" max="15106" width="64.140625" style="4" bestFit="1" customWidth="1"/>
    <col min="15107" max="15107" width="9.85546875" style="4" customWidth="1"/>
    <col min="15108" max="15108" width="13.5703125" style="4" customWidth="1"/>
    <col min="15109" max="15109" width="12.42578125" style="4" bestFit="1" customWidth="1"/>
    <col min="15110" max="15360" width="4.85546875" style="4"/>
    <col min="15361" max="15361" width="3.85546875" style="4" bestFit="1" customWidth="1"/>
    <col min="15362" max="15362" width="64.140625" style="4" bestFit="1" customWidth="1"/>
    <col min="15363" max="15363" width="9.85546875" style="4" customWidth="1"/>
    <col min="15364" max="15364" width="13.5703125" style="4" customWidth="1"/>
    <col min="15365" max="15365" width="12.42578125" style="4" bestFit="1" customWidth="1"/>
    <col min="15366" max="15616" width="4.85546875" style="4"/>
    <col min="15617" max="15617" width="3.85546875" style="4" bestFit="1" customWidth="1"/>
    <col min="15618" max="15618" width="64.140625" style="4" bestFit="1" customWidth="1"/>
    <col min="15619" max="15619" width="9.85546875" style="4" customWidth="1"/>
    <col min="15620" max="15620" width="13.5703125" style="4" customWidth="1"/>
    <col min="15621" max="15621" width="12.42578125" style="4" bestFit="1" customWidth="1"/>
    <col min="15622" max="15872" width="4.85546875" style="4"/>
    <col min="15873" max="15873" width="3.85546875" style="4" bestFit="1" customWidth="1"/>
    <col min="15874" max="15874" width="64.140625" style="4" bestFit="1" customWidth="1"/>
    <col min="15875" max="15875" width="9.85546875" style="4" customWidth="1"/>
    <col min="15876" max="15876" width="13.5703125" style="4" customWidth="1"/>
    <col min="15877" max="15877" width="12.42578125" style="4" bestFit="1" customWidth="1"/>
    <col min="15878" max="16128" width="4.85546875" style="4"/>
    <col min="16129" max="16129" width="3.85546875" style="4" bestFit="1" customWidth="1"/>
    <col min="16130" max="16130" width="64.140625" style="4" bestFit="1" customWidth="1"/>
    <col min="16131" max="16131" width="9.85546875" style="4" customWidth="1"/>
    <col min="16132" max="16132" width="13.5703125" style="4" customWidth="1"/>
    <col min="16133" max="16133" width="12.42578125" style="4" bestFit="1" customWidth="1"/>
    <col min="16134" max="16384" width="4.85546875" style="4"/>
  </cols>
  <sheetData>
    <row r="1" spans="1:10" x14ac:dyDescent="0.2">
      <c r="B1" s="2174" t="s">
        <v>2090</v>
      </c>
      <c r="C1" s="2174"/>
      <c r="D1" s="2174"/>
      <c r="E1" s="1536"/>
      <c r="F1" s="1536"/>
      <c r="G1" s="1536"/>
      <c r="H1" s="1536"/>
      <c r="I1" s="1536"/>
      <c r="J1" s="1536"/>
    </row>
    <row r="2" spans="1:10" x14ac:dyDescent="0.2">
      <c r="B2" s="1743"/>
      <c r="C2" s="1743"/>
      <c r="D2" s="1743"/>
      <c r="E2" s="1655"/>
      <c r="F2" s="1655"/>
      <c r="G2" s="1655"/>
    </row>
    <row r="3" spans="1:10" x14ac:dyDescent="0.2">
      <c r="B3" s="1743"/>
      <c r="C3" s="1743"/>
      <c r="D3" s="1743"/>
      <c r="E3" s="1655"/>
      <c r="F3" s="1655"/>
      <c r="G3" s="1655"/>
    </row>
    <row r="4" spans="1:10" x14ac:dyDescent="0.2">
      <c r="B4" s="1885" t="s">
        <v>86</v>
      </c>
      <c r="C4" s="1885"/>
      <c r="D4" s="1885"/>
    </row>
    <row r="5" spans="1:10" x14ac:dyDescent="0.2">
      <c r="B5" s="1885" t="s">
        <v>1362</v>
      </c>
      <c r="C5" s="1885"/>
      <c r="D5" s="1885"/>
    </row>
    <row r="6" spans="1:10" x14ac:dyDescent="0.2">
      <c r="B6" s="1885" t="s">
        <v>1929</v>
      </c>
      <c r="C6" s="1885"/>
      <c r="D6" s="1885"/>
    </row>
    <row r="7" spans="1:10" x14ac:dyDescent="0.2">
      <c r="B7" s="1885" t="s">
        <v>1401</v>
      </c>
      <c r="C7" s="1885"/>
      <c r="D7" s="1885"/>
    </row>
    <row r="8" spans="1:10" ht="14.25" customHeight="1" x14ac:dyDescent="0.2">
      <c r="B8" s="1512"/>
      <c r="C8" s="1512"/>
      <c r="D8" s="1512"/>
    </row>
    <row r="9" spans="1:10" ht="31.5" customHeight="1" x14ac:dyDescent="0.2">
      <c r="A9" s="2171" t="s">
        <v>468</v>
      </c>
      <c r="B9" s="1435" t="s">
        <v>57</v>
      </c>
      <c r="C9" s="1435" t="s">
        <v>58</v>
      </c>
      <c r="D9" s="1435" t="s">
        <v>59</v>
      </c>
    </row>
    <row r="10" spans="1:10" x14ac:dyDescent="0.2">
      <c r="A10" s="2172"/>
      <c r="B10" s="1880" t="s">
        <v>85</v>
      </c>
      <c r="C10" s="1881" t="s">
        <v>1930</v>
      </c>
      <c r="D10" s="1881" t="s">
        <v>1682</v>
      </c>
    </row>
    <row r="11" spans="1:10" x14ac:dyDescent="0.2">
      <c r="A11" s="2173"/>
      <c r="B11" s="1880"/>
      <c r="C11" s="1881"/>
      <c r="D11" s="1881"/>
    </row>
    <row r="12" spans="1:10" x14ac:dyDescent="0.2">
      <c r="A12" s="1684"/>
      <c r="B12" s="1744" t="s">
        <v>1476</v>
      </c>
      <c r="C12" s="1440"/>
      <c r="D12" s="1692"/>
    </row>
    <row r="13" spans="1:10" x14ac:dyDescent="0.2">
      <c r="A13" s="1684" t="s">
        <v>478</v>
      </c>
      <c r="B13" s="4" t="s">
        <v>1931</v>
      </c>
      <c r="C13" s="258">
        <v>5</v>
      </c>
      <c r="D13" s="258">
        <v>8205304</v>
      </c>
      <c r="F13" s="258"/>
    </row>
    <row r="14" spans="1:10" x14ac:dyDescent="0.2">
      <c r="A14" s="1684" t="s">
        <v>486</v>
      </c>
      <c r="B14" s="4" t="s">
        <v>1932</v>
      </c>
      <c r="C14" s="258">
        <v>46</v>
      </c>
      <c r="D14" s="258">
        <v>148757849</v>
      </c>
      <c r="F14" s="258"/>
    </row>
    <row r="15" spans="1:10" x14ac:dyDescent="0.2">
      <c r="A15" s="1684" t="s">
        <v>487</v>
      </c>
      <c r="B15" s="140" t="s">
        <v>1933</v>
      </c>
      <c r="C15" s="260">
        <f>SUM(C13:C14)</f>
        <v>51</v>
      </c>
      <c r="D15" s="260">
        <f>SUM(D13:D14)</f>
        <v>156963153</v>
      </c>
      <c r="E15" s="260"/>
      <c r="F15" s="260"/>
    </row>
    <row r="16" spans="1:10" x14ac:dyDescent="0.2">
      <c r="A16" s="1684" t="s">
        <v>488</v>
      </c>
      <c r="B16" s="4" t="s">
        <v>1934</v>
      </c>
      <c r="C16" s="1240">
        <v>16</v>
      </c>
      <c r="D16" s="258">
        <v>1517000</v>
      </c>
      <c r="F16" s="258"/>
    </row>
    <row r="17" spans="1:6" x14ac:dyDescent="0.2">
      <c r="A17" s="1684" t="s">
        <v>489</v>
      </c>
      <c r="B17" s="4" t="s">
        <v>1935</v>
      </c>
      <c r="C17" s="258">
        <v>1030</v>
      </c>
      <c r="D17" s="258">
        <v>347647834</v>
      </c>
      <c r="F17" s="258"/>
    </row>
    <row r="18" spans="1:6" x14ac:dyDescent="0.2">
      <c r="A18" s="1684" t="s">
        <v>490</v>
      </c>
      <c r="B18" s="4" t="s">
        <v>1936</v>
      </c>
      <c r="C18" s="258"/>
      <c r="D18" s="258">
        <v>0</v>
      </c>
    </row>
    <row r="19" spans="1:6" ht="15.75" customHeight="1" x14ac:dyDescent="0.2">
      <c r="A19" s="1684" t="s">
        <v>491</v>
      </c>
      <c r="B19" s="140" t="s">
        <v>1937</v>
      </c>
      <c r="C19" s="260">
        <f>SUM(C16:C18)</f>
        <v>1046</v>
      </c>
      <c r="D19" s="260">
        <f>SUM(D16:D18)</f>
        <v>349164834</v>
      </c>
      <c r="E19" s="260"/>
      <c r="F19" s="260"/>
    </row>
    <row r="20" spans="1:6" ht="25.5" x14ac:dyDescent="0.2">
      <c r="A20" s="1684" t="s">
        <v>492</v>
      </c>
      <c r="B20" s="1685" t="s">
        <v>1938</v>
      </c>
      <c r="C20" s="260">
        <f>C15+C19</f>
        <v>1097</v>
      </c>
      <c r="D20" s="260">
        <f>D15+D19</f>
        <v>506127987</v>
      </c>
    </row>
    <row r="21" spans="1:6" ht="25.5" x14ac:dyDescent="0.2">
      <c r="A21" s="1684" t="s">
        <v>493</v>
      </c>
      <c r="B21" s="1685" t="s">
        <v>1939</v>
      </c>
      <c r="C21" s="260">
        <v>1097</v>
      </c>
      <c r="D21" s="260">
        <v>506127987</v>
      </c>
    </row>
    <row r="22" spans="1:6" ht="25.5" x14ac:dyDescent="0.2">
      <c r="A22" s="1684" t="s">
        <v>529</v>
      </c>
      <c r="B22" s="1685" t="s">
        <v>1940</v>
      </c>
      <c r="C22" s="260">
        <f>C20</f>
        <v>1097</v>
      </c>
      <c r="D22" s="260">
        <f>D20-D21</f>
        <v>0</v>
      </c>
    </row>
    <row r="23" spans="1:6" x14ac:dyDescent="0.2">
      <c r="A23" s="1684"/>
      <c r="B23" s="1744" t="s">
        <v>327</v>
      </c>
      <c r="C23" s="1440"/>
      <c r="D23" s="1692"/>
    </row>
    <row r="24" spans="1:6" x14ac:dyDescent="0.2">
      <c r="A24" s="1684" t="s">
        <v>478</v>
      </c>
      <c r="B24" s="4" t="s">
        <v>1931</v>
      </c>
      <c r="C24" s="258"/>
      <c r="D24" s="258"/>
    </row>
    <row r="25" spans="1:6" x14ac:dyDescent="0.2">
      <c r="A25" s="1684" t="s">
        <v>486</v>
      </c>
      <c r="B25" s="4" t="s">
        <v>1932</v>
      </c>
      <c r="C25" s="258">
        <v>1</v>
      </c>
      <c r="D25" s="258">
        <v>195000</v>
      </c>
    </row>
    <row r="26" spans="1:6" x14ac:dyDescent="0.2">
      <c r="A26" s="1684" t="s">
        <v>487</v>
      </c>
      <c r="B26" s="140" t="s">
        <v>1933</v>
      </c>
      <c r="C26" s="260">
        <f>SUM(C24:C25)</f>
        <v>1</v>
      </c>
      <c r="D26" s="260">
        <f>SUM(D24:D25)</f>
        <v>195000</v>
      </c>
    </row>
    <row r="27" spans="1:6" x14ac:dyDescent="0.2">
      <c r="A27" s="1684" t="s">
        <v>488</v>
      </c>
      <c r="B27" s="4" t="s">
        <v>1934</v>
      </c>
      <c r="C27" s="1240"/>
      <c r="D27" s="258"/>
    </row>
    <row r="28" spans="1:6" x14ac:dyDescent="0.2">
      <c r="A28" s="1684" t="s">
        <v>489</v>
      </c>
      <c r="B28" s="4" t="s">
        <v>1935</v>
      </c>
      <c r="C28" s="258">
        <v>328</v>
      </c>
      <c r="D28" s="258">
        <v>38809111</v>
      </c>
    </row>
    <row r="29" spans="1:6" x14ac:dyDescent="0.2">
      <c r="A29" s="1684" t="s">
        <v>490</v>
      </c>
      <c r="B29" s="4" t="s">
        <v>1936</v>
      </c>
      <c r="C29" s="258"/>
      <c r="D29" s="258"/>
    </row>
    <row r="30" spans="1:6" x14ac:dyDescent="0.2">
      <c r="A30" s="1684" t="s">
        <v>491</v>
      </c>
      <c r="B30" s="140" t="s">
        <v>1937</v>
      </c>
      <c r="C30" s="260">
        <f>SUM(C27:C29)</f>
        <v>328</v>
      </c>
      <c r="D30" s="260">
        <f>SUM(D27:D29)</f>
        <v>38809111</v>
      </c>
    </row>
    <row r="31" spans="1:6" ht="25.5" x14ac:dyDescent="0.2">
      <c r="A31" s="1684" t="s">
        <v>492</v>
      </c>
      <c r="B31" s="1685" t="s">
        <v>1941</v>
      </c>
      <c r="C31" s="260">
        <f>C26+C30</f>
        <v>329</v>
      </c>
      <c r="D31" s="260">
        <f>D26+D30</f>
        <v>39004111</v>
      </c>
    </row>
    <row r="32" spans="1:6" ht="25.5" x14ac:dyDescent="0.2">
      <c r="A32" s="1684" t="s">
        <v>493</v>
      </c>
      <c r="B32" s="1685" t="s">
        <v>1942</v>
      </c>
      <c r="C32" s="260">
        <v>329</v>
      </c>
      <c r="D32" s="260">
        <v>39004111</v>
      </c>
    </row>
    <row r="33" spans="1:4" ht="25.5" x14ac:dyDescent="0.2">
      <c r="A33" s="1684" t="s">
        <v>529</v>
      </c>
      <c r="B33" s="1685" t="s">
        <v>1943</v>
      </c>
      <c r="C33" s="260">
        <f>C31</f>
        <v>329</v>
      </c>
      <c r="D33" s="260">
        <f>D31-D32</f>
        <v>0</v>
      </c>
    </row>
    <row r="34" spans="1:4" x14ac:dyDescent="0.2">
      <c r="A34" s="1673"/>
      <c r="B34" s="1685"/>
      <c r="C34" s="258"/>
      <c r="D34" s="260"/>
    </row>
    <row r="35" spans="1:4" x14ac:dyDescent="0.2">
      <c r="A35" s="1696"/>
      <c r="B35" s="1745" t="s">
        <v>665</v>
      </c>
      <c r="C35" s="258"/>
      <c r="D35" s="258"/>
    </row>
    <row r="36" spans="1:4" x14ac:dyDescent="0.2">
      <c r="A36" s="1684" t="s">
        <v>478</v>
      </c>
      <c r="B36" s="4" t="s">
        <v>1931</v>
      </c>
      <c r="C36" s="260"/>
      <c r="D36" s="260"/>
    </row>
    <row r="37" spans="1:4" x14ac:dyDescent="0.2">
      <c r="A37" s="1684" t="s">
        <v>486</v>
      </c>
      <c r="B37" s="4" t="s">
        <v>1932</v>
      </c>
      <c r="C37" s="258">
        <v>2</v>
      </c>
      <c r="D37" s="258">
        <v>1394670</v>
      </c>
    </row>
    <row r="38" spans="1:4" x14ac:dyDescent="0.2">
      <c r="A38" s="1684" t="s">
        <v>487</v>
      </c>
      <c r="B38" s="140" t="s">
        <v>1933</v>
      </c>
      <c r="C38" s="260">
        <f>C36+C37</f>
        <v>2</v>
      </c>
      <c r="D38" s="260">
        <f>D36+D37</f>
        <v>1394670</v>
      </c>
    </row>
    <row r="39" spans="1:4" x14ac:dyDescent="0.2">
      <c r="A39" s="1684" t="s">
        <v>488</v>
      </c>
      <c r="B39" s="4" t="s">
        <v>1934</v>
      </c>
      <c r="C39" s="260"/>
      <c r="D39" s="260"/>
    </row>
    <row r="40" spans="1:4" x14ac:dyDescent="0.2">
      <c r="A40" s="1684" t="s">
        <v>489</v>
      </c>
      <c r="B40" s="4" t="s">
        <v>1935</v>
      </c>
      <c r="C40" s="258">
        <v>1963</v>
      </c>
      <c r="D40" s="258">
        <v>129880561</v>
      </c>
    </row>
    <row r="41" spans="1:4" x14ac:dyDescent="0.2">
      <c r="A41" s="1684" t="s">
        <v>490</v>
      </c>
      <c r="B41" s="4" t="s">
        <v>1936</v>
      </c>
      <c r="C41" s="260"/>
      <c r="D41" s="260"/>
    </row>
    <row r="42" spans="1:4" x14ac:dyDescent="0.2">
      <c r="A42" s="1684" t="s">
        <v>491</v>
      </c>
      <c r="B42" s="140" t="s">
        <v>1937</v>
      </c>
      <c r="C42" s="260">
        <f>SUM(C39:C41)</f>
        <v>1963</v>
      </c>
      <c r="D42" s="260">
        <f>SUM(D39:D41)</f>
        <v>129880561</v>
      </c>
    </row>
    <row r="43" spans="1:4" ht="25.5" x14ac:dyDescent="0.2">
      <c r="A43" s="1673" t="s">
        <v>545</v>
      </c>
      <c r="B43" s="1685" t="s">
        <v>1944</v>
      </c>
      <c r="C43" s="260">
        <f>C38+C42</f>
        <v>1965</v>
      </c>
      <c r="D43" s="260">
        <f>D38+D42</f>
        <v>131275231</v>
      </c>
    </row>
    <row r="44" spans="1:4" ht="25.5" x14ac:dyDescent="0.2">
      <c r="A44" s="1673" t="s">
        <v>563</v>
      </c>
      <c r="B44" s="1685" t="s">
        <v>1945</v>
      </c>
      <c r="C44" s="260">
        <v>1965</v>
      </c>
      <c r="D44" s="260">
        <v>131275231</v>
      </c>
    </row>
    <row r="45" spans="1:4" x14ac:dyDescent="0.2">
      <c r="A45" s="1673" t="s">
        <v>564</v>
      </c>
      <c r="B45" s="1685" t="s">
        <v>1946</v>
      </c>
      <c r="C45" s="260">
        <f>C43</f>
        <v>1965</v>
      </c>
      <c r="D45" s="260">
        <f>D43-D44</f>
        <v>0</v>
      </c>
    </row>
    <row r="46" spans="1:4" x14ac:dyDescent="0.2">
      <c r="A46" s="1746"/>
      <c r="B46" s="1480"/>
      <c r="C46" s="1747"/>
      <c r="D46" s="1747"/>
    </row>
    <row r="47" spans="1:4" x14ac:dyDescent="0.2">
      <c r="A47" s="1746"/>
      <c r="B47" s="1745" t="s">
        <v>1947</v>
      </c>
      <c r="C47" s="1747"/>
      <c r="D47" s="1747"/>
    </row>
    <row r="48" spans="1:4" x14ac:dyDescent="0.2">
      <c r="A48" s="1673" t="s">
        <v>478</v>
      </c>
      <c r="B48" s="4" t="s">
        <v>1931</v>
      </c>
      <c r="C48" s="258"/>
      <c r="D48" s="258"/>
    </row>
    <row r="49" spans="1:4" x14ac:dyDescent="0.2">
      <c r="A49" s="1673" t="s">
        <v>486</v>
      </c>
      <c r="B49" s="4" t="s">
        <v>1932</v>
      </c>
      <c r="C49" s="258">
        <v>1</v>
      </c>
      <c r="D49" s="258">
        <v>339672</v>
      </c>
    </row>
    <row r="50" spans="1:4" x14ac:dyDescent="0.2">
      <c r="A50" s="1673" t="s">
        <v>487</v>
      </c>
      <c r="B50" s="140" t="s">
        <v>1933</v>
      </c>
      <c r="C50" s="260">
        <f>C48+C49</f>
        <v>1</v>
      </c>
      <c r="D50" s="260">
        <f>D48+D49</f>
        <v>339672</v>
      </c>
    </row>
    <row r="51" spans="1:4" x14ac:dyDescent="0.2">
      <c r="A51" s="1673" t="s">
        <v>488</v>
      </c>
      <c r="B51" s="4" t="s">
        <v>1934</v>
      </c>
      <c r="C51" s="258"/>
      <c r="D51" s="258"/>
    </row>
    <row r="52" spans="1:4" x14ac:dyDescent="0.2">
      <c r="A52" s="1673" t="s">
        <v>489</v>
      </c>
      <c r="B52" s="4" t="s">
        <v>1935</v>
      </c>
      <c r="C52" s="258">
        <v>1390</v>
      </c>
      <c r="D52" s="258">
        <v>36872077</v>
      </c>
    </row>
    <row r="53" spans="1:4" x14ac:dyDescent="0.2">
      <c r="A53" s="1673" t="s">
        <v>490</v>
      </c>
      <c r="B53" s="4" t="s">
        <v>1936</v>
      </c>
      <c r="C53" s="258"/>
      <c r="D53" s="258"/>
    </row>
    <row r="54" spans="1:4" x14ac:dyDescent="0.2">
      <c r="A54" s="1673" t="s">
        <v>491</v>
      </c>
      <c r="B54" s="140" t="s">
        <v>1937</v>
      </c>
      <c r="C54" s="260">
        <f>SUM(C51:C53)</f>
        <v>1390</v>
      </c>
      <c r="D54" s="260">
        <f>SUM(D51:D53)</f>
        <v>36872077</v>
      </c>
    </row>
    <row r="55" spans="1:4" x14ac:dyDescent="0.2">
      <c r="A55" s="1673" t="s">
        <v>623</v>
      </c>
      <c r="B55" s="1685" t="s">
        <v>1948</v>
      </c>
      <c r="C55" s="260">
        <f>C50+C54</f>
        <v>1391</v>
      </c>
      <c r="D55" s="260">
        <f>D50+D54</f>
        <v>37211749</v>
      </c>
    </row>
    <row r="56" spans="1:4" ht="25.5" x14ac:dyDescent="0.2">
      <c r="A56" s="1673" t="s">
        <v>624</v>
      </c>
      <c r="B56" s="1685" t="s">
        <v>1949</v>
      </c>
      <c r="C56" s="260">
        <v>1391</v>
      </c>
      <c r="D56" s="260">
        <v>37211749</v>
      </c>
    </row>
    <row r="57" spans="1:4" x14ac:dyDescent="0.2">
      <c r="A57" s="1673" t="s">
        <v>625</v>
      </c>
      <c r="B57" s="1685" t="s">
        <v>1950</v>
      </c>
      <c r="C57" s="260">
        <f>C55</f>
        <v>1391</v>
      </c>
      <c r="D57" s="260">
        <f>D55-D56</f>
        <v>0</v>
      </c>
    </row>
    <row r="58" spans="1:4" x14ac:dyDescent="0.2">
      <c r="A58" s="1746"/>
      <c r="B58" s="1480"/>
      <c r="C58" s="1747"/>
      <c r="D58" s="1747"/>
    </row>
    <row r="59" spans="1:4" x14ac:dyDescent="0.2">
      <c r="A59" s="1673" t="s">
        <v>568</v>
      </c>
      <c r="B59" s="1745" t="s">
        <v>1951</v>
      </c>
      <c r="C59" s="258"/>
      <c r="D59" s="258"/>
    </row>
    <row r="60" spans="1:4" x14ac:dyDescent="0.2">
      <c r="A60" s="1673" t="s">
        <v>478</v>
      </c>
      <c r="B60" s="4" t="s">
        <v>1931</v>
      </c>
      <c r="C60" s="258"/>
      <c r="D60" s="258"/>
    </row>
    <row r="61" spans="1:4" x14ac:dyDescent="0.2">
      <c r="A61" s="1673" t="s">
        <v>486</v>
      </c>
      <c r="B61" s="4" t="s">
        <v>1932</v>
      </c>
      <c r="C61" s="258">
        <v>0</v>
      </c>
      <c r="D61" s="258">
        <v>0</v>
      </c>
    </row>
    <row r="62" spans="1:4" x14ac:dyDescent="0.2">
      <c r="A62" s="1673" t="s">
        <v>487</v>
      </c>
      <c r="B62" s="140" t="s">
        <v>1933</v>
      </c>
      <c r="C62" s="260">
        <f>SUM(C61)</f>
        <v>0</v>
      </c>
      <c r="D62" s="260">
        <f>SUM(D61)</f>
        <v>0</v>
      </c>
    </row>
    <row r="63" spans="1:4" x14ac:dyDescent="0.2">
      <c r="A63" s="1673" t="s">
        <v>488</v>
      </c>
      <c r="B63" s="4" t="s">
        <v>1934</v>
      </c>
      <c r="C63" s="258"/>
      <c r="D63" s="258"/>
    </row>
    <row r="64" spans="1:4" x14ac:dyDescent="0.2">
      <c r="A64" s="1673" t="s">
        <v>489</v>
      </c>
      <c r="B64" s="4" t="s">
        <v>1935</v>
      </c>
      <c r="C64" s="258">
        <v>1743</v>
      </c>
      <c r="D64" s="258">
        <v>10046347</v>
      </c>
    </row>
    <row r="65" spans="1:5" x14ac:dyDescent="0.2">
      <c r="A65" s="1673" t="s">
        <v>490</v>
      </c>
      <c r="B65" s="4" t="s">
        <v>1936</v>
      </c>
      <c r="C65" s="258"/>
      <c r="D65" s="258"/>
    </row>
    <row r="66" spans="1:5" x14ac:dyDescent="0.2">
      <c r="A66" s="1673" t="s">
        <v>491</v>
      </c>
      <c r="B66" s="140" t="s">
        <v>1937</v>
      </c>
      <c r="C66" s="260">
        <f>SUM(C63:C65)</f>
        <v>1743</v>
      </c>
      <c r="D66" s="260">
        <f>SUM(D63:D65)</f>
        <v>10046347</v>
      </c>
    </row>
    <row r="67" spans="1:5" ht="31.5" customHeight="1" x14ac:dyDescent="0.2">
      <c r="A67" s="1673" t="s">
        <v>623</v>
      </c>
      <c r="B67" s="1685" t="s">
        <v>1952</v>
      </c>
      <c r="C67" s="260">
        <f>C62+C66</f>
        <v>1743</v>
      </c>
      <c r="D67" s="260">
        <f>D62+D66</f>
        <v>10046347</v>
      </c>
    </row>
    <row r="68" spans="1:5" ht="25.5" x14ac:dyDescent="0.2">
      <c r="A68" s="1673" t="s">
        <v>624</v>
      </c>
      <c r="B68" s="1685" t="s">
        <v>1953</v>
      </c>
      <c r="C68" s="260">
        <v>1743</v>
      </c>
      <c r="D68" s="260">
        <v>10046347</v>
      </c>
    </row>
    <row r="69" spans="1:5" ht="25.5" x14ac:dyDescent="0.2">
      <c r="A69" s="1673" t="s">
        <v>625</v>
      </c>
      <c r="B69" s="1685" t="s">
        <v>1954</v>
      </c>
      <c r="C69" s="260">
        <f>C67</f>
        <v>1743</v>
      </c>
      <c r="D69" s="260">
        <f>D67-D68</f>
        <v>0</v>
      </c>
    </row>
    <row r="70" spans="1:5" x14ac:dyDescent="0.2">
      <c r="A70" s="1746"/>
      <c r="B70" s="1480"/>
      <c r="C70" s="1747"/>
      <c r="D70" s="1747"/>
    </row>
    <row r="71" spans="1:5" x14ac:dyDescent="0.2">
      <c r="A71" s="1673" t="s">
        <v>568</v>
      </c>
      <c r="B71" s="1745" t="s">
        <v>1955</v>
      </c>
      <c r="C71" s="258"/>
      <c r="D71" s="258"/>
    </row>
    <row r="72" spans="1:5" x14ac:dyDescent="0.2">
      <c r="A72" s="1673" t="s">
        <v>478</v>
      </c>
      <c r="B72" s="4" t="s">
        <v>1931</v>
      </c>
      <c r="C72" s="260"/>
      <c r="D72" s="260"/>
    </row>
    <row r="73" spans="1:5" x14ac:dyDescent="0.2">
      <c r="A73" s="1673" t="s">
        <v>486</v>
      </c>
      <c r="B73" s="4" t="s">
        <v>1932</v>
      </c>
      <c r="C73" s="260">
        <v>2</v>
      </c>
      <c r="D73" s="258">
        <v>149075</v>
      </c>
    </row>
    <row r="74" spans="1:5" x14ac:dyDescent="0.2">
      <c r="A74" s="1673" t="s">
        <v>487</v>
      </c>
      <c r="B74" s="140" t="s">
        <v>1933</v>
      </c>
      <c r="C74" s="260">
        <f>SUM(C72:C73)</f>
        <v>2</v>
      </c>
      <c r="D74" s="260">
        <f>SUM(D72:D73)</f>
        <v>149075</v>
      </c>
    </row>
    <row r="75" spans="1:5" x14ac:dyDescent="0.2">
      <c r="A75" s="1673" t="s">
        <v>488</v>
      </c>
      <c r="B75" s="4" t="s">
        <v>1934</v>
      </c>
      <c r="C75" s="258"/>
      <c r="D75" s="258"/>
    </row>
    <row r="76" spans="1:5" x14ac:dyDescent="0.2">
      <c r="A76" s="1673" t="s">
        <v>489</v>
      </c>
      <c r="B76" s="4" t="s">
        <v>1935</v>
      </c>
      <c r="C76" s="258">
        <v>1394</v>
      </c>
      <c r="D76" s="258">
        <v>70221496</v>
      </c>
      <c r="E76" s="257"/>
    </row>
    <row r="77" spans="1:5" x14ac:dyDescent="0.2">
      <c r="A77" s="1673" t="s">
        <v>490</v>
      </c>
      <c r="B77" s="4" t="s">
        <v>1936</v>
      </c>
      <c r="C77" s="258"/>
      <c r="D77" s="258"/>
    </row>
    <row r="78" spans="1:5" x14ac:dyDescent="0.2">
      <c r="A78" s="1673" t="s">
        <v>491</v>
      </c>
      <c r="B78" s="140" t="s">
        <v>1937</v>
      </c>
      <c r="C78" s="260">
        <f>SUM(C75:C77)</f>
        <v>1394</v>
      </c>
      <c r="D78" s="260">
        <f>SUM(D75:D77)</f>
        <v>70221496</v>
      </c>
    </row>
    <row r="79" spans="1:5" ht="25.5" x14ac:dyDescent="0.2">
      <c r="A79" s="1673" t="s">
        <v>623</v>
      </c>
      <c r="B79" s="1685" t="s">
        <v>1956</v>
      </c>
      <c r="C79" s="260">
        <f>C74+C78</f>
        <v>1396</v>
      </c>
      <c r="D79" s="260">
        <f>D74+D78</f>
        <v>70370571</v>
      </c>
    </row>
    <row r="80" spans="1:5" ht="25.5" x14ac:dyDescent="0.2">
      <c r="A80" s="1673" t="s">
        <v>624</v>
      </c>
      <c r="B80" s="1685" t="s">
        <v>1957</v>
      </c>
      <c r="C80" s="260">
        <v>1396</v>
      </c>
      <c r="D80" s="260">
        <v>70370571</v>
      </c>
    </row>
    <row r="81" spans="1:4" ht="25.5" x14ac:dyDescent="0.2">
      <c r="A81" s="1673" t="s">
        <v>625</v>
      </c>
      <c r="B81" s="1685" t="s">
        <v>1958</v>
      </c>
      <c r="C81" s="260">
        <f>C79</f>
        <v>1396</v>
      </c>
      <c r="D81" s="260">
        <f>D79-D80</f>
        <v>0</v>
      </c>
    </row>
    <row r="82" spans="1:4" x14ac:dyDescent="0.2">
      <c r="A82" s="1673"/>
      <c r="C82" s="258"/>
      <c r="D82" s="258"/>
    </row>
    <row r="83" spans="1:4" x14ac:dyDescent="0.2">
      <c r="A83" s="1673"/>
      <c r="B83" s="1685"/>
      <c r="C83" s="988"/>
      <c r="D83" s="988"/>
    </row>
    <row r="84" spans="1:4" x14ac:dyDescent="0.2">
      <c r="A84" s="1673"/>
      <c r="B84" s="1685"/>
      <c r="C84" s="988"/>
      <c r="D84" s="988"/>
    </row>
    <row r="85" spans="1:4" x14ac:dyDescent="0.2">
      <c r="A85" s="1673"/>
      <c r="B85" s="1685"/>
      <c r="C85" s="988"/>
      <c r="D85" s="260"/>
    </row>
    <row r="86" spans="1:4" x14ac:dyDescent="0.2">
      <c r="A86" s="1673"/>
      <c r="C86" s="258"/>
      <c r="D86" s="258"/>
    </row>
    <row r="87" spans="1:4" x14ac:dyDescent="0.2">
      <c r="A87" s="1673"/>
      <c r="B87" s="1685"/>
      <c r="C87" s="988"/>
      <c r="D87" s="988"/>
    </row>
    <row r="88" spans="1:4" x14ac:dyDescent="0.2">
      <c r="A88" s="1673"/>
      <c r="B88" s="1685"/>
      <c r="C88" s="988"/>
      <c r="D88" s="988"/>
    </row>
    <row r="89" spans="1:4" x14ac:dyDescent="0.2">
      <c r="A89" s="1673"/>
      <c r="B89" s="1685"/>
      <c r="C89" s="258"/>
      <c r="D89" s="988"/>
    </row>
  </sheetData>
  <mergeCells count="9">
    <mergeCell ref="A9:A11"/>
    <mergeCell ref="B10:B11"/>
    <mergeCell ref="C10:C11"/>
    <mergeCell ref="D10:D11"/>
    <mergeCell ref="B1:D1"/>
    <mergeCell ref="B4:D4"/>
    <mergeCell ref="B5:D5"/>
    <mergeCell ref="B6:D6"/>
    <mergeCell ref="B7:D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02"/>
  <sheetViews>
    <sheetView workbookViewId="0">
      <selection sqref="A1:I1"/>
    </sheetView>
  </sheetViews>
  <sheetFormatPr defaultRowHeight="12.75" x14ac:dyDescent="0.2"/>
  <cols>
    <col min="1" max="1" width="4.85546875" style="1749" customWidth="1"/>
    <col min="2" max="2" width="57.85546875" style="1749" bestFit="1" customWidth="1"/>
    <col min="3" max="3" width="12" style="1749" customWidth="1"/>
    <col min="4" max="4" width="14.140625" style="1749" customWidth="1"/>
    <col min="5" max="5" width="13.7109375" style="1749" customWidth="1"/>
    <col min="6" max="7" width="12.85546875" style="1749" customWidth="1"/>
    <col min="8" max="8" width="15" style="1749" customWidth="1"/>
    <col min="9" max="9" width="12.42578125" style="1749" customWidth="1"/>
    <col min="10" max="256" width="9.140625" style="1749"/>
    <col min="257" max="257" width="4.85546875" style="1749" customWidth="1"/>
    <col min="258" max="258" width="57.85546875" style="1749" bestFit="1" customWidth="1"/>
    <col min="259" max="259" width="12" style="1749" customWidth="1"/>
    <col min="260" max="260" width="14.140625" style="1749" customWidth="1"/>
    <col min="261" max="261" width="13.7109375" style="1749" customWidth="1"/>
    <col min="262" max="263" width="12.85546875" style="1749" customWidth="1"/>
    <col min="264" max="264" width="15" style="1749" customWidth="1"/>
    <col min="265" max="265" width="12.42578125" style="1749" customWidth="1"/>
    <col min="266" max="512" width="9.140625" style="1749"/>
    <col min="513" max="513" width="4.85546875" style="1749" customWidth="1"/>
    <col min="514" max="514" width="57.85546875" style="1749" bestFit="1" customWidth="1"/>
    <col min="515" max="515" width="12" style="1749" customWidth="1"/>
    <col min="516" max="516" width="14.140625" style="1749" customWidth="1"/>
    <col min="517" max="517" width="13.7109375" style="1749" customWidth="1"/>
    <col min="518" max="519" width="12.85546875" style="1749" customWidth="1"/>
    <col min="520" max="520" width="15" style="1749" customWidth="1"/>
    <col min="521" max="521" width="12.42578125" style="1749" customWidth="1"/>
    <col min="522" max="768" width="9.140625" style="1749"/>
    <col min="769" max="769" width="4.85546875" style="1749" customWidth="1"/>
    <col min="770" max="770" width="57.85546875" style="1749" bestFit="1" customWidth="1"/>
    <col min="771" max="771" width="12" style="1749" customWidth="1"/>
    <col min="772" max="772" width="14.140625" style="1749" customWidth="1"/>
    <col min="773" max="773" width="13.7109375" style="1749" customWidth="1"/>
    <col min="774" max="775" width="12.85546875" style="1749" customWidth="1"/>
    <col min="776" max="776" width="15" style="1749" customWidth="1"/>
    <col min="777" max="777" width="12.42578125" style="1749" customWidth="1"/>
    <col min="778" max="1024" width="9.140625" style="1749"/>
    <col min="1025" max="1025" width="4.85546875" style="1749" customWidth="1"/>
    <col min="1026" max="1026" width="57.85546875" style="1749" bestFit="1" customWidth="1"/>
    <col min="1027" max="1027" width="12" style="1749" customWidth="1"/>
    <col min="1028" max="1028" width="14.140625" style="1749" customWidth="1"/>
    <col min="1029" max="1029" width="13.7109375" style="1749" customWidth="1"/>
    <col min="1030" max="1031" width="12.85546875" style="1749" customWidth="1"/>
    <col min="1032" max="1032" width="15" style="1749" customWidth="1"/>
    <col min="1033" max="1033" width="12.42578125" style="1749" customWidth="1"/>
    <col min="1034" max="1280" width="9.140625" style="1749"/>
    <col min="1281" max="1281" width="4.85546875" style="1749" customWidth="1"/>
    <col min="1282" max="1282" width="57.85546875" style="1749" bestFit="1" customWidth="1"/>
    <col min="1283" max="1283" width="12" style="1749" customWidth="1"/>
    <col min="1284" max="1284" width="14.140625" style="1749" customWidth="1"/>
    <col min="1285" max="1285" width="13.7109375" style="1749" customWidth="1"/>
    <col min="1286" max="1287" width="12.85546875" style="1749" customWidth="1"/>
    <col min="1288" max="1288" width="15" style="1749" customWidth="1"/>
    <col min="1289" max="1289" width="12.42578125" style="1749" customWidth="1"/>
    <col min="1290" max="1536" width="9.140625" style="1749"/>
    <col min="1537" max="1537" width="4.85546875" style="1749" customWidth="1"/>
    <col min="1538" max="1538" width="57.85546875" style="1749" bestFit="1" customWidth="1"/>
    <col min="1539" max="1539" width="12" style="1749" customWidth="1"/>
    <col min="1540" max="1540" width="14.140625" style="1749" customWidth="1"/>
    <col min="1541" max="1541" width="13.7109375" style="1749" customWidth="1"/>
    <col min="1542" max="1543" width="12.85546875" style="1749" customWidth="1"/>
    <col min="1544" max="1544" width="15" style="1749" customWidth="1"/>
    <col min="1545" max="1545" width="12.42578125" style="1749" customWidth="1"/>
    <col min="1546" max="1792" width="9.140625" style="1749"/>
    <col min="1793" max="1793" width="4.85546875" style="1749" customWidth="1"/>
    <col min="1794" max="1794" width="57.85546875" style="1749" bestFit="1" customWidth="1"/>
    <col min="1795" max="1795" width="12" style="1749" customWidth="1"/>
    <col min="1796" max="1796" width="14.140625" style="1749" customWidth="1"/>
    <col min="1797" max="1797" width="13.7109375" style="1749" customWidth="1"/>
    <col min="1798" max="1799" width="12.85546875" style="1749" customWidth="1"/>
    <col min="1800" max="1800" width="15" style="1749" customWidth="1"/>
    <col min="1801" max="1801" width="12.42578125" style="1749" customWidth="1"/>
    <col min="1802" max="2048" width="9.140625" style="1749"/>
    <col min="2049" max="2049" width="4.85546875" style="1749" customWidth="1"/>
    <col min="2050" max="2050" width="57.85546875" style="1749" bestFit="1" customWidth="1"/>
    <col min="2051" max="2051" width="12" style="1749" customWidth="1"/>
    <col min="2052" max="2052" width="14.140625" style="1749" customWidth="1"/>
    <col min="2053" max="2053" width="13.7109375" style="1749" customWidth="1"/>
    <col min="2054" max="2055" width="12.85546875" style="1749" customWidth="1"/>
    <col min="2056" max="2056" width="15" style="1749" customWidth="1"/>
    <col min="2057" max="2057" width="12.42578125" style="1749" customWidth="1"/>
    <col min="2058" max="2304" width="9.140625" style="1749"/>
    <col min="2305" max="2305" width="4.85546875" style="1749" customWidth="1"/>
    <col min="2306" max="2306" width="57.85546875" style="1749" bestFit="1" customWidth="1"/>
    <col min="2307" max="2307" width="12" style="1749" customWidth="1"/>
    <col min="2308" max="2308" width="14.140625" style="1749" customWidth="1"/>
    <col min="2309" max="2309" width="13.7109375" style="1749" customWidth="1"/>
    <col min="2310" max="2311" width="12.85546875" style="1749" customWidth="1"/>
    <col min="2312" max="2312" width="15" style="1749" customWidth="1"/>
    <col min="2313" max="2313" width="12.42578125" style="1749" customWidth="1"/>
    <col min="2314" max="2560" width="9.140625" style="1749"/>
    <col min="2561" max="2561" width="4.85546875" style="1749" customWidth="1"/>
    <col min="2562" max="2562" width="57.85546875" style="1749" bestFit="1" customWidth="1"/>
    <col min="2563" max="2563" width="12" style="1749" customWidth="1"/>
    <col min="2564" max="2564" width="14.140625" style="1749" customWidth="1"/>
    <col min="2565" max="2565" width="13.7109375" style="1749" customWidth="1"/>
    <col min="2566" max="2567" width="12.85546875" style="1749" customWidth="1"/>
    <col min="2568" max="2568" width="15" style="1749" customWidth="1"/>
    <col min="2569" max="2569" width="12.42578125" style="1749" customWidth="1"/>
    <col min="2570" max="2816" width="9.140625" style="1749"/>
    <col min="2817" max="2817" width="4.85546875" style="1749" customWidth="1"/>
    <col min="2818" max="2818" width="57.85546875" style="1749" bestFit="1" customWidth="1"/>
    <col min="2819" max="2819" width="12" style="1749" customWidth="1"/>
    <col min="2820" max="2820" width="14.140625" style="1749" customWidth="1"/>
    <col min="2821" max="2821" width="13.7109375" style="1749" customWidth="1"/>
    <col min="2822" max="2823" width="12.85546875" style="1749" customWidth="1"/>
    <col min="2824" max="2824" width="15" style="1749" customWidth="1"/>
    <col min="2825" max="2825" width="12.42578125" style="1749" customWidth="1"/>
    <col min="2826" max="3072" width="9.140625" style="1749"/>
    <col min="3073" max="3073" width="4.85546875" style="1749" customWidth="1"/>
    <col min="3074" max="3074" width="57.85546875" style="1749" bestFit="1" customWidth="1"/>
    <col min="3075" max="3075" width="12" style="1749" customWidth="1"/>
    <col min="3076" max="3076" width="14.140625" style="1749" customWidth="1"/>
    <col min="3077" max="3077" width="13.7109375" style="1749" customWidth="1"/>
    <col min="3078" max="3079" width="12.85546875" style="1749" customWidth="1"/>
    <col min="3080" max="3080" width="15" style="1749" customWidth="1"/>
    <col min="3081" max="3081" width="12.42578125" style="1749" customWidth="1"/>
    <col min="3082" max="3328" width="9.140625" style="1749"/>
    <col min="3329" max="3329" width="4.85546875" style="1749" customWidth="1"/>
    <col min="3330" max="3330" width="57.85546875" style="1749" bestFit="1" customWidth="1"/>
    <col min="3331" max="3331" width="12" style="1749" customWidth="1"/>
    <col min="3332" max="3332" width="14.140625" style="1749" customWidth="1"/>
    <col min="3333" max="3333" width="13.7109375" style="1749" customWidth="1"/>
    <col min="3334" max="3335" width="12.85546875" style="1749" customWidth="1"/>
    <col min="3336" max="3336" width="15" style="1749" customWidth="1"/>
    <col min="3337" max="3337" width="12.42578125" style="1749" customWidth="1"/>
    <col min="3338" max="3584" width="9.140625" style="1749"/>
    <col min="3585" max="3585" width="4.85546875" style="1749" customWidth="1"/>
    <col min="3586" max="3586" width="57.85546875" style="1749" bestFit="1" customWidth="1"/>
    <col min="3587" max="3587" width="12" style="1749" customWidth="1"/>
    <col min="3588" max="3588" width="14.140625" style="1749" customWidth="1"/>
    <col min="3589" max="3589" width="13.7109375" style="1749" customWidth="1"/>
    <col min="3590" max="3591" width="12.85546875" style="1749" customWidth="1"/>
    <col min="3592" max="3592" width="15" style="1749" customWidth="1"/>
    <col min="3593" max="3593" width="12.42578125" style="1749" customWidth="1"/>
    <col min="3594" max="3840" width="9.140625" style="1749"/>
    <col min="3841" max="3841" width="4.85546875" style="1749" customWidth="1"/>
    <col min="3842" max="3842" width="57.85546875" style="1749" bestFit="1" customWidth="1"/>
    <col min="3843" max="3843" width="12" style="1749" customWidth="1"/>
    <col min="3844" max="3844" width="14.140625" style="1749" customWidth="1"/>
    <col min="3845" max="3845" width="13.7109375" style="1749" customWidth="1"/>
    <col min="3846" max="3847" width="12.85546875" style="1749" customWidth="1"/>
    <col min="3848" max="3848" width="15" style="1749" customWidth="1"/>
    <col min="3849" max="3849" width="12.42578125" style="1749" customWidth="1"/>
    <col min="3850" max="4096" width="9.140625" style="1749"/>
    <col min="4097" max="4097" width="4.85546875" style="1749" customWidth="1"/>
    <col min="4098" max="4098" width="57.85546875" style="1749" bestFit="1" customWidth="1"/>
    <col min="4099" max="4099" width="12" style="1749" customWidth="1"/>
    <col min="4100" max="4100" width="14.140625" style="1749" customWidth="1"/>
    <col min="4101" max="4101" width="13.7109375" style="1749" customWidth="1"/>
    <col min="4102" max="4103" width="12.85546875" style="1749" customWidth="1"/>
    <col min="4104" max="4104" width="15" style="1749" customWidth="1"/>
    <col min="4105" max="4105" width="12.42578125" style="1749" customWidth="1"/>
    <col min="4106" max="4352" width="9.140625" style="1749"/>
    <col min="4353" max="4353" width="4.85546875" style="1749" customWidth="1"/>
    <col min="4354" max="4354" width="57.85546875" style="1749" bestFit="1" customWidth="1"/>
    <col min="4355" max="4355" width="12" style="1749" customWidth="1"/>
    <col min="4356" max="4356" width="14.140625" style="1749" customWidth="1"/>
    <col min="4357" max="4357" width="13.7109375" style="1749" customWidth="1"/>
    <col min="4358" max="4359" width="12.85546875" style="1749" customWidth="1"/>
    <col min="4360" max="4360" width="15" style="1749" customWidth="1"/>
    <col min="4361" max="4361" width="12.42578125" style="1749" customWidth="1"/>
    <col min="4362" max="4608" width="9.140625" style="1749"/>
    <col min="4609" max="4609" width="4.85546875" style="1749" customWidth="1"/>
    <col min="4610" max="4610" width="57.85546875" style="1749" bestFit="1" customWidth="1"/>
    <col min="4611" max="4611" width="12" style="1749" customWidth="1"/>
    <col min="4612" max="4612" width="14.140625" style="1749" customWidth="1"/>
    <col min="4613" max="4613" width="13.7109375" style="1749" customWidth="1"/>
    <col min="4614" max="4615" width="12.85546875" style="1749" customWidth="1"/>
    <col min="4616" max="4616" width="15" style="1749" customWidth="1"/>
    <col min="4617" max="4617" width="12.42578125" style="1749" customWidth="1"/>
    <col min="4618" max="4864" width="9.140625" style="1749"/>
    <col min="4865" max="4865" width="4.85546875" style="1749" customWidth="1"/>
    <col min="4866" max="4866" width="57.85546875" style="1749" bestFit="1" customWidth="1"/>
    <col min="4867" max="4867" width="12" style="1749" customWidth="1"/>
    <col min="4868" max="4868" width="14.140625" style="1749" customWidth="1"/>
    <col min="4869" max="4869" width="13.7109375" style="1749" customWidth="1"/>
    <col min="4870" max="4871" width="12.85546875" style="1749" customWidth="1"/>
    <col min="4872" max="4872" width="15" style="1749" customWidth="1"/>
    <col min="4873" max="4873" width="12.42578125" style="1749" customWidth="1"/>
    <col min="4874" max="5120" width="9.140625" style="1749"/>
    <col min="5121" max="5121" width="4.85546875" style="1749" customWidth="1"/>
    <col min="5122" max="5122" width="57.85546875" style="1749" bestFit="1" customWidth="1"/>
    <col min="5123" max="5123" width="12" style="1749" customWidth="1"/>
    <col min="5124" max="5124" width="14.140625" style="1749" customWidth="1"/>
    <col min="5125" max="5125" width="13.7109375" style="1749" customWidth="1"/>
    <col min="5126" max="5127" width="12.85546875" style="1749" customWidth="1"/>
    <col min="5128" max="5128" width="15" style="1749" customWidth="1"/>
    <col min="5129" max="5129" width="12.42578125" style="1749" customWidth="1"/>
    <col min="5130" max="5376" width="9.140625" style="1749"/>
    <col min="5377" max="5377" width="4.85546875" style="1749" customWidth="1"/>
    <col min="5378" max="5378" width="57.85546875" style="1749" bestFit="1" customWidth="1"/>
    <col min="5379" max="5379" width="12" style="1749" customWidth="1"/>
    <col min="5380" max="5380" width="14.140625" style="1749" customWidth="1"/>
    <col min="5381" max="5381" width="13.7109375" style="1749" customWidth="1"/>
    <col min="5382" max="5383" width="12.85546875" style="1749" customWidth="1"/>
    <col min="5384" max="5384" width="15" style="1749" customWidth="1"/>
    <col min="5385" max="5385" width="12.42578125" style="1749" customWidth="1"/>
    <col min="5386" max="5632" width="9.140625" style="1749"/>
    <col min="5633" max="5633" width="4.85546875" style="1749" customWidth="1"/>
    <col min="5634" max="5634" width="57.85546875" style="1749" bestFit="1" customWidth="1"/>
    <col min="5635" max="5635" width="12" style="1749" customWidth="1"/>
    <col min="5636" max="5636" width="14.140625" style="1749" customWidth="1"/>
    <col min="5637" max="5637" width="13.7109375" style="1749" customWidth="1"/>
    <col min="5638" max="5639" width="12.85546875" style="1749" customWidth="1"/>
    <col min="5640" max="5640" width="15" style="1749" customWidth="1"/>
    <col min="5641" max="5641" width="12.42578125" style="1749" customWidth="1"/>
    <col min="5642" max="5888" width="9.140625" style="1749"/>
    <col min="5889" max="5889" width="4.85546875" style="1749" customWidth="1"/>
    <col min="5890" max="5890" width="57.85546875" style="1749" bestFit="1" customWidth="1"/>
    <col min="5891" max="5891" width="12" style="1749" customWidth="1"/>
    <col min="5892" max="5892" width="14.140625" style="1749" customWidth="1"/>
    <col min="5893" max="5893" width="13.7109375" style="1749" customWidth="1"/>
    <col min="5894" max="5895" width="12.85546875" style="1749" customWidth="1"/>
    <col min="5896" max="5896" width="15" style="1749" customWidth="1"/>
    <col min="5897" max="5897" width="12.42578125" style="1749" customWidth="1"/>
    <col min="5898" max="6144" width="9.140625" style="1749"/>
    <col min="6145" max="6145" width="4.85546875" style="1749" customWidth="1"/>
    <col min="6146" max="6146" width="57.85546875" style="1749" bestFit="1" customWidth="1"/>
    <col min="6147" max="6147" width="12" style="1749" customWidth="1"/>
    <col min="6148" max="6148" width="14.140625" style="1749" customWidth="1"/>
    <col min="6149" max="6149" width="13.7109375" style="1749" customWidth="1"/>
    <col min="6150" max="6151" width="12.85546875" style="1749" customWidth="1"/>
    <col min="6152" max="6152" width="15" style="1749" customWidth="1"/>
    <col min="6153" max="6153" width="12.42578125" style="1749" customWidth="1"/>
    <col min="6154" max="6400" width="9.140625" style="1749"/>
    <col min="6401" max="6401" width="4.85546875" style="1749" customWidth="1"/>
    <col min="6402" max="6402" width="57.85546875" style="1749" bestFit="1" customWidth="1"/>
    <col min="6403" max="6403" width="12" style="1749" customWidth="1"/>
    <col min="6404" max="6404" width="14.140625" style="1749" customWidth="1"/>
    <col min="6405" max="6405" width="13.7109375" style="1749" customWidth="1"/>
    <col min="6406" max="6407" width="12.85546875" style="1749" customWidth="1"/>
    <col min="6408" max="6408" width="15" style="1749" customWidth="1"/>
    <col min="6409" max="6409" width="12.42578125" style="1749" customWidth="1"/>
    <col min="6410" max="6656" width="9.140625" style="1749"/>
    <col min="6657" max="6657" width="4.85546875" style="1749" customWidth="1"/>
    <col min="6658" max="6658" width="57.85546875" style="1749" bestFit="1" customWidth="1"/>
    <col min="6659" max="6659" width="12" style="1749" customWidth="1"/>
    <col min="6660" max="6660" width="14.140625" style="1749" customWidth="1"/>
    <col min="6661" max="6661" width="13.7109375" style="1749" customWidth="1"/>
    <col min="6662" max="6663" width="12.85546875" style="1749" customWidth="1"/>
    <col min="6664" max="6664" width="15" style="1749" customWidth="1"/>
    <col min="6665" max="6665" width="12.42578125" style="1749" customWidth="1"/>
    <col min="6666" max="6912" width="9.140625" style="1749"/>
    <col min="6913" max="6913" width="4.85546875" style="1749" customWidth="1"/>
    <col min="6914" max="6914" width="57.85546875" style="1749" bestFit="1" customWidth="1"/>
    <col min="6915" max="6915" width="12" style="1749" customWidth="1"/>
    <col min="6916" max="6916" width="14.140625" style="1749" customWidth="1"/>
    <col min="6917" max="6917" width="13.7109375" style="1749" customWidth="1"/>
    <col min="6918" max="6919" width="12.85546875" style="1749" customWidth="1"/>
    <col min="6920" max="6920" width="15" style="1749" customWidth="1"/>
    <col min="6921" max="6921" width="12.42578125" style="1749" customWidth="1"/>
    <col min="6922" max="7168" width="9.140625" style="1749"/>
    <col min="7169" max="7169" width="4.85546875" style="1749" customWidth="1"/>
    <col min="7170" max="7170" width="57.85546875" style="1749" bestFit="1" customWidth="1"/>
    <col min="7171" max="7171" width="12" style="1749" customWidth="1"/>
    <col min="7172" max="7172" width="14.140625" style="1749" customWidth="1"/>
    <col min="7173" max="7173" width="13.7109375" style="1749" customWidth="1"/>
    <col min="7174" max="7175" width="12.85546875" style="1749" customWidth="1"/>
    <col min="7176" max="7176" width="15" style="1749" customWidth="1"/>
    <col min="7177" max="7177" width="12.42578125" style="1749" customWidth="1"/>
    <col min="7178" max="7424" width="9.140625" style="1749"/>
    <col min="7425" max="7425" width="4.85546875" style="1749" customWidth="1"/>
    <col min="7426" max="7426" width="57.85546875" style="1749" bestFit="1" customWidth="1"/>
    <col min="7427" max="7427" width="12" style="1749" customWidth="1"/>
    <col min="7428" max="7428" width="14.140625" style="1749" customWidth="1"/>
    <col min="7429" max="7429" width="13.7109375" style="1749" customWidth="1"/>
    <col min="7430" max="7431" width="12.85546875" style="1749" customWidth="1"/>
    <col min="7432" max="7432" width="15" style="1749" customWidth="1"/>
    <col min="7433" max="7433" width="12.42578125" style="1749" customWidth="1"/>
    <col min="7434" max="7680" width="9.140625" style="1749"/>
    <col min="7681" max="7681" width="4.85546875" style="1749" customWidth="1"/>
    <col min="7682" max="7682" width="57.85546875" style="1749" bestFit="1" customWidth="1"/>
    <col min="7683" max="7683" width="12" style="1749" customWidth="1"/>
    <col min="7684" max="7684" width="14.140625" style="1749" customWidth="1"/>
    <col min="7685" max="7685" width="13.7109375" style="1749" customWidth="1"/>
    <col min="7686" max="7687" width="12.85546875" style="1749" customWidth="1"/>
    <col min="7688" max="7688" width="15" style="1749" customWidth="1"/>
    <col min="7689" max="7689" width="12.42578125" style="1749" customWidth="1"/>
    <col min="7690" max="7936" width="9.140625" style="1749"/>
    <col min="7937" max="7937" width="4.85546875" style="1749" customWidth="1"/>
    <col min="7938" max="7938" width="57.85546875" style="1749" bestFit="1" customWidth="1"/>
    <col min="7939" max="7939" width="12" style="1749" customWidth="1"/>
    <col min="7940" max="7940" width="14.140625" style="1749" customWidth="1"/>
    <col min="7941" max="7941" width="13.7109375" style="1749" customWidth="1"/>
    <col min="7942" max="7943" width="12.85546875" style="1749" customWidth="1"/>
    <col min="7944" max="7944" width="15" style="1749" customWidth="1"/>
    <col min="7945" max="7945" width="12.42578125" style="1749" customWidth="1"/>
    <col min="7946" max="8192" width="9.140625" style="1749"/>
    <col min="8193" max="8193" width="4.85546875" style="1749" customWidth="1"/>
    <col min="8194" max="8194" width="57.85546875" style="1749" bestFit="1" customWidth="1"/>
    <col min="8195" max="8195" width="12" style="1749" customWidth="1"/>
    <col min="8196" max="8196" width="14.140625" style="1749" customWidth="1"/>
    <col min="8197" max="8197" width="13.7109375" style="1749" customWidth="1"/>
    <col min="8198" max="8199" width="12.85546875" style="1749" customWidth="1"/>
    <col min="8200" max="8200" width="15" style="1749" customWidth="1"/>
    <col min="8201" max="8201" width="12.42578125" style="1749" customWidth="1"/>
    <col min="8202" max="8448" width="9.140625" style="1749"/>
    <col min="8449" max="8449" width="4.85546875" style="1749" customWidth="1"/>
    <col min="8450" max="8450" width="57.85546875" style="1749" bestFit="1" customWidth="1"/>
    <col min="8451" max="8451" width="12" style="1749" customWidth="1"/>
    <col min="8452" max="8452" width="14.140625" style="1749" customWidth="1"/>
    <col min="8453" max="8453" width="13.7109375" style="1749" customWidth="1"/>
    <col min="8454" max="8455" width="12.85546875" style="1749" customWidth="1"/>
    <col min="8456" max="8456" width="15" style="1749" customWidth="1"/>
    <col min="8457" max="8457" width="12.42578125" style="1749" customWidth="1"/>
    <col min="8458" max="8704" width="9.140625" style="1749"/>
    <col min="8705" max="8705" width="4.85546875" style="1749" customWidth="1"/>
    <col min="8706" max="8706" width="57.85546875" style="1749" bestFit="1" customWidth="1"/>
    <col min="8707" max="8707" width="12" style="1749" customWidth="1"/>
    <col min="8708" max="8708" width="14.140625" style="1749" customWidth="1"/>
    <col min="8709" max="8709" width="13.7109375" style="1749" customWidth="1"/>
    <col min="8710" max="8711" width="12.85546875" style="1749" customWidth="1"/>
    <col min="8712" max="8712" width="15" style="1749" customWidth="1"/>
    <col min="8713" max="8713" width="12.42578125" style="1749" customWidth="1"/>
    <col min="8714" max="8960" width="9.140625" style="1749"/>
    <col min="8961" max="8961" width="4.85546875" style="1749" customWidth="1"/>
    <col min="8962" max="8962" width="57.85546875" style="1749" bestFit="1" customWidth="1"/>
    <col min="8963" max="8963" width="12" style="1749" customWidth="1"/>
    <col min="8964" max="8964" width="14.140625" style="1749" customWidth="1"/>
    <col min="8965" max="8965" width="13.7109375" style="1749" customWidth="1"/>
    <col min="8966" max="8967" width="12.85546875" style="1749" customWidth="1"/>
    <col min="8968" max="8968" width="15" style="1749" customWidth="1"/>
    <col min="8969" max="8969" width="12.42578125" style="1749" customWidth="1"/>
    <col min="8970" max="9216" width="9.140625" style="1749"/>
    <col min="9217" max="9217" width="4.85546875" style="1749" customWidth="1"/>
    <col min="9218" max="9218" width="57.85546875" style="1749" bestFit="1" customWidth="1"/>
    <col min="9219" max="9219" width="12" style="1749" customWidth="1"/>
    <col min="9220" max="9220" width="14.140625" style="1749" customWidth="1"/>
    <col min="9221" max="9221" width="13.7109375" style="1749" customWidth="1"/>
    <col min="9222" max="9223" width="12.85546875" style="1749" customWidth="1"/>
    <col min="9224" max="9224" width="15" style="1749" customWidth="1"/>
    <col min="9225" max="9225" width="12.42578125" style="1749" customWidth="1"/>
    <col min="9226" max="9472" width="9.140625" style="1749"/>
    <col min="9473" max="9473" width="4.85546875" style="1749" customWidth="1"/>
    <col min="9474" max="9474" width="57.85546875" style="1749" bestFit="1" customWidth="1"/>
    <col min="9475" max="9475" width="12" style="1749" customWidth="1"/>
    <col min="9476" max="9476" width="14.140625" style="1749" customWidth="1"/>
    <col min="9477" max="9477" width="13.7109375" style="1749" customWidth="1"/>
    <col min="9478" max="9479" width="12.85546875" style="1749" customWidth="1"/>
    <col min="9480" max="9480" width="15" style="1749" customWidth="1"/>
    <col min="9481" max="9481" width="12.42578125" style="1749" customWidth="1"/>
    <col min="9482" max="9728" width="9.140625" style="1749"/>
    <col min="9729" max="9729" width="4.85546875" style="1749" customWidth="1"/>
    <col min="9730" max="9730" width="57.85546875" style="1749" bestFit="1" customWidth="1"/>
    <col min="9731" max="9731" width="12" style="1749" customWidth="1"/>
    <col min="9732" max="9732" width="14.140625" style="1749" customWidth="1"/>
    <col min="9733" max="9733" width="13.7109375" style="1749" customWidth="1"/>
    <col min="9734" max="9735" width="12.85546875" style="1749" customWidth="1"/>
    <col min="9736" max="9736" width="15" style="1749" customWidth="1"/>
    <col min="9737" max="9737" width="12.42578125" style="1749" customWidth="1"/>
    <col min="9738" max="9984" width="9.140625" style="1749"/>
    <col min="9985" max="9985" width="4.85546875" style="1749" customWidth="1"/>
    <col min="9986" max="9986" width="57.85546875" style="1749" bestFit="1" customWidth="1"/>
    <col min="9987" max="9987" width="12" style="1749" customWidth="1"/>
    <col min="9988" max="9988" width="14.140625" style="1749" customWidth="1"/>
    <col min="9989" max="9989" width="13.7109375" style="1749" customWidth="1"/>
    <col min="9990" max="9991" width="12.85546875" style="1749" customWidth="1"/>
    <col min="9992" max="9992" width="15" style="1749" customWidth="1"/>
    <col min="9993" max="9993" width="12.42578125" style="1749" customWidth="1"/>
    <col min="9994" max="10240" width="9.140625" style="1749"/>
    <col min="10241" max="10241" width="4.85546875" style="1749" customWidth="1"/>
    <col min="10242" max="10242" width="57.85546875" style="1749" bestFit="1" customWidth="1"/>
    <col min="10243" max="10243" width="12" style="1749" customWidth="1"/>
    <col min="10244" max="10244" width="14.140625" style="1749" customWidth="1"/>
    <col min="10245" max="10245" width="13.7109375" style="1749" customWidth="1"/>
    <col min="10246" max="10247" width="12.85546875" style="1749" customWidth="1"/>
    <col min="10248" max="10248" width="15" style="1749" customWidth="1"/>
    <col min="10249" max="10249" width="12.42578125" style="1749" customWidth="1"/>
    <col min="10250" max="10496" width="9.140625" style="1749"/>
    <col min="10497" max="10497" width="4.85546875" style="1749" customWidth="1"/>
    <col min="10498" max="10498" width="57.85546875" style="1749" bestFit="1" customWidth="1"/>
    <col min="10499" max="10499" width="12" style="1749" customWidth="1"/>
    <col min="10500" max="10500" width="14.140625" style="1749" customWidth="1"/>
    <col min="10501" max="10501" width="13.7109375" style="1749" customWidth="1"/>
    <col min="10502" max="10503" width="12.85546875" style="1749" customWidth="1"/>
    <col min="10504" max="10504" width="15" style="1749" customWidth="1"/>
    <col min="10505" max="10505" width="12.42578125" style="1749" customWidth="1"/>
    <col min="10506" max="10752" width="9.140625" style="1749"/>
    <col min="10753" max="10753" width="4.85546875" style="1749" customWidth="1"/>
    <col min="10754" max="10754" width="57.85546875" style="1749" bestFit="1" customWidth="1"/>
    <col min="10755" max="10755" width="12" style="1749" customWidth="1"/>
    <col min="10756" max="10756" width="14.140625" style="1749" customWidth="1"/>
    <col min="10757" max="10757" width="13.7109375" style="1749" customWidth="1"/>
    <col min="10758" max="10759" width="12.85546875" style="1749" customWidth="1"/>
    <col min="10760" max="10760" width="15" style="1749" customWidth="1"/>
    <col min="10761" max="10761" width="12.42578125" style="1749" customWidth="1"/>
    <col min="10762" max="11008" width="9.140625" style="1749"/>
    <col min="11009" max="11009" width="4.85546875" style="1749" customWidth="1"/>
    <col min="11010" max="11010" width="57.85546875" style="1749" bestFit="1" customWidth="1"/>
    <col min="11011" max="11011" width="12" style="1749" customWidth="1"/>
    <col min="11012" max="11012" width="14.140625" style="1749" customWidth="1"/>
    <col min="11013" max="11013" width="13.7109375" style="1749" customWidth="1"/>
    <col min="11014" max="11015" width="12.85546875" style="1749" customWidth="1"/>
    <col min="11016" max="11016" width="15" style="1749" customWidth="1"/>
    <col min="11017" max="11017" width="12.42578125" style="1749" customWidth="1"/>
    <col min="11018" max="11264" width="9.140625" style="1749"/>
    <col min="11265" max="11265" width="4.85546875" style="1749" customWidth="1"/>
    <col min="11266" max="11266" width="57.85546875" style="1749" bestFit="1" customWidth="1"/>
    <col min="11267" max="11267" width="12" style="1749" customWidth="1"/>
    <col min="11268" max="11268" width="14.140625" style="1749" customWidth="1"/>
    <col min="11269" max="11269" width="13.7109375" style="1749" customWidth="1"/>
    <col min="11270" max="11271" width="12.85546875" style="1749" customWidth="1"/>
    <col min="11272" max="11272" width="15" style="1749" customWidth="1"/>
    <col min="11273" max="11273" width="12.42578125" style="1749" customWidth="1"/>
    <col min="11274" max="11520" width="9.140625" style="1749"/>
    <col min="11521" max="11521" width="4.85546875" style="1749" customWidth="1"/>
    <col min="11522" max="11522" width="57.85546875" style="1749" bestFit="1" customWidth="1"/>
    <col min="11523" max="11523" width="12" style="1749" customWidth="1"/>
    <col min="11524" max="11524" width="14.140625" style="1749" customWidth="1"/>
    <col min="11525" max="11525" width="13.7109375" style="1749" customWidth="1"/>
    <col min="11526" max="11527" width="12.85546875" style="1749" customWidth="1"/>
    <col min="11528" max="11528" width="15" style="1749" customWidth="1"/>
    <col min="11529" max="11529" width="12.42578125" style="1749" customWidth="1"/>
    <col min="11530" max="11776" width="9.140625" style="1749"/>
    <col min="11777" max="11777" width="4.85546875" style="1749" customWidth="1"/>
    <col min="11778" max="11778" width="57.85546875" style="1749" bestFit="1" customWidth="1"/>
    <col min="11779" max="11779" width="12" style="1749" customWidth="1"/>
    <col min="11780" max="11780" width="14.140625" style="1749" customWidth="1"/>
    <col min="11781" max="11781" width="13.7109375" style="1749" customWidth="1"/>
    <col min="11782" max="11783" width="12.85546875" style="1749" customWidth="1"/>
    <col min="11784" max="11784" width="15" style="1749" customWidth="1"/>
    <col min="11785" max="11785" width="12.42578125" style="1749" customWidth="1"/>
    <col min="11786" max="12032" width="9.140625" style="1749"/>
    <col min="12033" max="12033" width="4.85546875" style="1749" customWidth="1"/>
    <col min="12034" max="12034" width="57.85546875" style="1749" bestFit="1" customWidth="1"/>
    <col min="12035" max="12035" width="12" style="1749" customWidth="1"/>
    <col min="12036" max="12036" width="14.140625" style="1749" customWidth="1"/>
    <col min="12037" max="12037" width="13.7109375" style="1749" customWidth="1"/>
    <col min="12038" max="12039" width="12.85546875" style="1749" customWidth="1"/>
    <col min="12040" max="12040" width="15" style="1749" customWidth="1"/>
    <col min="12041" max="12041" width="12.42578125" style="1749" customWidth="1"/>
    <col min="12042" max="12288" width="9.140625" style="1749"/>
    <col min="12289" max="12289" width="4.85546875" style="1749" customWidth="1"/>
    <col min="12290" max="12290" width="57.85546875" style="1749" bestFit="1" customWidth="1"/>
    <col min="12291" max="12291" width="12" style="1749" customWidth="1"/>
    <col min="12292" max="12292" width="14.140625" style="1749" customWidth="1"/>
    <col min="12293" max="12293" width="13.7109375" style="1749" customWidth="1"/>
    <col min="12294" max="12295" width="12.85546875" style="1749" customWidth="1"/>
    <col min="12296" max="12296" width="15" style="1749" customWidth="1"/>
    <col min="12297" max="12297" width="12.42578125" style="1749" customWidth="1"/>
    <col min="12298" max="12544" width="9.140625" style="1749"/>
    <col min="12545" max="12545" width="4.85546875" style="1749" customWidth="1"/>
    <col min="12546" max="12546" width="57.85546875" style="1749" bestFit="1" customWidth="1"/>
    <col min="12547" max="12547" width="12" style="1749" customWidth="1"/>
    <col min="12548" max="12548" width="14.140625" style="1749" customWidth="1"/>
    <col min="12549" max="12549" width="13.7109375" style="1749" customWidth="1"/>
    <col min="12550" max="12551" width="12.85546875" style="1749" customWidth="1"/>
    <col min="12552" max="12552" width="15" style="1749" customWidth="1"/>
    <col min="12553" max="12553" width="12.42578125" style="1749" customWidth="1"/>
    <col min="12554" max="12800" width="9.140625" style="1749"/>
    <col min="12801" max="12801" width="4.85546875" style="1749" customWidth="1"/>
    <col min="12802" max="12802" width="57.85546875" style="1749" bestFit="1" customWidth="1"/>
    <col min="12803" max="12803" width="12" style="1749" customWidth="1"/>
    <col min="12804" max="12804" width="14.140625" style="1749" customWidth="1"/>
    <col min="12805" max="12805" width="13.7109375" style="1749" customWidth="1"/>
    <col min="12806" max="12807" width="12.85546875" style="1749" customWidth="1"/>
    <col min="12808" max="12808" width="15" style="1749" customWidth="1"/>
    <col min="12809" max="12809" width="12.42578125" style="1749" customWidth="1"/>
    <col min="12810" max="13056" width="9.140625" style="1749"/>
    <col min="13057" max="13057" width="4.85546875" style="1749" customWidth="1"/>
    <col min="13058" max="13058" width="57.85546875" style="1749" bestFit="1" customWidth="1"/>
    <col min="13059" max="13059" width="12" style="1749" customWidth="1"/>
    <col min="13060" max="13060" width="14.140625" style="1749" customWidth="1"/>
    <col min="13061" max="13061" width="13.7109375" style="1749" customWidth="1"/>
    <col min="13062" max="13063" width="12.85546875" style="1749" customWidth="1"/>
    <col min="13064" max="13064" width="15" style="1749" customWidth="1"/>
    <col min="13065" max="13065" width="12.42578125" style="1749" customWidth="1"/>
    <col min="13066" max="13312" width="9.140625" style="1749"/>
    <col min="13313" max="13313" width="4.85546875" style="1749" customWidth="1"/>
    <col min="13314" max="13314" width="57.85546875" style="1749" bestFit="1" customWidth="1"/>
    <col min="13315" max="13315" width="12" style="1749" customWidth="1"/>
    <col min="13316" max="13316" width="14.140625" style="1749" customWidth="1"/>
    <col min="13317" max="13317" width="13.7109375" style="1749" customWidth="1"/>
    <col min="13318" max="13319" width="12.85546875" style="1749" customWidth="1"/>
    <col min="13320" max="13320" width="15" style="1749" customWidth="1"/>
    <col min="13321" max="13321" width="12.42578125" style="1749" customWidth="1"/>
    <col min="13322" max="13568" width="9.140625" style="1749"/>
    <col min="13569" max="13569" width="4.85546875" style="1749" customWidth="1"/>
    <col min="13570" max="13570" width="57.85546875" style="1749" bestFit="1" customWidth="1"/>
    <col min="13571" max="13571" width="12" style="1749" customWidth="1"/>
    <col min="13572" max="13572" width="14.140625" style="1749" customWidth="1"/>
    <col min="13573" max="13573" width="13.7109375" style="1749" customWidth="1"/>
    <col min="13574" max="13575" width="12.85546875" style="1749" customWidth="1"/>
    <col min="13576" max="13576" width="15" style="1749" customWidth="1"/>
    <col min="13577" max="13577" width="12.42578125" style="1749" customWidth="1"/>
    <col min="13578" max="13824" width="9.140625" style="1749"/>
    <col min="13825" max="13825" width="4.85546875" style="1749" customWidth="1"/>
    <col min="13826" max="13826" width="57.85546875" style="1749" bestFit="1" customWidth="1"/>
    <col min="13827" max="13827" width="12" style="1749" customWidth="1"/>
    <col min="13828" max="13828" width="14.140625" style="1749" customWidth="1"/>
    <col min="13829" max="13829" width="13.7109375" style="1749" customWidth="1"/>
    <col min="13830" max="13831" width="12.85546875" style="1749" customWidth="1"/>
    <col min="13832" max="13832" width="15" style="1749" customWidth="1"/>
    <col min="13833" max="13833" width="12.42578125" style="1749" customWidth="1"/>
    <col min="13834" max="14080" width="9.140625" style="1749"/>
    <col min="14081" max="14081" width="4.85546875" style="1749" customWidth="1"/>
    <col min="14082" max="14082" width="57.85546875" style="1749" bestFit="1" customWidth="1"/>
    <col min="14083" max="14083" width="12" style="1749" customWidth="1"/>
    <col min="14084" max="14084" width="14.140625" style="1749" customWidth="1"/>
    <col min="14085" max="14085" width="13.7109375" style="1749" customWidth="1"/>
    <col min="14086" max="14087" width="12.85546875" style="1749" customWidth="1"/>
    <col min="14088" max="14088" width="15" style="1749" customWidth="1"/>
    <col min="14089" max="14089" width="12.42578125" style="1749" customWidth="1"/>
    <col min="14090" max="14336" width="9.140625" style="1749"/>
    <col min="14337" max="14337" width="4.85546875" style="1749" customWidth="1"/>
    <col min="14338" max="14338" width="57.85546875" style="1749" bestFit="1" customWidth="1"/>
    <col min="14339" max="14339" width="12" style="1749" customWidth="1"/>
    <col min="14340" max="14340" width="14.140625" style="1749" customWidth="1"/>
    <col min="14341" max="14341" width="13.7109375" style="1749" customWidth="1"/>
    <col min="14342" max="14343" width="12.85546875" style="1749" customWidth="1"/>
    <col min="14344" max="14344" width="15" style="1749" customWidth="1"/>
    <col min="14345" max="14345" width="12.42578125" style="1749" customWidth="1"/>
    <col min="14346" max="14592" width="9.140625" style="1749"/>
    <col min="14593" max="14593" width="4.85546875" style="1749" customWidth="1"/>
    <col min="14594" max="14594" width="57.85546875" style="1749" bestFit="1" customWidth="1"/>
    <col min="14595" max="14595" width="12" style="1749" customWidth="1"/>
    <col min="14596" max="14596" width="14.140625" style="1749" customWidth="1"/>
    <col min="14597" max="14597" width="13.7109375" style="1749" customWidth="1"/>
    <col min="14598" max="14599" width="12.85546875" style="1749" customWidth="1"/>
    <col min="14600" max="14600" width="15" style="1749" customWidth="1"/>
    <col min="14601" max="14601" width="12.42578125" style="1749" customWidth="1"/>
    <col min="14602" max="14848" width="9.140625" style="1749"/>
    <col min="14849" max="14849" width="4.85546875" style="1749" customWidth="1"/>
    <col min="14850" max="14850" width="57.85546875" style="1749" bestFit="1" customWidth="1"/>
    <col min="14851" max="14851" width="12" style="1749" customWidth="1"/>
    <col min="14852" max="14852" width="14.140625" style="1749" customWidth="1"/>
    <col min="14853" max="14853" width="13.7109375" style="1749" customWidth="1"/>
    <col min="14854" max="14855" width="12.85546875" style="1749" customWidth="1"/>
    <col min="14856" max="14856" width="15" style="1749" customWidth="1"/>
    <col min="14857" max="14857" width="12.42578125" style="1749" customWidth="1"/>
    <col min="14858" max="15104" width="9.140625" style="1749"/>
    <col min="15105" max="15105" width="4.85546875" style="1749" customWidth="1"/>
    <col min="15106" max="15106" width="57.85546875" style="1749" bestFit="1" customWidth="1"/>
    <col min="15107" max="15107" width="12" style="1749" customWidth="1"/>
    <col min="15108" max="15108" width="14.140625" style="1749" customWidth="1"/>
    <col min="15109" max="15109" width="13.7109375" style="1749" customWidth="1"/>
    <col min="15110" max="15111" width="12.85546875" style="1749" customWidth="1"/>
    <col min="15112" max="15112" width="15" style="1749" customWidth="1"/>
    <col min="15113" max="15113" width="12.42578125" style="1749" customWidth="1"/>
    <col min="15114" max="15360" width="9.140625" style="1749"/>
    <col min="15361" max="15361" width="4.85546875" style="1749" customWidth="1"/>
    <col min="15362" max="15362" width="57.85546875" style="1749" bestFit="1" customWidth="1"/>
    <col min="15363" max="15363" width="12" style="1749" customWidth="1"/>
    <col min="15364" max="15364" width="14.140625" style="1749" customWidth="1"/>
    <col min="15365" max="15365" width="13.7109375" style="1749" customWidth="1"/>
    <col min="15366" max="15367" width="12.85546875" style="1749" customWidth="1"/>
    <col min="15368" max="15368" width="15" style="1749" customWidth="1"/>
    <col min="15369" max="15369" width="12.42578125" style="1749" customWidth="1"/>
    <col min="15370" max="15616" width="9.140625" style="1749"/>
    <col min="15617" max="15617" width="4.85546875" style="1749" customWidth="1"/>
    <col min="15618" max="15618" width="57.85546875" style="1749" bestFit="1" customWidth="1"/>
    <col min="15619" max="15619" width="12" style="1749" customWidth="1"/>
    <col min="15620" max="15620" width="14.140625" style="1749" customWidth="1"/>
    <col min="15621" max="15621" width="13.7109375" style="1749" customWidth="1"/>
    <col min="15622" max="15623" width="12.85546875" style="1749" customWidth="1"/>
    <col min="15624" max="15624" width="15" style="1749" customWidth="1"/>
    <col min="15625" max="15625" width="12.42578125" style="1749" customWidth="1"/>
    <col min="15626" max="15872" width="9.140625" style="1749"/>
    <col min="15873" max="15873" width="4.85546875" style="1749" customWidth="1"/>
    <col min="15874" max="15874" width="57.85546875" style="1749" bestFit="1" customWidth="1"/>
    <col min="15875" max="15875" width="12" style="1749" customWidth="1"/>
    <col min="15876" max="15876" width="14.140625" style="1749" customWidth="1"/>
    <col min="15877" max="15877" width="13.7109375" style="1749" customWidth="1"/>
    <col min="15878" max="15879" width="12.85546875" style="1749" customWidth="1"/>
    <col min="15880" max="15880" width="15" style="1749" customWidth="1"/>
    <col min="15881" max="15881" width="12.42578125" style="1749" customWidth="1"/>
    <col min="15882" max="16128" width="9.140625" style="1749"/>
    <col min="16129" max="16129" width="4.85546875" style="1749" customWidth="1"/>
    <col min="16130" max="16130" width="57.85546875" style="1749" bestFit="1" customWidth="1"/>
    <col min="16131" max="16131" width="12" style="1749" customWidth="1"/>
    <col min="16132" max="16132" width="14.140625" style="1749" customWidth="1"/>
    <col min="16133" max="16133" width="13.7109375" style="1749" customWidth="1"/>
    <col min="16134" max="16135" width="12.85546875" style="1749" customWidth="1"/>
    <col min="16136" max="16136" width="15" style="1749" customWidth="1"/>
    <col min="16137" max="16137" width="12.42578125" style="1749" customWidth="1"/>
    <col min="16138" max="16384" width="9.140625" style="1749"/>
  </cols>
  <sheetData>
    <row r="1" spans="1:10" s="1727" customFormat="1" x14ac:dyDescent="0.2">
      <c r="A1" s="2090" t="s">
        <v>2091</v>
      </c>
      <c r="B1" s="2090"/>
      <c r="C1" s="2090"/>
      <c r="D1" s="2090"/>
      <c r="E1" s="2090"/>
      <c r="F1" s="2090"/>
      <c r="G1" s="2090"/>
      <c r="H1" s="2090"/>
      <c r="I1" s="2090"/>
      <c r="J1" s="1748"/>
    </row>
    <row r="2" spans="1:10" s="1727" customFormat="1" x14ac:dyDescent="0.2">
      <c r="G2" s="1722"/>
      <c r="H2" s="1722"/>
      <c r="I2" s="1722"/>
      <c r="J2" s="1749"/>
    </row>
    <row r="3" spans="1:10" s="1727" customFormat="1" x14ac:dyDescent="0.2">
      <c r="B3" s="2179" t="s">
        <v>77</v>
      </c>
      <c r="C3" s="2179"/>
      <c r="D3" s="2179"/>
      <c r="E3" s="2179"/>
      <c r="F3" s="2179"/>
      <c r="G3" s="2179"/>
      <c r="H3" s="2179"/>
      <c r="I3" s="2179"/>
      <c r="J3" s="1749"/>
    </row>
    <row r="4" spans="1:10" s="1727" customFormat="1" x14ac:dyDescent="0.2">
      <c r="B4" s="2179" t="s">
        <v>1362</v>
      </c>
      <c r="C4" s="2179"/>
      <c r="D4" s="2179"/>
      <c r="E4" s="2179"/>
      <c r="F4" s="2179"/>
      <c r="G4" s="2179"/>
      <c r="H4" s="2179"/>
      <c r="I4" s="2179"/>
      <c r="J4" s="1749"/>
    </row>
    <row r="5" spans="1:10" s="1727" customFormat="1" x14ac:dyDescent="0.2">
      <c r="B5" s="2179" t="s">
        <v>1959</v>
      </c>
      <c r="C5" s="2179"/>
      <c r="D5" s="2179"/>
      <c r="E5" s="2179"/>
      <c r="F5" s="2179"/>
      <c r="G5" s="2179"/>
      <c r="H5" s="2179"/>
      <c r="I5" s="2179"/>
      <c r="J5" s="1749"/>
    </row>
    <row r="6" spans="1:10" s="1727" customFormat="1" x14ac:dyDescent="0.2">
      <c r="B6" s="2179" t="s">
        <v>1960</v>
      </c>
      <c r="C6" s="2179"/>
      <c r="D6" s="2179"/>
      <c r="E6" s="2179"/>
      <c r="F6" s="2179"/>
      <c r="G6" s="2179"/>
      <c r="H6" s="2179"/>
      <c r="I6" s="2179"/>
      <c r="J6" s="1749"/>
    </row>
    <row r="7" spans="1:10" s="1727" customFormat="1" x14ac:dyDescent="0.2">
      <c r="B7" s="2179" t="s">
        <v>1401</v>
      </c>
      <c r="C7" s="2179"/>
      <c r="D7" s="2179"/>
      <c r="E7" s="2179"/>
      <c r="F7" s="2179"/>
      <c r="G7" s="2179"/>
      <c r="H7" s="2179"/>
      <c r="I7" s="2179"/>
      <c r="J7" s="1749"/>
    </row>
    <row r="8" spans="1:10" s="1727" customFormat="1" x14ac:dyDescent="0.2">
      <c r="B8" s="2179" t="s">
        <v>55</v>
      </c>
      <c r="C8" s="2179"/>
      <c r="D8" s="2179"/>
      <c r="E8" s="2179"/>
      <c r="F8" s="2179"/>
      <c r="G8" s="2179"/>
      <c r="H8" s="2179"/>
      <c r="I8" s="2179"/>
      <c r="J8" s="1749"/>
    </row>
    <row r="9" spans="1:10" s="1727" customFormat="1" x14ac:dyDescent="0.2">
      <c r="B9" s="1750" t="s">
        <v>1476</v>
      </c>
      <c r="C9" s="1751"/>
      <c r="D9" s="1751"/>
      <c r="E9" s="1751"/>
      <c r="F9" s="1751"/>
      <c r="G9" s="1751"/>
      <c r="H9" s="1751"/>
      <c r="I9" s="1751"/>
      <c r="J9" s="1749"/>
    </row>
    <row r="10" spans="1:10" s="1727" customFormat="1" ht="13.5" x14ac:dyDescent="0.25">
      <c r="B10" s="1752"/>
      <c r="C10" s="1752"/>
      <c r="D10" s="1752"/>
      <c r="E10" s="1752"/>
      <c r="F10" s="1752"/>
      <c r="G10" s="1752"/>
      <c r="H10" s="1752"/>
      <c r="I10" s="1752"/>
      <c r="J10" s="1749"/>
    </row>
    <row r="11" spans="1:10" x14ac:dyDescent="0.2">
      <c r="A11" s="2177"/>
      <c r="B11" s="1753" t="s">
        <v>57</v>
      </c>
      <c r="C11" s="1753" t="s">
        <v>58</v>
      </c>
      <c r="D11" s="1753" t="s">
        <v>59</v>
      </c>
      <c r="E11" s="1753" t="s">
        <v>60</v>
      </c>
      <c r="F11" s="1753" t="s">
        <v>469</v>
      </c>
      <c r="G11" s="1753" t="s">
        <v>470</v>
      </c>
      <c r="H11" s="1753" t="s">
        <v>471</v>
      </c>
      <c r="I11" s="1753" t="s">
        <v>590</v>
      </c>
    </row>
    <row r="12" spans="1:10" s="1727" customFormat="1" x14ac:dyDescent="0.2">
      <c r="A12" s="2177"/>
      <c r="B12" s="2178" t="s">
        <v>85</v>
      </c>
      <c r="C12" s="2176" t="s">
        <v>1961</v>
      </c>
      <c r="D12" s="2176"/>
      <c r="E12" s="2175" t="s">
        <v>1962</v>
      </c>
      <c r="F12" s="2175" t="s">
        <v>1413</v>
      </c>
      <c r="G12" s="2176" t="s">
        <v>1963</v>
      </c>
      <c r="H12" s="2176"/>
      <c r="I12" s="2176"/>
      <c r="J12" s="1749"/>
    </row>
    <row r="13" spans="1:10" s="1727" customFormat="1" x14ac:dyDescent="0.2">
      <c r="A13" s="2177"/>
      <c r="B13" s="2178"/>
      <c r="C13" s="2175" t="s">
        <v>1964</v>
      </c>
      <c r="D13" s="2175" t="s">
        <v>1965</v>
      </c>
      <c r="E13" s="2175"/>
      <c r="F13" s="2175"/>
      <c r="G13" s="2175" t="s">
        <v>1964</v>
      </c>
      <c r="H13" s="2175" t="s">
        <v>1966</v>
      </c>
      <c r="I13" s="2175" t="s">
        <v>1967</v>
      </c>
      <c r="J13" s="1749"/>
    </row>
    <row r="14" spans="1:10" s="1727" customFormat="1" ht="28.5" customHeight="1" x14ac:dyDescent="0.2">
      <c r="A14" s="2177"/>
      <c r="B14" s="2178"/>
      <c r="C14" s="2175"/>
      <c r="D14" s="2175"/>
      <c r="E14" s="2175"/>
      <c r="F14" s="2175"/>
      <c r="G14" s="2175"/>
      <c r="H14" s="2175"/>
      <c r="I14" s="2175"/>
      <c r="J14" s="1749"/>
    </row>
    <row r="15" spans="1:10" x14ac:dyDescent="0.2">
      <c r="A15" s="1727"/>
      <c r="B15" s="1727"/>
      <c r="C15" s="1727"/>
      <c r="D15" s="1727"/>
      <c r="E15" s="1727"/>
      <c r="F15" s="1727"/>
      <c r="G15" s="1727"/>
      <c r="H15" s="1727"/>
      <c r="I15" s="1727"/>
    </row>
    <row r="16" spans="1:10" x14ac:dyDescent="0.2">
      <c r="A16" s="1754" t="s">
        <v>478</v>
      </c>
      <c r="B16" s="1727" t="s">
        <v>1968</v>
      </c>
      <c r="C16" s="1709">
        <v>53015</v>
      </c>
      <c r="D16" s="1727"/>
      <c r="E16" s="1727"/>
      <c r="F16" s="1727"/>
      <c r="G16" s="1709">
        <v>2480</v>
      </c>
      <c r="H16" s="1727"/>
      <c r="I16" s="1738">
        <f t="shared" ref="I16:I22" si="0">G16-H16</f>
        <v>2480</v>
      </c>
    </row>
    <row r="17" spans="1:9" x14ac:dyDescent="0.2">
      <c r="A17" s="1754" t="s">
        <v>486</v>
      </c>
      <c r="B17" s="1727" t="s">
        <v>1969</v>
      </c>
      <c r="C17" s="1709">
        <v>832977</v>
      </c>
      <c r="D17" s="1709"/>
      <c r="E17" s="1709"/>
      <c r="F17" s="1709"/>
      <c r="G17" s="1709">
        <v>832797</v>
      </c>
      <c r="H17" s="1709"/>
      <c r="I17" s="1738">
        <f t="shared" si="0"/>
        <v>832797</v>
      </c>
    </row>
    <row r="18" spans="1:9" x14ac:dyDescent="0.2">
      <c r="A18" s="1754" t="s">
        <v>487</v>
      </c>
      <c r="B18" s="1727" t="s">
        <v>1970</v>
      </c>
      <c r="C18" s="1709"/>
      <c r="D18" s="1709"/>
      <c r="E18" s="1709"/>
      <c r="F18" s="1709"/>
      <c r="G18" s="1709"/>
      <c r="H18" s="1709"/>
      <c r="I18" s="1738"/>
    </row>
    <row r="19" spans="1:9" x14ac:dyDescent="0.2">
      <c r="A19" s="1754" t="s">
        <v>488</v>
      </c>
      <c r="B19" s="1727" t="s">
        <v>1971</v>
      </c>
      <c r="C19" s="1709">
        <v>465</v>
      </c>
      <c r="D19" s="1709"/>
      <c r="E19" s="1709"/>
      <c r="F19" s="1709"/>
      <c r="G19" s="1709">
        <v>654</v>
      </c>
      <c r="H19" s="1709"/>
      <c r="I19" s="1738">
        <f t="shared" si="0"/>
        <v>654</v>
      </c>
    </row>
    <row r="20" spans="1:9" x14ac:dyDescent="0.2">
      <c r="A20" s="1754" t="s">
        <v>489</v>
      </c>
      <c r="B20" s="1727" t="s">
        <v>1972</v>
      </c>
      <c r="C20" s="1709"/>
      <c r="D20" s="1709"/>
      <c r="E20" s="1709"/>
      <c r="F20" s="1709"/>
      <c r="G20" s="1709"/>
      <c r="H20" s="1709"/>
      <c r="I20" s="1738"/>
    </row>
    <row r="21" spans="1:9" x14ac:dyDescent="0.2">
      <c r="A21" s="1754" t="s">
        <v>490</v>
      </c>
      <c r="B21" s="1727" t="s">
        <v>1973</v>
      </c>
      <c r="C21" s="1709">
        <v>757913</v>
      </c>
      <c r="D21" s="1709">
        <v>24</v>
      </c>
      <c r="E21" s="1709"/>
      <c r="F21" s="1709"/>
      <c r="G21" s="1709">
        <v>1276944</v>
      </c>
      <c r="H21" s="1709">
        <v>24</v>
      </c>
      <c r="I21" s="1738">
        <f t="shared" si="0"/>
        <v>1276920</v>
      </c>
    </row>
    <row r="22" spans="1:9" x14ac:dyDescent="0.2">
      <c r="A22" s="1754" t="s">
        <v>491</v>
      </c>
      <c r="B22" s="1727" t="s">
        <v>1974</v>
      </c>
      <c r="C22" s="1709">
        <v>2633</v>
      </c>
      <c r="D22" s="1709"/>
      <c r="E22" s="1709"/>
      <c r="F22" s="1709"/>
      <c r="G22" s="1709">
        <v>2635</v>
      </c>
      <c r="H22" s="1709"/>
      <c r="I22" s="1738">
        <f t="shared" si="0"/>
        <v>2635</v>
      </c>
    </row>
    <row r="23" spans="1:9" x14ac:dyDescent="0.2">
      <c r="A23" s="1754" t="s">
        <v>492</v>
      </c>
      <c r="B23" s="1727" t="s">
        <v>1975</v>
      </c>
      <c r="C23" s="1709">
        <v>352940</v>
      </c>
      <c r="D23" s="1709">
        <v>39246</v>
      </c>
      <c r="E23" s="1709">
        <v>10797</v>
      </c>
      <c r="F23" s="1709">
        <v>20853</v>
      </c>
      <c r="G23" s="1709">
        <v>352737</v>
      </c>
      <c r="H23" s="1709">
        <v>29191</v>
      </c>
      <c r="I23" s="1738">
        <f>G23-H23</f>
        <v>323546</v>
      </c>
    </row>
    <row r="24" spans="1:9" x14ac:dyDescent="0.2">
      <c r="A24" s="1754" t="s">
        <v>493</v>
      </c>
      <c r="B24" s="1727" t="s">
        <v>1976</v>
      </c>
      <c r="C24" s="1709"/>
      <c r="D24" s="1709"/>
      <c r="E24" s="1709"/>
      <c r="F24" s="1709"/>
      <c r="G24" s="1709"/>
      <c r="H24" s="1709"/>
      <c r="I24" s="1738"/>
    </row>
    <row r="25" spans="1:9" x14ac:dyDescent="0.2">
      <c r="A25" s="1754" t="s">
        <v>529</v>
      </c>
      <c r="B25" s="1727" t="s">
        <v>1977</v>
      </c>
      <c r="C25" s="1709"/>
      <c r="D25" s="1709"/>
      <c r="E25" s="1709"/>
      <c r="F25" s="1709"/>
      <c r="G25" s="1709"/>
      <c r="H25" s="1709"/>
      <c r="I25" s="1738"/>
    </row>
    <row r="26" spans="1:9" s="1755" customFormat="1" x14ac:dyDescent="0.2">
      <c r="A26" s="1751" t="s">
        <v>530</v>
      </c>
      <c r="B26" s="1737" t="s">
        <v>528</v>
      </c>
      <c r="C26" s="1738">
        <f t="shared" ref="C26:I26" si="1">SUM(C16:C25)</f>
        <v>1999943</v>
      </c>
      <c r="D26" s="1738">
        <f t="shared" si="1"/>
        <v>39270</v>
      </c>
      <c r="E26" s="1738">
        <f t="shared" si="1"/>
        <v>10797</v>
      </c>
      <c r="F26" s="1738">
        <f t="shared" si="1"/>
        <v>20853</v>
      </c>
      <c r="G26" s="1738">
        <f t="shared" si="1"/>
        <v>2468247</v>
      </c>
      <c r="H26" s="1738">
        <f t="shared" si="1"/>
        <v>29215</v>
      </c>
      <c r="I26" s="1738">
        <f t="shared" si="1"/>
        <v>2439032</v>
      </c>
    </row>
    <row r="28" spans="1:9" x14ac:dyDescent="0.2">
      <c r="A28" s="1727"/>
      <c r="B28" s="1750" t="s">
        <v>665</v>
      </c>
      <c r="C28" s="1751"/>
      <c r="D28" s="1751"/>
      <c r="E28" s="1751"/>
      <c r="F28" s="1751"/>
      <c r="G28" s="1751"/>
      <c r="H28" s="1751"/>
      <c r="I28" s="1751"/>
    </row>
    <row r="29" spans="1:9" ht="13.5" x14ac:dyDescent="0.25">
      <c r="A29" s="1727"/>
      <c r="B29" s="1752"/>
      <c r="C29" s="1752"/>
      <c r="D29" s="1752"/>
      <c r="E29" s="1752"/>
      <c r="F29" s="1752"/>
      <c r="G29" s="1752"/>
      <c r="H29" s="1752"/>
      <c r="I29" s="1752"/>
    </row>
    <row r="30" spans="1:9" x14ac:dyDescent="0.2">
      <c r="A30" s="2177"/>
      <c r="B30" s="1753" t="s">
        <v>57</v>
      </c>
      <c r="C30" s="1753" t="s">
        <v>58</v>
      </c>
      <c r="D30" s="1753" t="s">
        <v>59</v>
      </c>
      <c r="E30" s="1753" t="s">
        <v>60</v>
      </c>
      <c r="F30" s="1753" t="s">
        <v>469</v>
      </c>
      <c r="G30" s="1753" t="s">
        <v>470</v>
      </c>
      <c r="H30" s="1753" t="s">
        <v>471</v>
      </c>
      <c r="I30" s="1753" t="s">
        <v>590</v>
      </c>
    </row>
    <row r="31" spans="1:9" x14ac:dyDescent="0.2">
      <c r="A31" s="2177"/>
      <c r="B31" s="2178" t="s">
        <v>85</v>
      </c>
      <c r="C31" s="2176" t="s">
        <v>1961</v>
      </c>
      <c r="D31" s="2176"/>
      <c r="E31" s="2175" t="s">
        <v>1962</v>
      </c>
      <c r="F31" s="2175" t="s">
        <v>1413</v>
      </c>
      <c r="G31" s="2176" t="s">
        <v>1963</v>
      </c>
      <c r="H31" s="2176"/>
      <c r="I31" s="2176"/>
    </row>
    <row r="32" spans="1:9" x14ac:dyDescent="0.2">
      <c r="A32" s="2177"/>
      <c r="B32" s="2178"/>
      <c r="C32" s="2175" t="s">
        <v>1964</v>
      </c>
      <c r="D32" s="2175" t="s">
        <v>1965</v>
      </c>
      <c r="E32" s="2175"/>
      <c r="F32" s="2175"/>
      <c r="G32" s="2175" t="s">
        <v>1964</v>
      </c>
      <c r="H32" s="2175" t="s">
        <v>1966</v>
      </c>
      <c r="I32" s="2175" t="s">
        <v>1967</v>
      </c>
    </row>
    <row r="33" spans="1:9" ht="28.5" customHeight="1" x14ac:dyDescent="0.2">
      <c r="A33" s="2177"/>
      <c r="B33" s="2178"/>
      <c r="C33" s="2175"/>
      <c r="D33" s="2175"/>
      <c r="E33" s="2175"/>
      <c r="F33" s="2175"/>
      <c r="G33" s="2175"/>
      <c r="H33" s="2175"/>
      <c r="I33" s="2175"/>
    </row>
    <row r="34" spans="1:9" x14ac:dyDescent="0.2">
      <c r="A34" s="1727"/>
      <c r="B34" s="1727"/>
      <c r="C34" s="1727"/>
      <c r="D34" s="1727"/>
      <c r="E34" s="1727"/>
      <c r="F34" s="1727"/>
      <c r="G34" s="1727"/>
      <c r="H34" s="1727"/>
      <c r="I34" s="1727"/>
    </row>
    <row r="35" spans="1:9" x14ac:dyDescent="0.2">
      <c r="A35" s="1754" t="s">
        <v>478</v>
      </c>
      <c r="B35" s="1727" t="s">
        <v>1968</v>
      </c>
      <c r="C35" s="1709"/>
      <c r="D35" s="1727"/>
      <c r="E35" s="1727"/>
      <c r="F35" s="1727"/>
      <c r="G35" s="1709"/>
      <c r="H35" s="1727"/>
      <c r="I35" s="1738">
        <f>G35-H35</f>
        <v>0</v>
      </c>
    </row>
    <row r="36" spans="1:9" x14ac:dyDescent="0.2">
      <c r="A36" s="1754" t="s">
        <v>486</v>
      </c>
      <c r="B36" s="1727" t="s">
        <v>1969</v>
      </c>
      <c r="C36" s="1709"/>
      <c r="D36" s="1709"/>
      <c r="E36" s="1709"/>
      <c r="F36" s="1709"/>
      <c r="G36" s="1709"/>
      <c r="H36" s="1709"/>
      <c r="I36" s="1738"/>
    </row>
    <row r="37" spans="1:9" x14ac:dyDescent="0.2">
      <c r="A37" s="1754" t="s">
        <v>487</v>
      </c>
      <c r="B37" s="1727" t="s">
        <v>1970</v>
      </c>
      <c r="C37" s="1709"/>
      <c r="D37" s="1709"/>
      <c r="E37" s="1709"/>
      <c r="F37" s="1709"/>
      <c r="G37" s="1709"/>
      <c r="H37" s="1709"/>
      <c r="I37" s="1738"/>
    </row>
    <row r="38" spans="1:9" x14ac:dyDescent="0.2">
      <c r="A38" s="1754" t="s">
        <v>488</v>
      </c>
      <c r="B38" s="1727" t="s">
        <v>1971</v>
      </c>
      <c r="C38" s="1709">
        <v>2053</v>
      </c>
      <c r="D38" s="1709"/>
      <c r="E38" s="1709"/>
      <c r="F38" s="1709"/>
      <c r="G38" s="1709">
        <v>2350</v>
      </c>
      <c r="H38" s="1709"/>
      <c r="I38" s="1738">
        <f>G38-H38</f>
        <v>2350</v>
      </c>
    </row>
    <row r="39" spans="1:9" x14ac:dyDescent="0.2">
      <c r="A39" s="1754" t="s">
        <v>489</v>
      </c>
      <c r="B39" s="1727" t="s">
        <v>1972</v>
      </c>
      <c r="C39" s="1709"/>
      <c r="D39" s="1709"/>
      <c r="E39" s="1709"/>
      <c r="F39" s="1709"/>
      <c r="G39" s="1709"/>
      <c r="H39" s="1709"/>
      <c r="I39" s="1738"/>
    </row>
    <row r="40" spans="1:9" x14ac:dyDescent="0.2">
      <c r="A40" s="1754" t="s">
        <v>490</v>
      </c>
      <c r="B40" s="1727" t="s">
        <v>1973</v>
      </c>
      <c r="C40" s="1709">
        <v>1894</v>
      </c>
      <c r="D40" s="1709"/>
      <c r="E40" s="1709"/>
      <c r="F40" s="1709"/>
      <c r="G40" s="1709">
        <v>215</v>
      </c>
      <c r="H40" s="1709"/>
      <c r="I40" s="1738">
        <f>G40-H40</f>
        <v>215</v>
      </c>
    </row>
    <row r="41" spans="1:9" x14ac:dyDescent="0.2">
      <c r="A41" s="1754" t="s">
        <v>491</v>
      </c>
      <c r="B41" s="1727" t="s">
        <v>1974</v>
      </c>
      <c r="C41" s="1709"/>
      <c r="D41" s="1709"/>
      <c r="E41" s="1709"/>
      <c r="F41" s="1709"/>
      <c r="G41" s="1709"/>
      <c r="H41" s="1709"/>
      <c r="I41" s="1738"/>
    </row>
    <row r="42" spans="1:9" x14ac:dyDescent="0.2">
      <c r="A42" s="1754" t="s">
        <v>492</v>
      </c>
      <c r="B42" s="1727" t="s">
        <v>1975</v>
      </c>
      <c r="C42" s="1709">
        <v>1796</v>
      </c>
      <c r="D42" s="1709">
        <v>21</v>
      </c>
      <c r="E42" s="1709"/>
      <c r="F42" s="1709"/>
      <c r="G42" s="1709">
        <v>3316</v>
      </c>
      <c r="H42" s="1709">
        <v>21</v>
      </c>
      <c r="I42" s="1738">
        <f>G42-H42</f>
        <v>3295</v>
      </c>
    </row>
    <row r="43" spans="1:9" x14ac:dyDescent="0.2">
      <c r="A43" s="1754" t="s">
        <v>493</v>
      </c>
      <c r="B43" s="1727" t="s">
        <v>1976</v>
      </c>
      <c r="C43" s="1709"/>
      <c r="D43" s="1709"/>
      <c r="E43" s="1709"/>
      <c r="F43" s="1709"/>
      <c r="G43" s="1709"/>
      <c r="H43" s="1709"/>
      <c r="I43" s="1738"/>
    </row>
    <row r="44" spans="1:9" x14ac:dyDescent="0.2">
      <c r="A44" s="1754" t="s">
        <v>529</v>
      </c>
      <c r="B44" s="1727" t="s">
        <v>1977</v>
      </c>
      <c r="C44" s="1709"/>
      <c r="D44" s="1709"/>
      <c r="E44" s="1709"/>
      <c r="F44" s="1709"/>
      <c r="G44" s="1709"/>
      <c r="H44" s="1709"/>
      <c r="I44" s="1738"/>
    </row>
    <row r="45" spans="1:9" x14ac:dyDescent="0.2">
      <c r="A45" s="1751" t="s">
        <v>530</v>
      </c>
      <c r="B45" s="1737" t="s">
        <v>528</v>
      </c>
      <c r="C45" s="1738">
        <f t="shared" ref="C45:I45" si="2">SUM(C35:C44)</f>
        <v>5743</v>
      </c>
      <c r="D45" s="1738">
        <f t="shared" si="2"/>
        <v>21</v>
      </c>
      <c r="E45" s="1738">
        <f t="shared" si="2"/>
        <v>0</v>
      </c>
      <c r="F45" s="1738">
        <f t="shared" si="2"/>
        <v>0</v>
      </c>
      <c r="G45" s="1738">
        <f t="shared" si="2"/>
        <v>5881</v>
      </c>
      <c r="H45" s="1738">
        <f t="shared" si="2"/>
        <v>21</v>
      </c>
      <c r="I45" s="1738">
        <f t="shared" si="2"/>
        <v>5860</v>
      </c>
    </row>
    <row r="46" spans="1:9" x14ac:dyDescent="0.2">
      <c r="B46" s="1756"/>
      <c r="C46" s="1756"/>
      <c r="D46" s="1756"/>
      <c r="E46" s="1756"/>
      <c r="F46" s="1756"/>
      <c r="G46" s="1756"/>
      <c r="H46" s="1756"/>
      <c r="I46" s="1756"/>
    </row>
    <row r="47" spans="1:9" x14ac:dyDescent="0.2">
      <c r="A47" s="1727"/>
      <c r="B47" s="1750" t="s">
        <v>514</v>
      </c>
      <c r="C47" s="1751"/>
      <c r="D47" s="1751"/>
      <c r="E47" s="1751"/>
      <c r="F47" s="1751"/>
      <c r="G47" s="1751"/>
      <c r="H47" s="1751"/>
      <c r="I47" s="1751"/>
    </row>
    <row r="48" spans="1:9" ht="13.5" x14ac:dyDescent="0.25">
      <c r="A48" s="1727"/>
      <c r="B48" s="1752"/>
      <c r="C48" s="1752"/>
      <c r="D48" s="1752"/>
      <c r="E48" s="1752"/>
      <c r="F48" s="1752"/>
      <c r="G48" s="1752"/>
      <c r="H48" s="1752"/>
      <c r="I48" s="1752"/>
    </row>
    <row r="49" spans="1:9" x14ac:dyDescent="0.2">
      <c r="A49" s="2177"/>
      <c r="B49" s="1753" t="s">
        <v>57</v>
      </c>
      <c r="C49" s="1753" t="s">
        <v>58</v>
      </c>
      <c r="D49" s="1753" t="s">
        <v>59</v>
      </c>
      <c r="E49" s="1753" t="s">
        <v>60</v>
      </c>
      <c r="F49" s="1753" t="s">
        <v>469</v>
      </c>
      <c r="G49" s="1753" t="s">
        <v>470</v>
      </c>
      <c r="H49" s="1753" t="s">
        <v>471</v>
      </c>
      <c r="I49" s="1753" t="s">
        <v>590</v>
      </c>
    </row>
    <row r="50" spans="1:9" x14ac:dyDescent="0.2">
      <c r="A50" s="2177"/>
      <c r="B50" s="2178" t="s">
        <v>85</v>
      </c>
      <c r="C50" s="2176" t="s">
        <v>1961</v>
      </c>
      <c r="D50" s="2176"/>
      <c r="E50" s="2175" t="s">
        <v>1962</v>
      </c>
      <c r="F50" s="2175" t="s">
        <v>1413</v>
      </c>
      <c r="G50" s="2176" t="s">
        <v>1963</v>
      </c>
      <c r="H50" s="2176"/>
      <c r="I50" s="2176"/>
    </row>
    <row r="51" spans="1:9" x14ac:dyDescent="0.2">
      <c r="A51" s="2177"/>
      <c r="B51" s="2178"/>
      <c r="C51" s="2175" t="s">
        <v>1964</v>
      </c>
      <c r="D51" s="2175" t="s">
        <v>1965</v>
      </c>
      <c r="E51" s="2175"/>
      <c r="F51" s="2175"/>
      <c r="G51" s="2175" t="s">
        <v>1964</v>
      </c>
      <c r="H51" s="2175" t="s">
        <v>1966</v>
      </c>
      <c r="I51" s="2175" t="s">
        <v>1967</v>
      </c>
    </row>
    <row r="52" spans="1:9" ht="28.5" customHeight="1" x14ac:dyDescent="0.2">
      <c r="A52" s="2177"/>
      <c r="B52" s="2178"/>
      <c r="C52" s="2175"/>
      <c r="D52" s="2175"/>
      <c r="E52" s="2175"/>
      <c r="F52" s="2175"/>
      <c r="G52" s="2175"/>
      <c r="H52" s="2175"/>
      <c r="I52" s="2175"/>
    </row>
    <row r="53" spans="1:9" x14ac:dyDescent="0.2">
      <c r="A53" s="1727"/>
      <c r="B53" s="1727"/>
      <c r="C53" s="1727"/>
      <c r="D53" s="1727"/>
      <c r="E53" s="1727"/>
      <c r="F53" s="1727"/>
      <c r="G53" s="1727"/>
      <c r="H53" s="1727"/>
      <c r="I53" s="1727"/>
    </row>
    <row r="54" spans="1:9" x14ac:dyDescent="0.2">
      <c r="A54" s="1754" t="s">
        <v>478</v>
      </c>
      <c r="B54" s="1727" t="s">
        <v>1968</v>
      </c>
      <c r="C54" s="1709"/>
      <c r="D54" s="1727"/>
      <c r="E54" s="1727"/>
      <c r="F54" s="1727"/>
      <c r="G54" s="1709"/>
      <c r="H54" s="1727"/>
      <c r="I54" s="1738">
        <f>G54-H54</f>
        <v>0</v>
      </c>
    </row>
    <row r="55" spans="1:9" x14ac:dyDescent="0.2">
      <c r="A55" s="1754" t="s">
        <v>486</v>
      </c>
      <c r="B55" s="1727" t="s">
        <v>1969</v>
      </c>
      <c r="C55" s="1709"/>
      <c r="D55" s="1709"/>
      <c r="E55" s="1709"/>
      <c r="F55" s="1709"/>
      <c r="G55" s="1709"/>
      <c r="H55" s="1709"/>
      <c r="I55" s="1738"/>
    </row>
    <row r="56" spans="1:9" x14ac:dyDescent="0.2">
      <c r="A56" s="1754" t="s">
        <v>487</v>
      </c>
      <c r="B56" s="1727" t="s">
        <v>1970</v>
      </c>
      <c r="C56" s="1709"/>
      <c r="D56" s="1709"/>
      <c r="E56" s="1709"/>
      <c r="F56" s="1709"/>
      <c r="G56" s="1709"/>
      <c r="H56" s="1709"/>
      <c r="I56" s="1738"/>
    </row>
    <row r="57" spans="1:9" x14ac:dyDescent="0.2">
      <c r="A57" s="1754" t="s">
        <v>488</v>
      </c>
      <c r="B57" s="1727" t="s">
        <v>1971</v>
      </c>
      <c r="C57" s="1709"/>
      <c r="D57" s="1709"/>
      <c r="E57" s="1709"/>
      <c r="F57" s="1709"/>
      <c r="G57" s="1709"/>
      <c r="H57" s="1709"/>
      <c r="I57" s="1738">
        <f>G57-H57</f>
        <v>0</v>
      </c>
    </row>
    <row r="58" spans="1:9" x14ac:dyDescent="0.2">
      <c r="A58" s="1754" t="s">
        <v>489</v>
      </c>
      <c r="B58" s="1727" t="s">
        <v>1972</v>
      </c>
      <c r="C58" s="1709"/>
      <c r="D58" s="1709"/>
      <c r="E58" s="1709"/>
      <c r="F58" s="1709"/>
      <c r="G58" s="1709"/>
      <c r="H58" s="1709"/>
      <c r="I58" s="1738"/>
    </row>
    <row r="59" spans="1:9" x14ac:dyDescent="0.2">
      <c r="A59" s="1754" t="s">
        <v>490</v>
      </c>
      <c r="B59" s="1727" t="s">
        <v>1973</v>
      </c>
      <c r="C59" s="1709">
        <v>3</v>
      </c>
      <c r="D59" s="1709"/>
      <c r="E59" s="1709"/>
      <c r="F59" s="1709"/>
      <c r="G59" s="1709">
        <v>2</v>
      </c>
      <c r="H59" s="1709"/>
      <c r="I59" s="1738">
        <f>G59-H59</f>
        <v>2</v>
      </c>
    </row>
    <row r="60" spans="1:9" x14ac:dyDescent="0.2">
      <c r="A60" s="1754" t="s">
        <v>491</v>
      </c>
      <c r="B60" s="1727" t="s">
        <v>1974</v>
      </c>
      <c r="C60" s="1709"/>
      <c r="D60" s="1709"/>
      <c r="E60" s="1709"/>
      <c r="F60" s="1709"/>
      <c r="G60" s="1709"/>
      <c r="H60" s="1709"/>
      <c r="I60" s="1738"/>
    </row>
    <row r="61" spans="1:9" x14ac:dyDescent="0.2">
      <c r="A61" s="1754" t="s">
        <v>492</v>
      </c>
      <c r="B61" s="1727" t="s">
        <v>1975</v>
      </c>
      <c r="C61" s="1709"/>
      <c r="D61" s="1709"/>
      <c r="E61" s="1709"/>
      <c r="F61" s="1709"/>
      <c r="G61" s="1709"/>
      <c r="H61" s="1709"/>
      <c r="I61" s="1738">
        <f>G61-H61</f>
        <v>0</v>
      </c>
    </row>
    <row r="62" spans="1:9" x14ac:dyDescent="0.2">
      <c r="A62" s="1754" t="s">
        <v>493</v>
      </c>
      <c r="B62" s="1727" t="s">
        <v>1976</v>
      </c>
      <c r="C62" s="1709"/>
      <c r="D62" s="1709"/>
      <c r="E62" s="1709"/>
      <c r="F62" s="1709"/>
      <c r="G62" s="1709"/>
      <c r="H62" s="1709"/>
      <c r="I62" s="1738"/>
    </row>
    <row r="63" spans="1:9" x14ac:dyDescent="0.2">
      <c r="A63" s="1754" t="s">
        <v>529</v>
      </c>
      <c r="B63" s="1727" t="s">
        <v>1977</v>
      </c>
      <c r="C63" s="1709"/>
      <c r="D63" s="1709"/>
      <c r="E63" s="1709"/>
      <c r="F63" s="1709"/>
      <c r="G63" s="1709"/>
      <c r="H63" s="1709"/>
      <c r="I63" s="1738"/>
    </row>
    <row r="64" spans="1:9" x14ac:dyDescent="0.2">
      <c r="A64" s="1751" t="s">
        <v>530</v>
      </c>
      <c r="B64" s="1737" t="s">
        <v>528</v>
      </c>
      <c r="C64" s="1738">
        <f t="shared" ref="C64:I64" si="3">SUM(C54:C63)</f>
        <v>3</v>
      </c>
      <c r="D64" s="1738">
        <f t="shared" si="3"/>
        <v>0</v>
      </c>
      <c r="E64" s="1738">
        <f t="shared" si="3"/>
        <v>0</v>
      </c>
      <c r="F64" s="1738">
        <f t="shared" si="3"/>
        <v>0</v>
      </c>
      <c r="G64" s="1738">
        <f t="shared" si="3"/>
        <v>2</v>
      </c>
      <c r="H64" s="1738">
        <f t="shared" si="3"/>
        <v>0</v>
      </c>
      <c r="I64" s="1738">
        <f t="shared" si="3"/>
        <v>2</v>
      </c>
    </row>
    <row r="65" spans="1:9" x14ac:dyDescent="0.2">
      <c r="A65" s="1751"/>
      <c r="B65" s="1737"/>
      <c r="C65" s="1738"/>
      <c r="D65" s="1738"/>
      <c r="E65" s="1738"/>
      <c r="F65" s="1738"/>
      <c r="G65" s="1738"/>
      <c r="H65" s="1738"/>
      <c r="I65" s="1738"/>
    </row>
    <row r="66" spans="1:9" x14ac:dyDescent="0.2">
      <c r="A66" s="1727"/>
      <c r="B66" s="1750" t="s">
        <v>1955</v>
      </c>
      <c r="C66" s="1751"/>
      <c r="D66" s="1751"/>
      <c r="E66" s="1751"/>
      <c r="F66" s="1751"/>
      <c r="G66" s="1751"/>
      <c r="H66" s="1751"/>
      <c r="I66" s="1751"/>
    </row>
    <row r="67" spans="1:9" ht="13.5" x14ac:dyDescent="0.25">
      <c r="A67" s="1727"/>
      <c r="B67" s="1752"/>
      <c r="C67" s="1752"/>
      <c r="D67" s="1752"/>
      <c r="E67" s="1752"/>
      <c r="F67" s="1752"/>
      <c r="G67" s="1752"/>
      <c r="H67" s="1752"/>
      <c r="I67" s="1752"/>
    </row>
    <row r="68" spans="1:9" x14ac:dyDescent="0.2">
      <c r="A68" s="2177"/>
      <c r="B68" s="1753" t="s">
        <v>57</v>
      </c>
      <c r="C68" s="1753" t="s">
        <v>58</v>
      </c>
      <c r="D68" s="1753" t="s">
        <v>59</v>
      </c>
      <c r="E68" s="1753" t="s">
        <v>60</v>
      </c>
      <c r="F68" s="1753" t="s">
        <v>469</v>
      </c>
      <c r="G68" s="1753" t="s">
        <v>470</v>
      </c>
      <c r="H68" s="1753" t="s">
        <v>471</v>
      </c>
      <c r="I68" s="1753" t="s">
        <v>590</v>
      </c>
    </row>
    <row r="69" spans="1:9" x14ac:dyDescent="0.2">
      <c r="A69" s="2177"/>
      <c r="B69" s="2178" t="s">
        <v>85</v>
      </c>
      <c r="C69" s="2176" t="s">
        <v>1961</v>
      </c>
      <c r="D69" s="2176"/>
      <c r="E69" s="2175" t="s">
        <v>1962</v>
      </c>
      <c r="F69" s="2175" t="s">
        <v>1413</v>
      </c>
      <c r="G69" s="2176" t="s">
        <v>1963</v>
      </c>
      <c r="H69" s="2176"/>
      <c r="I69" s="2176"/>
    </row>
    <row r="70" spans="1:9" x14ac:dyDescent="0.2">
      <c r="A70" s="2177"/>
      <c r="B70" s="2178"/>
      <c r="C70" s="2175" t="s">
        <v>1964</v>
      </c>
      <c r="D70" s="2175" t="s">
        <v>1965</v>
      </c>
      <c r="E70" s="2175"/>
      <c r="F70" s="2175"/>
      <c r="G70" s="2175" t="s">
        <v>1964</v>
      </c>
      <c r="H70" s="2175" t="s">
        <v>1966</v>
      </c>
      <c r="I70" s="2175" t="s">
        <v>1967</v>
      </c>
    </row>
    <row r="71" spans="1:9" ht="28.5" customHeight="1" x14ac:dyDescent="0.2">
      <c r="A71" s="2177"/>
      <c r="B71" s="2178"/>
      <c r="C71" s="2175"/>
      <c r="D71" s="2175"/>
      <c r="E71" s="2175"/>
      <c r="F71" s="2175"/>
      <c r="G71" s="2175"/>
      <c r="H71" s="2175"/>
      <c r="I71" s="2175"/>
    </row>
    <row r="72" spans="1:9" x14ac:dyDescent="0.2">
      <c r="A72" s="1727"/>
      <c r="B72" s="1727"/>
      <c r="C72" s="1727"/>
      <c r="D72" s="1727"/>
      <c r="E72" s="1727"/>
      <c r="F72" s="1727"/>
      <c r="G72" s="1727"/>
      <c r="H72" s="1727"/>
      <c r="I72" s="1727"/>
    </row>
    <row r="73" spans="1:9" x14ac:dyDescent="0.2">
      <c r="A73" s="1754" t="s">
        <v>478</v>
      </c>
      <c r="B73" s="1727" t="s">
        <v>1968</v>
      </c>
      <c r="C73" s="1709">
        <v>1379</v>
      </c>
      <c r="D73" s="1727"/>
      <c r="E73" s="1727"/>
      <c r="F73" s="1727"/>
      <c r="G73" s="1709">
        <v>826</v>
      </c>
      <c r="H73" s="1727"/>
      <c r="I73" s="1738">
        <f>G73-H73</f>
        <v>826</v>
      </c>
    </row>
    <row r="74" spans="1:9" x14ac:dyDescent="0.2">
      <c r="A74" s="1754" t="s">
        <v>486</v>
      </c>
      <c r="B74" s="1727" t="s">
        <v>1969</v>
      </c>
      <c r="C74" s="1709"/>
      <c r="D74" s="1709"/>
      <c r="E74" s="1709"/>
      <c r="F74" s="1709"/>
      <c r="G74" s="1709"/>
      <c r="H74" s="1709"/>
      <c r="I74" s="1738"/>
    </row>
    <row r="75" spans="1:9" x14ac:dyDescent="0.2">
      <c r="A75" s="1754" t="s">
        <v>487</v>
      </c>
      <c r="B75" s="1727" t="s">
        <v>1970</v>
      </c>
      <c r="C75" s="1709"/>
      <c r="D75" s="1709"/>
      <c r="E75" s="1709"/>
      <c r="F75" s="1709"/>
      <c r="G75" s="1709"/>
      <c r="H75" s="1709"/>
      <c r="I75" s="1738"/>
    </row>
    <row r="76" spans="1:9" x14ac:dyDescent="0.2">
      <c r="A76" s="1754" t="s">
        <v>488</v>
      </c>
      <c r="B76" s="1727" t="s">
        <v>1971</v>
      </c>
      <c r="C76" s="1709">
        <v>3002</v>
      </c>
      <c r="D76" s="1709"/>
      <c r="E76" s="1709"/>
      <c r="F76" s="1709"/>
      <c r="G76" s="1709">
        <v>3217</v>
      </c>
      <c r="H76" s="1709"/>
      <c r="I76" s="1738">
        <f>G76-H76</f>
        <v>3217</v>
      </c>
    </row>
    <row r="77" spans="1:9" x14ac:dyDescent="0.2">
      <c r="A77" s="1754" t="s">
        <v>489</v>
      </c>
      <c r="B77" s="1727" t="s">
        <v>1972</v>
      </c>
      <c r="C77" s="1709"/>
      <c r="D77" s="1709"/>
      <c r="E77" s="1709"/>
      <c r="F77" s="1709"/>
      <c r="G77" s="1709"/>
      <c r="H77" s="1709"/>
      <c r="I77" s="1738"/>
    </row>
    <row r="78" spans="1:9" x14ac:dyDescent="0.2">
      <c r="A78" s="1754" t="s">
        <v>490</v>
      </c>
      <c r="B78" s="1727" t="s">
        <v>1973</v>
      </c>
      <c r="C78" s="1709">
        <v>441</v>
      </c>
      <c r="D78" s="1709"/>
      <c r="E78" s="1709"/>
      <c r="F78" s="1709"/>
      <c r="G78" s="1709">
        <v>4640</v>
      </c>
      <c r="H78" s="1709"/>
      <c r="I78" s="1738">
        <f>G78-H78</f>
        <v>4640</v>
      </c>
    </row>
    <row r="79" spans="1:9" x14ac:dyDescent="0.2">
      <c r="A79" s="1754" t="s">
        <v>491</v>
      </c>
      <c r="B79" s="1727" t="s">
        <v>1974</v>
      </c>
      <c r="C79" s="1709"/>
      <c r="D79" s="1709"/>
      <c r="E79" s="1709"/>
      <c r="F79" s="1709"/>
      <c r="G79" s="1709"/>
      <c r="H79" s="1709"/>
      <c r="I79" s="1738"/>
    </row>
    <row r="80" spans="1:9" x14ac:dyDescent="0.2">
      <c r="A80" s="1754" t="s">
        <v>492</v>
      </c>
      <c r="B80" s="1727" t="s">
        <v>1975</v>
      </c>
      <c r="C80" s="1709">
        <v>824</v>
      </c>
      <c r="D80" s="1709">
        <v>716</v>
      </c>
      <c r="E80" s="1709">
        <v>108</v>
      </c>
      <c r="F80" s="1709"/>
      <c r="G80" s="1709">
        <v>964</v>
      </c>
      <c r="H80" s="1709">
        <v>824</v>
      </c>
      <c r="I80" s="1738">
        <f>G80-H80</f>
        <v>140</v>
      </c>
    </row>
    <row r="81" spans="1:9" x14ac:dyDescent="0.2">
      <c r="A81" s="1754" t="s">
        <v>493</v>
      </c>
      <c r="B81" s="1727" t="s">
        <v>1976</v>
      </c>
      <c r="C81" s="1709"/>
      <c r="D81" s="1709"/>
      <c r="E81" s="1709"/>
      <c r="F81" s="1709"/>
      <c r="G81" s="1709"/>
      <c r="H81" s="1709"/>
      <c r="I81" s="1738"/>
    </row>
    <row r="82" spans="1:9" x14ac:dyDescent="0.2">
      <c r="A82" s="1754" t="s">
        <v>529</v>
      </c>
      <c r="B82" s="1727" t="s">
        <v>1977</v>
      </c>
      <c r="C82" s="1709"/>
      <c r="D82" s="1709"/>
      <c r="E82" s="1709"/>
      <c r="F82" s="1709"/>
      <c r="G82" s="1709"/>
      <c r="H82" s="1709"/>
      <c r="I82" s="1738"/>
    </row>
    <row r="83" spans="1:9" x14ac:dyDescent="0.2">
      <c r="A83" s="1751" t="s">
        <v>530</v>
      </c>
      <c r="B83" s="1737" t="s">
        <v>528</v>
      </c>
      <c r="C83" s="1738">
        <f t="shared" ref="C83:I83" si="4">SUM(C73:C82)</f>
        <v>5646</v>
      </c>
      <c r="D83" s="1738">
        <f t="shared" si="4"/>
        <v>716</v>
      </c>
      <c r="E83" s="1738">
        <f t="shared" si="4"/>
        <v>108</v>
      </c>
      <c r="F83" s="1738">
        <f t="shared" si="4"/>
        <v>0</v>
      </c>
      <c r="G83" s="1738">
        <f t="shared" si="4"/>
        <v>9647</v>
      </c>
      <c r="H83" s="1738">
        <f t="shared" si="4"/>
        <v>824</v>
      </c>
      <c r="I83" s="1738">
        <f t="shared" si="4"/>
        <v>8823</v>
      </c>
    </row>
    <row r="84" spans="1:9" x14ac:dyDescent="0.2">
      <c r="B84" s="1727"/>
      <c r="C84" s="1727"/>
      <c r="D84" s="1727"/>
      <c r="E84" s="1727"/>
      <c r="F84" s="1727"/>
      <c r="G84" s="1727"/>
      <c r="H84" s="1727"/>
      <c r="I84" s="1727"/>
    </row>
    <row r="85" spans="1:9" x14ac:dyDescent="0.2">
      <c r="A85" s="1727"/>
      <c r="B85" s="1750" t="s">
        <v>1947</v>
      </c>
      <c r="C85" s="1751"/>
      <c r="D85" s="1751"/>
      <c r="E85" s="1751"/>
      <c r="F85" s="1751"/>
      <c r="G85" s="1751"/>
      <c r="H85" s="1751"/>
      <c r="I85" s="1751"/>
    </row>
    <row r="86" spans="1:9" ht="13.5" x14ac:dyDescent="0.25">
      <c r="A86" s="1727"/>
      <c r="B86" s="1752"/>
      <c r="C86" s="1752"/>
      <c r="D86" s="1752"/>
      <c r="E86" s="1752"/>
      <c r="F86" s="1752"/>
      <c r="G86" s="1752"/>
      <c r="H86" s="1752"/>
      <c r="I86" s="1752"/>
    </row>
    <row r="87" spans="1:9" x14ac:dyDescent="0.2">
      <c r="A87" s="2177"/>
      <c r="B87" s="1753" t="s">
        <v>57</v>
      </c>
      <c r="C87" s="1753" t="s">
        <v>58</v>
      </c>
      <c r="D87" s="1753" t="s">
        <v>59</v>
      </c>
      <c r="E87" s="1753" t="s">
        <v>60</v>
      </c>
      <c r="F87" s="1753" t="s">
        <v>469</v>
      </c>
      <c r="G87" s="1753" t="s">
        <v>470</v>
      </c>
      <c r="H87" s="1753" t="s">
        <v>471</v>
      </c>
      <c r="I87" s="1753" t="s">
        <v>590</v>
      </c>
    </row>
    <row r="88" spans="1:9" x14ac:dyDescent="0.2">
      <c r="A88" s="2177"/>
      <c r="B88" s="2178" t="s">
        <v>85</v>
      </c>
      <c r="C88" s="2176" t="s">
        <v>1961</v>
      </c>
      <c r="D88" s="2176"/>
      <c r="E88" s="2175" t="s">
        <v>1962</v>
      </c>
      <c r="F88" s="2175" t="s">
        <v>1413</v>
      </c>
      <c r="G88" s="2176" t="s">
        <v>1963</v>
      </c>
      <c r="H88" s="2176"/>
      <c r="I88" s="2176"/>
    </row>
    <row r="89" spans="1:9" x14ac:dyDescent="0.2">
      <c r="A89" s="2177"/>
      <c r="B89" s="2178"/>
      <c r="C89" s="2175" t="s">
        <v>1964</v>
      </c>
      <c r="D89" s="2175" t="s">
        <v>1965</v>
      </c>
      <c r="E89" s="2175"/>
      <c r="F89" s="2175"/>
      <c r="G89" s="2175" t="s">
        <v>1964</v>
      </c>
      <c r="H89" s="2175" t="s">
        <v>1966</v>
      </c>
      <c r="I89" s="2175" t="s">
        <v>1967</v>
      </c>
    </row>
    <row r="90" spans="1:9" x14ac:dyDescent="0.2">
      <c r="A90" s="2177"/>
      <c r="B90" s="2178"/>
      <c r="C90" s="2175"/>
      <c r="D90" s="2175"/>
      <c r="E90" s="2175"/>
      <c r="F90" s="2175"/>
      <c r="G90" s="2175"/>
      <c r="H90" s="2175"/>
      <c r="I90" s="2175"/>
    </row>
    <row r="91" spans="1:9" x14ac:dyDescent="0.2">
      <c r="A91" s="1727"/>
      <c r="B91" s="1727"/>
      <c r="C91" s="1727"/>
      <c r="D91" s="1727"/>
      <c r="E91" s="1727"/>
      <c r="F91" s="1727"/>
      <c r="G91" s="1727"/>
      <c r="H91" s="1727"/>
      <c r="I91" s="1727"/>
    </row>
    <row r="92" spans="1:9" x14ac:dyDescent="0.2">
      <c r="A92" s="1754" t="s">
        <v>478</v>
      </c>
      <c r="B92" s="1727" t="s">
        <v>1968</v>
      </c>
      <c r="C92" s="1709">
        <v>83</v>
      </c>
      <c r="D92" s="1727"/>
      <c r="E92" s="1727"/>
      <c r="F92" s="1727"/>
      <c r="G92" s="1709"/>
      <c r="H92" s="1727"/>
      <c r="I92" s="1738">
        <f>G92-H92</f>
        <v>0</v>
      </c>
    </row>
    <row r="93" spans="1:9" x14ac:dyDescent="0.2">
      <c r="A93" s="1754" t="s">
        <v>486</v>
      </c>
      <c r="B93" s="1727" t="s">
        <v>1969</v>
      </c>
      <c r="C93" s="1709"/>
      <c r="D93" s="1709"/>
      <c r="E93" s="1709"/>
      <c r="F93" s="1709"/>
      <c r="G93" s="1709"/>
      <c r="H93" s="1709"/>
      <c r="I93" s="1738"/>
    </row>
    <row r="94" spans="1:9" x14ac:dyDescent="0.2">
      <c r="A94" s="1754" t="s">
        <v>487</v>
      </c>
      <c r="B94" s="1727" t="s">
        <v>1970</v>
      </c>
      <c r="C94" s="1709"/>
      <c r="D94" s="1709"/>
      <c r="E94" s="1709"/>
      <c r="F94" s="1709"/>
      <c r="G94" s="1709"/>
      <c r="H94" s="1709"/>
      <c r="I94" s="1738"/>
    </row>
    <row r="95" spans="1:9" x14ac:dyDescent="0.2">
      <c r="A95" s="1754" t="s">
        <v>488</v>
      </c>
      <c r="B95" s="1727" t="s">
        <v>1971</v>
      </c>
      <c r="C95" s="1709"/>
      <c r="D95" s="1709"/>
      <c r="E95" s="1709"/>
      <c r="F95" s="1709"/>
      <c r="G95" s="1709"/>
      <c r="H95" s="1709"/>
      <c r="I95" s="1738">
        <f>G95-H95</f>
        <v>0</v>
      </c>
    </row>
    <row r="96" spans="1:9" x14ac:dyDescent="0.2">
      <c r="A96" s="1754" t="s">
        <v>489</v>
      </c>
      <c r="B96" s="1727" t="s">
        <v>1972</v>
      </c>
      <c r="C96" s="1709"/>
      <c r="D96" s="1709"/>
      <c r="E96" s="1709"/>
      <c r="F96" s="1709"/>
      <c r="G96" s="1709"/>
      <c r="H96" s="1709"/>
      <c r="I96" s="1738"/>
    </row>
    <row r="97" spans="1:9" x14ac:dyDescent="0.2">
      <c r="A97" s="1754" t="s">
        <v>490</v>
      </c>
      <c r="B97" s="1727" t="s">
        <v>1973</v>
      </c>
      <c r="C97" s="1709">
        <v>14179</v>
      </c>
      <c r="D97" s="1709"/>
      <c r="E97" s="1709"/>
      <c r="F97" s="1709"/>
      <c r="G97" s="1709">
        <v>12385</v>
      </c>
      <c r="H97" s="1709"/>
      <c r="I97" s="1738">
        <f>G97-H97</f>
        <v>12385</v>
      </c>
    </row>
    <row r="98" spans="1:9" x14ac:dyDescent="0.2">
      <c r="A98" s="1754" t="s">
        <v>491</v>
      </c>
      <c r="B98" s="1727" t="s">
        <v>1974</v>
      </c>
      <c r="C98" s="1709"/>
      <c r="D98" s="1709"/>
      <c r="E98" s="1709"/>
      <c r="F98" s="1709"/>
      <c r="G98" s="1709"/>
      <c r="H98" s="1709"/>
      <c r="I98" s="1738"/>
    </row>
    <row r="99" spans="1:9" x14ac:dyDescent="0.2">
      <c r="A99" s="1754" t="s">
        <v>492</v>
      </c>
      <c r="B99" s="1727" t="s">
        <v>1975</v>
      </c>
      <c r="C99" s="1709">
        <v>42</v>
      </c>
      <c r="D99" s="1709"/>
      <c r="E99" s="1709"/>
      <c r="F99" s="1709"/>
      <c r="G99" s="1709">
        <v>249</v>
      </c>
      <c r="H99" s="1709"/>
      <c r="I99" s="1738">
        <f>G99-H99</f>
        <v>249</v>
      </c>
    </row>
    <row r="100" spans="1:9" x14ac:dyDescent="0.2">
      <c r="A100" s="1754" t="s">
        <v>493</v>
      </c>
      <c r="B100" s="1727" t="s">
        <v>1976</v>
      </c>
      <c r="C100" s="1709"/>
      <c r="D100" s="1709"/>
      <c r="E100" s="1709"/>
      <c r="F100" s="1709"/>
      <c r="G100" s="1709"/>
      <c r="H100" s="1709"/>
      <c r="I100" s="1738"/>
    </row>
    <row r="101" spans="1:9" x14ac:dyDescent="0.2">
      <c r="A101" s="1754" t="s">
        <v>529</v>
      </c>
      <c r="B101" s="1727" t="s">
        <v>1977</v>
      </c>
      <c r="C101" s="1709"/>
      <c r="D101" s="1709"/>
      <c r="E101" s="1709"/>
      <c r="F101" s="1709"/>
      <c r="G101" s="1709"/>
      <c r="H101" s="1709"/>
      <c r="I101" s="1738"/>
    </row>
    <row r="102" spans="1:9" x14ac:dyDescent="0.2">
      <c r="A102" s="1751" t="s">
        <v>530</v>
      </c>
      <c r="B102" s="1737" t="s">
        <v>528</v>
      </c>
      <c r="C102" s="1738">
        <f t="shared" ref="C102:I102" si="5">SUM(C92:C101)</f>
        <v>14304</v>
      </c>
      <c r="D102" s="1738">
        <f t="shared" si="5"/>
        <v>0</v>
      </c>
      <c r="E102" s="1738">
        <f t="shared" si="5"/>
        <v>0</v>
      </c>
      <c r="F102" s="1738">
        <f t="shared" si="5"/>
        <v>0</v>
      </c>
      <c r="G102" s="1738">
        <f t="shared" si="5"/>
        <v>12634</v>
      </c>
      <c r="H102" s="1738">
        <f t="shared" si="5"/>
        <v>0</v>
      </c>
      <c r="I102" s="1738">
        <f t="shared" si="5"/>
        <v>12634</v>
      </c>
    </row>
  </sheetData>
  <mergeCells count="62">
    <mergeCell ref="B7:I7"/>
    <mergeCell ref="A1:I1"/>
    <mergeCell ref="B3:I3"/>
    <mergeCell ref="B4:I4"/>
    <mergeCell ref="B5:I5"/>
    <mergeCell ref="B6:I6"/>
    <mergeCell ref="B8:I8"/>
    <mergeCell ref="A11:A14"/>
    <mergeCell ref="B12:B14"/>
    <mergeCell ref="C12:D12"/>
    <mergeCell ref="E12:E14"/>
    <mergeCell ref="F12:F14"/>
    <mergeCell ref="G12:I12"/>
    <mergeCell ref="C13:C14"/>
    <mergeCell ref="D13:D14"/>
    <mergeCell ref="G13:G14"/>
    <mergeCell ref="H13:H14"/>
    <mergeCell ref="I13:I14"/>
    <mergeCell ref="A30:A33"/>
    <mergeCell ref="B31:B33"/>
    <mergeCell ref="C31:D31"/>
    <mergeCell ref="E31:E33"/>
    <mergeCell ref="F31:F33"/>
    <mergeCell ref="G31:I31"/>
    <mergeCell ref="C32:C33"/>
    <mergeCell ref="D32:D33"/>
    <mergeCell ref="G32:G33"/>
    <mergeCell ref="H32:H33"/>
    <mergeCell ref="I32:I33"/>
    <mergeCell ref="A49:A52"/>
    <mergeCell ref="B50:B52"/>
    <mergeCell ref="C50:D50"/>
    <mergeCell ref="E50:E52"/>
    <mergeCell ref="F50:F52"/>
    <mergeCell ref="G50:I50"/>
    <mergeCell ref="C51:C52"/>
    <mergeCell ref="D51:D52"/>
    <mergeCell ref="G51:G52"/>
    <mergeCell ref="H51:H52"/>
    <mergeCell ref="I51:I52"/>
    <mergeCell ref="H89:H90"/>
    <mergeCell ref="A68:A71"/>
    <mergeCell ref="B69:B71"/>
    <mergeCell ref="C69:D69"/>
    <mergeCell ref="E69:E71"/>
    <mergeCell ref="F69:F71"/>
    <mergeCell ref="I89:I90"/>
    <mergeCell ref="G69:I69"/>
    <mergeCell ref="A87:A90"/>
    <mergeCell ref="B88:B90"/>
    <mergeCell ref="C88:D88"/>
    <mergeCell ref="E88:E90"/>
    <mergeCell ref="F88:F90"/>
    <mergeCell ref="C70:C71"/>
    <mergeCell ref="D70:D71"/>
    <mergeCell ref="G70:G71"/>
    <mergeCell ref="H70:H71"/>
    <mergeCell ref="I70:I71"/>
    <mergeCell ref="G88:I88"/>
    <mergeCell ref="C89:C90"/>
    <mergeCell ref="D89:D90"/>
    <mergeCell ref="G89:G90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7"/>
  <sheetViews>
    <sheetView workbookViewId="0">
      <selection activeCell="B1" sqref="B1:H1"/>
    </sheetView>
  </sheetViews>
  <sheetFormatPr defaultRowHeight="12.75" x14ac:dyDescent="0.2"/>
  <cols>
    <col min="1" max="1" width="3.140625" style="347" customWidth="1"/>
    <col min="2" max="2" width="29" style="1540" customWidth="1"/>
    <col min="3" max="3" width="15.85546875" style="1540" bestFit="1" customWidth="1"/>
    <col min="4" max="4" width="17.42578125" style="1540" customWidth="1"/>
    <col min="5" max="5" width="18.42578125" style="1540" customWidth="1"/>
    <col min="6" max="6" width="17.5703125" style="1540" customWidth="1"/>
    <col min="7" max="7" width="16.42578125" style="1540" customWidth="1"/>
    <col min="8" max="8" width="15.7109375" style="1540" bestFit="1" customWidth="1"/>
    <col min="9" max="9" width="13.28515625" style="1540" bestFit="1" customWidth="1"/>
    <col min="10" max="10" width="18" style="1540" customWidth="1"/>
    <col min="11" max="11" width="10.140625" style="1540" bestFit="1" customWidth="1"/>
    <col min="12" max="258" width="9.140625" style="1540"/>
    <col min="259" max="259" width="26.85546875" style="1540" bestFit="1" customWidth="1"/>
    <col min="260" max="260" width="15.85546875" style="1540" bestFit="1" customWidth="1"/>
    <col min="261" max="261" width="17.42578125" style="1540" customWidth="1"/>
    <col min="262" max="262" width="17.5703125" style="1540" customWidth="1"/>
    <col min="263" max="263" width="16.42578125" style="1540" customWidth="1"/>
    <col min="264" max="264" width="15.7109375" style="1540" bestFit="1" customWidth="1"/>
    <col min="265" max="265" width="13.28515625" style="1540" bestFit="1" customWidth="1"/>
    <col min="266" max="266" width="18" style="1540" customWidth="1"/>
    <col min="267" max="267" width="10.140625" style="1540" bestFit="1" customWidth="1"/>
    <col min="268" max="514" width="9.140625" style="1540"/>
    <col min="515" max="515" width="26.85546875" style="1540" bestFit="1" customWidth="1"/>
    <col min="516" max="516" width="15.85546875" style="1540" bestFit="1" customWidth="1"/>
    <col min="517" max="517" width="17.42578125" style="1540" customWidth="1"/>
    <col min="518" max="518" width="17.5703125" style="1540" customWidth="1"/>
    <col min="519" max="519" width="16.42578125" style="1540" customWidth="1"/>
    <col min="520" max="520" width="15.7109375" style="1540" bestFit="1" customWidth="1"/>
    <col min="521" max="521" width="13.28515625" style="1540" bestFit="1" customWidth="1"/>
    <col min="522" max="522" width="18" style="1540" customWidth="1"/>
    <col min="523" max="523" width="10.140625" style="1540" bestFit="1" customWidth="1"/>
    <col min="524" max="770" width="9.140625" style="1540"/>
    <col min="771" max="771" width="26.85546875" style="1540" bestFit="1" customWidth="1"/>
    <col min="772" max="772" width="15.85546875" style="1540" bestFit="1" customWidth="1"/>
    <col min="773" max="773" width="17.42578125" style="1540" customWidth="1"/>
    <col min="774" max="774" width="17.5703125" style="1540" customWidth="1"/>
    <col min="775" max="775" width="16.42578125" style="1540" customWidth="1"/>
    <col min="776" max="776" width="15.7109375" style="1540" bestFit="1" customWidth="1"/>
    <col min="777" max="777" width="13.28515625" style="1540" bestFit="1" customWidth="1"/>
    <col min="778" max="778" width="18" style="1540" customWidth="1"/>
    <col min="779" max="779" width="10.140625" style="1540" bestFit="1" customWidth="1"/>
    <col min="780" max="1026" width="9.140625" style="1540"/>
    <col min="1027" max="1027" width="26.85546875" style="1540" bestFit="1" customWidth="1"/>
    <col min="1028" max="1028" width="15.85546875" style="1540" bestFit="1" customWidth="1"/>
    <col min="1029" max="1029" width="17.42578125" style="1540" customWidth="1"/>
    <col min="1030" max="1030" width="17.5703125" style="1540" customWidth="1"/>
    <col min="1031" max="1031" width="16.42578125" style="1540" customWidth="1"/>
    <col min="1032" max="1032" width="15.7109375" style="1540" bestFit="1" customWidth="1"/>
    <col min="1033" max="1033" width="13.28515625" style="1540" bestFit="1" customWidth="1"/>
    <col min="1034" max="1034" width="18" style="1540" customWidth="1"/>
    <col min="1035" max="1035" width="10.140625" style="1540" bestFit="1" customWidth="1"/>
    <col min="1036" max="1282" width="9.140625" style="1540"/>
    <col min="1283" max="1283" width="26.85546875" style="1540" bestFit="1" customWidth="1"/>
    <col min="1284" max="1284" width="15.85546875" style="1540" bestFit="1" customWidth="1"/>
    <col min="1285" max="1285" width="17.42578125" style="1540" customWidth="1"/>
    <col min="1286" max="1286" width="17.5703125" style="1540" customWidth="1"/>
    <col min="1287" max="1287" width="16.42578125" style="1540" customWidth="1"/>
    <col min="1288" max="1288" width="15.7109375" style="1540" bestFit="1" customWidth="1"/>
    <col min="1289" max="1289" width="13.28515625" style="1540" bestFit="1" customWidth="1"/>
    <col min="1290" max="1290" width="18" style="1540" customWidth="1"/>
    <col min="1291" max="1291" width="10.140625" style="1540" bestFit="1" customWidth="1"/>
    <col min="1292" max="1538" width="9.140625" style="1540"/>
    <col min="1539" max="1539" width="26.85546875" style="1540" bestFit="1" customWidth="1"/>
    <col min="1540" max="1540" width="15.85546875" style="1540" bestFit="1" customWidth="1"/>
    <col min="1541" max="1541" width="17.42578125" style="1540" customWidth="1"/>
    <col min="1542" max="1542" width="17.5703125" style="1540" customWidth="1"/>
    <col min="1543" max="1543" width="16.42578125" style="1540" customWidth="1"/>
    <col min="1544" max="1544" width="15.7109375" style="1540" bestFit="1" customWidth="1"/>
    <col min="1545" max="1545" width="13.28515625" style="1540" bestFit="1" customWidth="1"/>
    <col min="1546" max="1546" width="18" style="1540" customWidth="1"/>
    <col min="1547" max="1547" width="10.140625" style="1540" bestFit="1" customWidth="1"/>
    <col min="1548" max="1794" width="9.140625" style="1540"/>
    <col min="1795" max="1795" width="26.85546875" style="1540" bestFit="1" customWidth="1"/>
    <col min="1796" max="1796" width="15.85546875" style="1540" bestFit="1" customWidth="1"/>
    <col min="1797" max="1797" width="17.42578125" style="1540" customWidth="1"/>
    <col min="1798" max="1798" width="17.5703125" style="1540" customWidth="1"/>
    <col min="1799" max="1799" width="16.42578125" style="1540" customWidth="1"/>
    <col min="1800" max="1800" width="15.7109375" style="1540" bestFit="1" customWidth="1"/>
    <col min="1801" max="1801" width="13.28515625" style="1540" bestFit="1" customWidth="1"/>
    <col min="1802" max="1802" width="18" style="1540" customWidth="1"/>
    <col min="1803" max="1803" width="10.140625" style="1540" bestFit="1" customWidth="1"/>
    <col min="1804" max="2050" width="9.140625" style="1540"/>
    <col min="2051" max="2051" width="26.85546875" style="1540" bestFit="1" customWidth="1"/>
    <col min="2052" max="2052" width="15.85546875" style="1540" bestFit="1" customWidth="1"/>
    <col min="2053" max="2053" width="17.42578125" style="1540" customWidth="1"/>
    <col min="2054" max="2054" width="17.5703125" style="1540" customWidth="1"/>
    <col min="2055" max="2055" width="16.42578125" style="1540" customWidth="1"/>
    <col min="2056" max="2056" width="15.7109375" style="1540" bestFit="1" customWidth="1"/>
    <col min="2057" max="2057" width="13.28515625" style="1540" bestFit="1" customWidth="1"/>
    <col min="2058" max="2058" width="18" style="1540" customWidth="1"/>
    <col min="2059" max="2059" width="10.140625" style="1540" bestFit="1" customWidth="1"/>
    <col min="2060" max="2306" width="9.140625" style="1540"/>
    <col min="2307" max="2307" width="26.85546875" style="1540" bestFit="1" customWidth="1"/>
    <col min="2308" max="2308" width="15.85546875" style="1540" bestFit="1" customWidth="1"/>
    <col min="2309" max="2309" width="17.42578125" style="1540" customWidth="1"/>
    <col min="2310" max="2310" width="17.5703125" style="1540" customWidth="1"/>
    <col min="2311" max="2311" width="16.42578125" style="1540" customWidth="1"/>
    <col min="2312" max="2312" width="15.7109375" style="1540" bestFit="1" customWidth="1"/>
    <col min="2313" max="2313" width="13.28515625" style="1540" bestFit="1" customWidth="1"/>
    <col min="2314" max="2314" width="18" style="1540" customWidth="1"/>
    <col min="2315" max="2315" width="10.140625" style="1540" bestFit="1" customWidth="1"/>
    <col min="2316" max="2562" width="9.140625" style="1540"/>
    <col min="2563" max="2563" width="26.85546875" style="1540" bestFit="1" customWidth="1"/>
    <col min="2564" max="2564" width="15.85546875" style="1540" bestFit="1" customWidth="1"/>
    <col min="2565" max="2565" width="17.42578125" style="1540" customWidth="1"/>
    <col min="2566" max="2566" width="17.5703125" style="1540" customWidth="1"/>
    <col min="2567" max="2567" width="16.42578125" style="1540" customWidth="1"/>
    <col min="2568" max="2568" width="15.7109375" style="1540" bestFit="1" customWidth="1"/>
    <col min="2569" max="2569" width="13.28515625" style="1540" bestFit="1" customWidth="1"/>
    <col min="2570" max="2570" width="18" style="1540" customWidth="1"/>
    <col min="2571" max="2571" width="10.140625" style="1540" bestFit="1" customWidth="1"/>
    <col min="2572" max="2818" width="9.140625" style="1540"/>
    <col min="2819" max="2819" width="26.85546875" style="1540" bestFit="1" customWidth="1"/>
    <col min="2820" max="2820" width="15.85546875" style="1540" bestFit="1" customWidth="1"/>
    <col min="2821" max="2821" width="17.42578125" style="1540" customWidth="1"/>
    <col min="2822" max="2822" width="17.5703125" style="1540" customWidth="1"/>
    <col min="2823" max="2823" width="16.42578125" style="1540" customWidth="1"/>
    <col min="2824" max="2824" width="15.7109375" style="1540" bestFit="1" customWidth="1"/>
    <col min="2825" max="2825" width="13.28515625" style="1540" bestFit="1" customWidth="1"/>
    <col min="2826" max="2826" width="18" style="1540" customWidth="1"/>
    <col min="2827" max="2827" width="10.140625" style="1540" bestFit="1" customWidth="1"/>
    <col min="2828" max="3074" width="9.140625" style="1540"/>
    <col min="3075" max="3075" width="26.85546875" style="1540" bestFit="1" customWidth="1"/>
    <col min="3076" max="3076" width="15.85546875" style="1540" bestFit="1" customWidth="1"/>
    <col min="3077" max="3077" width="17.42578125" style="1540" customWidth="1"/>
    <col min="3078" max="3078" width="17.5703125" style="1540" customWidth="1"/>
    <col min="3079" max="3079" width="16.42578125" style="1540" customWidth="1"/>
    <col min="3080" max="3080" width="15.7109375" style="1540" bestFit="1" customWidth="1"/>
    <col min="3081" max="3081" width="13.28515625" style="1540" bestFit="1" customWidth="1"/>
    <col min="3082" max="3082" width="18" style="1540" customWidth="1"/>
    <col min="3083" max="3083" width="10.140625" style="1540" bestFit="1" customWidth="1"/>
    <col min="3084" max="3330" width="9.140625" style="1540"/>
    <col min="3331" max="3331" width="26.85546875" style="1540" bestFit="1" customWidth="1"/>
    <col min="3332" max="3332" width="15.85546875" style="1540" bestFit="1" customWidth="1"/>
    <col min="3333" max="3333" width="17.42578125" style="1540" customWidth="1"/>
    <col min="3334" max="3334" width="17.5703125" style="1540" customWidth="1"/>
    <col min="3335" max="3335" width="16.42578125" style="1540" customWidth="1"/>
    <col min="3336" max="3336" width="15.7109375" style="1540" bestFit="1" customWidth="1"/>
    <col min="3337" max="3337" width="13.28515625" style="1540" bestFit="1" customWidth="1"/>
    <col min="3338" max="3338" width="18" style="1540" customWidth="1"/>
    <col min="3339" max="3339" width="10.140625" style="1540" bestFit="1" customWidth="1"/>
    <col min="3340" max="3586" width="9.140625" style="1540"/>
    <col min="3587" max="3587" width="26.85546875" style="1540" bestFit="1" customWidth="1"/>
    <col min="3588" max="3588" width="15.85546875" style="1540" bestFit="1" customWidth="1"/>
    <col min="3589" max="3589" width="17.42578125" style="1540" customWidth="1"/>
    <col min="3590" max="3590" width="17.5703125" style="1540" customWidth="1"/>
    <col min="3591" max="3591" width="16.42578125" style="1540" customWidth="1"/>
    <col min="3592" max="3592" width="15.7109375" style="1540" bestFit="1" customWidth="1"/>
    <col min="3593" max="3593" width="13.28515625" style="1540" bestFit="1" customWidth="1"/>
    <col min="3594" max="3594" width="18" style="1540" customWidth="1"/>
    <col min="3595" max="3595" width="10.140625" style="1540" bestFit="1" customWidth="1"/>
    <col min="3596" max="3842" width="9.140625" style="1540"/>
    <col min="3843" max="3843" width="26.85546875" style="1540" bestFit="1" customWidth="1"/>
    <col min="3844" max="3844" width="15.85546875" style="1540" bestFit="1" customWidth="1"/>
    <col min="3845" max="3845" width="17.42578125" style="1540" customWidth="1"/>
    <col min="3846" max="3846" width="17.5703125" style="1540" customWidth="1"/>
    <col min="3847" max="3847" width="16.42578125" style="1540" customWidth="1"/>
    <col min="3848" max="3848" width="15.7109375" style="1540" bestFit="1" customWidth="1"/>
    <col min="3849" max="3849" width="13.28515625" style="1540" bestFit="1" customWidth="1"/>
    <col min="3850" max="3850" width="18" style="1540" customWidth="1"/>
    <col min="3851" max="3851" width="10.140625" style="1540" bestFit="1" customWidth="1"/>
    <col min="3852" max="4098" width="9.140625" style="1540"/>
    <col min="4099" max="4099" width="26.85546875" style="1540" bestFit="1" customWidth="1"/>
    <col min="4100" max="4100" width="15.85546875" style="1540" bestFit="1" customWidth="1"/>
    <col min="4101" max="4101" width="17.42578125" style="1540" customWidth="1"/>
    <col min="4102" max="4102" width="17.5703125" style="1540" customWidth="1"/>
    <col min="4103" max="4103" width="16.42578125" style="1540" customWidth="1"/>
    <col min="4104" max="4104" width="15.7109375" style="1540" bestFit="1" customWidth="1"/>
    <col min="4105" max="4105" width="13.28515625" style="1540" bestFit="1" customWidth="1"/>
    <col min="4106" max="4106" width="18" style="1540" customWidth="1"/>
    <col min="4107" max="4107" width="10.140625" style="1540" bestFit="1" customWidth="1"/>
    <col min="4108" max="4354" width="9.140625" style="1540"/>
    <col min="4355" max="4355" width="26.85546875" style="1540" bestFit="1" customWidth="1"/>
    <col min="4356" max="4356" width="15.85546875" style="1540" bestFit="1" customWidth="1"/>
    <col min="4357" max="4357" width="17.42578125" style="1540" customWidth="1"/>
    <col min="4358" max="4358" width="17.5703125" style="1540" customWidth="1"/>
    <col min="4359" max="4359" width="16.42578125" style="1540" customWidth="1"/>
    <col min="4360" max="4360" width="15.7109375" style="1540" bestFit="1" customWidth="1"/>
    <col min="4361" max="4361" width="13.28515625" style="1540" bestFit="1" customWidth="1"/>
    <col min="4362" max="4362" width="18" style="1540" customWidth="1"/>
    <col min="4363" max="4363" width="10.140625" style="1540" bestFit="1" customWidth="1"/>
    <col min="4364" max="4610" width="9.140625" style="1540"/>
    <col min="4611" max="4611" width="26.85546875" style="1540" bestFit="1" customWidth="1"/>
    <col min="4612" max="4612" width="15.85546875" style="1540" bestFit="1" customWidth="1"/>
    <col min="4613" max="4613" width="17.42578125" style="1540" customWidth="1"/>
    <col min="4614" max="4614" width="17.5703125" style="1540" customWidth="1"/>
    <col min="4615" max="4615" width="16.42578125" style="1540" customWidth="1"/>
    <col min="4616" max="4616" width="15.7109375" style="1540" bestFit="1" customWidth="1"/>
    <col min="4617" max="4617" width="13.28515625" style="1540" bestFit="1" customWidth="1"/>
    <col min="4618" max="4618" width="18" style="1540" customWidth="1"/>
    <col min="4619" max="4619" width="10.140625" style="1540" bestFit="1" customWidth="1"/>
    <col min="4620" max="4866" width="9.140625" style="1540"/>
    <col min="4867" max="4867" width="26.85546875" style="1540" bestFit="1" customWidth="1"/>
    <col min="4868" max="4868" width="15.85546875" style="1540" bestFit="1" customWidth="1"/>
    <col min="4869" max="4869" width="17.42578125" style="1540" customWidth="1"/>
    <col min="4870" max="4870" width="17.5703125" style="1540" customWidth="1"/>
    <col min="4871" max="4871" width="16.42578125" style="1540" customWidth="1"/>
    <col min="4872" max="4872" width="15.7109375" style="1540" bestFit="1" customWidth="1"/>
    <col min="4873" max="4873" width="13.28515625" style="1540" bestFit="1" customWidth="1"/>
    <col min="4874" max="4874" width="18" style="1540" customWidth="1"/>
    <col min="4875" max="4875" width="10.140625" style="1540" bestFit="1" customWidth="1"/>
    <col min="4876" max="5122" width="9.140625" style="1540"/>
    <col min="5123" max="5123" width="26.85546875" style="1540" bestFit="1" customWidth="1"/>
    <col min="5124" max="5124" width="15.85546875" style="1540" bestFit="1" customWidth="1"/>
    <col min="5125" max="5125" width="17.42578125" style="1540" customWidth="1"/>
    <col min="5126" max="5126" width="17.5703125" style="1540" customWidth="1"/>
    <col min="5127" max="5127" width="16.42578125" style="1540" customWidth="1"/>
    <col min="5128" max="5128" width="15.7109375" style="1540" bestFit="1" customWidth="1"/>
    <col min="5129" max="5129" width="13.28515625" style="1540" bestFit="1" customWidth="1"/>
    <col min="5130" max="5130" width="18" style="1540" customWidth="1"/>
    <col min="5131" max="5131" width="10.140625" style="1540" bestFit="1" customWidth="1"/>
    <col min="5132" max="5378" width="9.140625" style="1540"/>
    <col min="5379" max="5379" width="26.85546875" style="1540" bestFit="1" customWidth="1"/>
    <col min="5380" max="5380" width="15.85546875" style="1540" bestFit="1" customWidth="1"/>
    <col min="5381" max="5381" width="17.42578125" style="1540" customWidth="1"/>
    <col min="5382" max="5382" width="17.5703125" style="1540" customWidth="1"/>
    <col min="5383" max="5383" width="16.42578125" style="1540" customWidth="1"/>
    <col min="5384" max="5384" width="15.7109375" style="1540" bestFit="1" customWidth="1"/>
    <col min="5385" max="5385" width="13.28515625" style="1540" bestFit="1" customWidth="1"/>
    <col min="5386" max="5386" width="18" style="1540" customWidth="1"/>
    <col min="5387" max="5387" width="10.140625" style="1540" bestFit="1" customWidth="1"/>
    <col min="5388" max="5634" width="9.140625" style="1540"/>
    <col min="5635" max="5635" width="26.85546875" style="1540" bestFit="1" customWidth="1"/>
    <col min="5636" max="5636" width="15.85546875" style="1540" bestFit="1" customWidth="1"/>
    <col min="5637" max="5637" width="17.42578125" style="1540" customWidth="1"/>
    <col min="5638" max="5638" width="17.5703125" style="1540" customWidth="1"/>
    <col min="5639" max="5639" width="16.42578125" style="1540" customWidth="1"/>
    <col min="5640" max="5640" width="15.7109375" style="1540" bestFit="1" customWidth="1"/>
    <col min="5641" max="5641" width="13.28515625" style="1540" bestFit="1" customWidth="1"/>
    <col min="5642" max="5642" width="18" style="1540" customWidth="1"/>
    <col min="5643" max="5643" width="10.140625" style="1540" bestFit="1" customWidth="1"/>
    <col min="5644" max="5890" width="9.140625" style="1540"/>
    <col min="5891" max="5891" width="26.85546875" style="1540" bestFit="1" customWidth="1"/>
    <col min="5892" max="5892" width="15.85546875" style="1540" bestFit="1" customWidth="1"/>
    <col min="5893" max="5893" width="17.42578125" style="1540" customWidth="1"/>
    <col min="5894" max="5894" width="17.5703125" style="1540" customWidth="1"/>
    <col min="5895" max="5895" width="16.42578125" style="1540" customWidth="1"/>
    <col min="5896" max="5896" width="15.7109375" style="1540" bestFit="1" customWidth="1"/>
    <col min="5897" max="5897" width="13.28515625" style="1540" bestFit="1" customWidth="1"/>
    <col min="5898" max="5898" width="18" style="1540" customWidth="1"/>
    <col min="5899" max="5899" width="10.140625" style="1540" bestFit="1" customWidth="1"/>
    <col min="5900" max="6146" width="9.140625" style="1540"/>
    <col min="6147" max="6147" width="26.85546875" style="1540" bestFit="1" customWidth="1"/>
    <col min="6148" max="6148" width="15.85546875" style="1540" bestFit="1" customWidth="1"/>
    <col min="6149" max="6149" width="17.42578125" style="1540" customWidth="1"/>
    <col min="6150" max="6150" width="17.5703125" style="1540" customWidth="1"/>
    <col min="6151" max="6151" width="16.42578125" style="1540" customWidth="1"/>
    <col min="6152" max="6152" width="15.7109375" style="1540" bestFit="1" customWidth="1"/>
    <col min="6153" max="6153" width="13.28515625" style="1540" bestFit="1" customWidth="1"/>
    <col min="6154" max="6154" width="18" style="1540" customWidth="1"/>
    <col min="6155" max="6155" width="10.140625" style="1540" bestFit="1" customWidth="1"/>
    <col min="6156" max="6402" width="9.140625" style="1540"/>
    <col min="6403" max="6403" width="26.85546875" style="1540" bestFit="1" customWidth="1"/>
    <col min="6404" max="6404" width="15.85546875" style="1540" bestFit="1" customWidth="1"/>
    <col min="6405" max="6405" width="17.42578125" style="1540" customWidth="1"/>
    <col min="6406" max="6406" width="17.5703125" style="1540" customWidth="1"/>
    <col min="6407" max="6407" width="16.42578125" style="1540" customWidth="1"/>
    <col min="6408" max="6408" width="15.7109375" style="1540" bestFit="1" customWidth="1"/>
    <col min="6409" max="6409" width="13.28515625" style="1540" bestFit="1" customWidth="1"/>
    <col min="6410" max="6410" width="18" style="1540" customWidth="1"/>
    <col min="6411" max="6411" width="10.140625" style="1540" bestFit="1" customWidth="1"/>
    <col min="6412" max="6658" width="9.140625" style="1540"/>
    <col min="6659" max="6659" width="26.85546875" style="1540" bestFit="1" customWidth="1"/>
    <col min="6660" max="6660" width="15.85546875" style="1540" bestFit="1" customWidth="1"/>
    <col min="6661" max="6661" width="17.42578125" style="1540" customWidth="1"/>
    <col min="6662" max="6662" width="17.5703125" style="1540" customWidth="1"/>
    <col min="6663" max="6663" width="16.42578125" style="1540" customWidth="1"/>
    <col min="6664" max="6664" width="15.7109375" style="1540" bestFit="1" customWidth="1"/>
    <col min="6665" max="6665" width="13.28515625" style="1540" bestFit="1" customWidth="1"/>
    <col min="6666" max="6666" width="18" style="1540" customWidth="1"/>
    <col min="6667" max="6667" width="10.140625" style="1540" bestFit="1" customWidth="1"/>
    <col min="6668" max="6914" width="9.140625" style="1540"/>
    <col min="6915" max="6915" width="26.85546875" style="1540" bestFit="1" customWidth="1"/>
    <col min="6916" max="6916" width="15.85546875" style="1540" bestFit="1" customWidth="1"/>
    <col min="6917" max="6917" width="17.42578125" style="1540" customWidth="1"/>
    <col min="6918" max="6918" width="17.5703125" style="1540" customWidth="1"/>
    <col min="6919" max="6919" width="16.42578125" style="1540" customWidth="1"/>
    <col min="6920" max="6920" width="15.7109375" style="1540" bestFit="1" customWidth="1"/>
    <col min="6921" max="6921" width="13.28515625" style="1540" bestFit="1" customWidth="1"/>
    <col min="6922" max="6922" width="18" style="1540" customWidth="1"/>
    <col min="6923" max="6923" width="10.140625" style="1540" bestFit="1" customWidth="1"/>
    <col min="6924" max="7170" width="9.140625" style="1540"/>
    <col min="7171" max="7171" width="26.85546875" style="1540" bestFit="1" customWidth="1"/>
    <col min="7172" max="7172" width="15.85546875" style="1540" bestFit="1" customWidth="1"/>
    <col min="7173" max="7173" width="17.42578125" style="1540" customWidth="1"/>
    <col min="7174" max="7174" width="17.5703125" style="1540" customWidth="1"/>
    <col min="7175" max="7175" width="16.42578125" style="1540" customWidth="1"/>
    <col min="7176" max="7176" width="15.7109375" style="1540" bestFit="1" customWidth="1"/>
    <col min="7177" max="7177" width="13.28515625" style="1540" bestFit="1" customWidth="1"/>
    <col min="7178" max="7178" width="18" style="1540" customWidth="1"/>
    <col min="7179" max="7179" width="10.140625" style="1540" bestFit="1" customWidth="1"/>
    <col min="7180" max="7426" width="9.140625" style="1540"/>
    <col min="7427" max="7427" width="26.85546875" style="1540" bestFit="1" customWidth="1"/>
    <col min="7428" max="7428" width="15.85546875" style="1540" bestFit="1" customWidth="1"/>
    <col min="7429" max="7429" width="17.42578125" style="1540" customWidth="1"/>
    <col min="7430" max="7430" width="17.5703125" style="1540" customWidth="1"/>
    <col min="7431" max="7431" width="16.42578125" style="1540" customWidth="1"/>
    <col min="7432" max="7432" width="15.7109375" style="1540" bestFit="1" customWidth="1"/>
    <col min="7433" max="7433" width="13.28515625" style="1540" bestFit="1" customWidth="1"/>
    <col min="7434" max="7434" width="18" style="1540" customWidth="1"/>
    <col min="7435" max="7435" width="10.140625" style="1540" bestFit="1" customWidth="1"/>
    <col min="7436" max="7682" width="9.140625" style="1540"/>
    <col min="7683" max="7683" width="26.85546875" style="1540" bestFit="1" customWidth="1"/>
    <col min="7684" max="7684" width="15.85546875" style="1540" bestFit="1" customWidth="1"/>
    <col min="7685" max="7685" width="17.42578125" style="1540" customWidth="1"/>
    <col min="7686" max="7686" width="17.5703125" style="1540" customWidth="1"/>
    <col min="7687" max="7687" width="16.42578125" style="1540" customWidth="1"/>
    <col min="7688" max="7688" width="15.7109375" style="1540" bestFit="1" customWidth="1"/>
    <col min="7689" max="7689" width="13.28515625" style="1540" bestFit="1" customWidth="1"/>
    <col min="7690" max="7690" width="18" style="1540" customWidth="1"/>
    <col min="7691" max="7691" width="10.140625" style="1540" bestFit="1" customWidth="1"/>
    <col min="7692" max="7938" width="9.140625" style="1540"/>
    <col min="7939" max="7939" width="26.85546875" style="1540" bestFit="1" customWidth="1"/>
    <col min="7940" max="7940" width="15.85546875" style="1540" bestFit="1" customWidth="1"/>
    <col min="7941" max="7941" width="17.42578125" style="1540" customWidth="1"/>
    <col min="7942" max="7942" width="17.5703125" style="1540" customWidth="1"/>
    <col min="7943" max="7943" width="16.42578125" style="1540" customWidth="1"/>
    <col min="7944" max="7944" width="15.7109375" style="1540" bestFit="1" customWidth="1"/>
    <col min="7945" max="7945" width="13.28515625" style="1540" bestFit="1" customWidth="1"/>
    <col min="7946" max="7946" width="18" style="1540" customWidth="1"/>
    <col min="7947" max="7947" width="10.140625" style="1540" bestFit="1" customWidth="1"/>
    <col min="7948" max="8194" width="9.140625" style="1540"/>
    <col min="8195" max="8195" width="26.85546875" style="1540" bestFit="1" customWidth="1"/>
    <col min="8196" max="8196" width="15.85546875" style="1540" bestFit="1" customWidth="1"/>
    <col min="8197" max="8197" width="17.42578125" style="1540" customWidth="1"/>
    <col min="8198" max="8198" width="17.5703125" style="1540" customWidth="1"/>
    <col min="8199" max="8199" width="16.42578125" style="1540" customWidth="1"/>
    <col min="8200" max="8200" width="15.7109375" style="1540" bestFit="1" customWidth="1"/>
    <col min="8201" max="8201" width="13.28515625" style="1540" bestFit="1" customWidth="1"/>
    <col min="8202" max="8202" width="18" style="1540" customWidth="1"/>
    <col min="8203" max="8203" width="10.140625" style="1540" bestFit="1" customWidth="1"/>
    <col min="8204" max="8450" width="9.140625" style="1540"/>
    <col min="8451" max="8451" width="26.85546875" style="1540" bestFit="1" customWidth="1"/>
    <col min="8452" max="8452" width="15.85546875" style="1540" bestFit="1" customWidth="1"/>
    <col min="8453" max="8453" width="17.42578125" style="1540" customWidth="1"/>
    <col min="8454" max="8454" width="17.5703125" style="1540" customWidth="1"/>
    <col min="8455" max="8455" width="16.42578125" style="1540" customWidth="1"/>
    <col min="8456" max="8456" width="15.7109375" style="1540" bestFit="1" customWidth="1"/>
    <col min="8457" max="8457" width="13.28515625" style="1540" bestFit="1" customWidth="1"/>
    <col min="8458" max="8458" width="18" style="1540" customWidth="1"/>
    <col min="8459" max="8459" width="10.140625" style="1540" bestFit="1" customWidth="1"/>
    <col min="8460" max="8706" width="9.140625" style="1540"/>
    <col min="8707" max="8707" width="26.85546875" style="1540" bestFit="1" customWidth="1"/>
    <col min="8708" max="8708" width="15.85546875" style="1540" bestFit="1" customWidth="1"/>
    <col min="8709" max="8709" width="17.42578125" style="1540" customWidth="1"/>
    <col min="8710" max="8710" width="17.5703125" style="1540" customWidth="1"/>
    <col min="8711" max="8711" width="16.42578125" style="1540" customWidth="1"/>
    <col min="8712" max="8712" width="15.7109375" style="1540" bestFit="1" customWidth="1"/>
    <col min="8713" max="8713" width="13.28515625" style="1540" bestFit="1" customWidth="1"/>
    <col min="8714" max="8714" width="18" style="1540" customWidth="1"/>
    <col min="8715" max="8715" width="10.140625" style="1540" bestFit="1" customWidth="1"/>
    <col min="8716" max="8962" width="9.140625" style="1540"/>
    <col min="8963" max="8963" width="26.85546875" style="1540" bestFit="1" customWidth="1"/>
    <col min="8964" max="8964" width="15.85546875" style="1540" bestFit="1" customWidth="1"/>
    <col min="8965" max="8965" width="17.42578125" style="1540" customWidth="1"/>
    <col min="8966" max="8966" width="17.5703125" style="1540" customWidth="1"/>
    <col min="8967" max="8967" width="16.42578125" style="1540" customWidth="1"/>
    <col min="8968" max="8968" width="15.7109375" style="1540" bestFit="1" customWidth="1"/>
    <col min="8969" max="8969" width="13.28515625" style="1540" bestFit="1" customWidth="1"/>
    <col min="8970" max="8970" width="18" style="1540" customWidth="1"/>
    <col min="8971" max="8971" width="10.140625" style="1540" bestFit="1" customWidth="1"/>
    <col min="8972" max="9218" width="9.140625" style="1540"/>
    <col min="9219" max="9219" width="26.85546875" style="1540" bestFit="1" customWidth="1"/>
    <col min="9220" max="9220" width="15.85546875" style="1540" bestFit="1" customWidth="1"/>
    <col min="9221" max="9221" width="17.42578125" style="1540" customWidth="1"/>
    <col min="9222" max="9222" width="17.5703125" style="1540" customWidth="1"/>
    <col min="9223" max="9223" width="16.42578125" style="1540" customWidth="1"/>
    <col min="9224" max="9224" width="15.7109375" style="1540" bestFit="1" customWidth="1"/>
    <col min="9225" max="9225" width="13.28515625" style="1540" bestFit="1" customWidth="1"/>
    <col min="9226" max="9226" width="18" style="1540" customWidth="1"/>
    <col min="9227" max="9227" width="10.140625" style="1540" bestFit="1" customWidth="1"/>
    <col min="9228" max="9474" width="9.140625" style="1540"/>
    <col min="9475" max="9475" width="26.85546875" style="1540" bestFit="1" customWidth="1"/>
    <col min="9476" max="9476" width="15.85546875" style="1540" bestFit="1" customWidth="1"/>
    <col min="9477" max="9477" width="17.42578125" style="1540" customWidth="1"/>
    <col min="9478" max="9478" width="17.5703125" style="1540" customWidth="1"/>
    <col min="9479" max="9479" width="16.42578125" style="1540" customWidth="1"/>
    <col min="9480" max="9480" width="15.7109375" style="1540" bestFit="1" customWidth="1"/>
    <col min="9481" max="9481" width="13.28515625" style="1540" bestFit="1" customWidth="1"/>
    <col min="9482" max="9482" width="18" style="1540" customWidth="1"/>
    <col min="9483" max="9483" width="10.140625" style="1540" bestFit="1" customWidth="1"/>
    <col min="9484" max="9730" width="9.140625" style="1540"/>
    <col min="9731" max="9731" width="26.85546875" style="1540" bestFit="1" customWidth="1"/>
    <col min="9732" max="9732" width="15.85546875" style="1540" bestFit="1" customWidth="1"/>
    <col min="9733" max="9733" width="17.42578125" style="1540" customWidth="1"/>
    <col min="9734" max="9734" width="17.5703125" style="1540" customWidth="1"/>
    <col min="9735" max="9735" width="16.42578125" style="1540" customWidth="1"/>
    <col min="9736" max="9736" width="15.7109375" style="1540" bestFit="1" customWidth="1"/>
    <col min="9737" max="9737" width="13.28515625" style="1540" bestFit="1" customWidth="1"/>
    <col min="9738" max="9738" width="18" style="1540" customWidth="1"/>
    <col min="9739" max="9739" width="10.140625" style="1540" bestFit="1" customWidth="1"/>
    <col min="9740" max="9986" width="9.140625" style="1540"/>
    <col min="9987" max="9987" width="26.85546875" style="1540" bestFit="1" customWidth="1"/>
    <col min="9988" max="9988" width="15.85546875" style="1540" bestFit="1" customWidth="1"/>
    <col min="9989" max="9989" width="17.42578125" style="1540" customWidth="1"/>
    <col min="9990" max="9990" width="17.5703125" style="1540" customWidth="1"/>
    <col min="9991" max="9991" width="16.42578125" style="1540" customWidth="1"/>
    <col min="9992" max="9992" width="15.7109375" style="1540" bestFit="1" customWidth="1"/>
    <col min="9993" max="9993" width="13.28515625" style="1540" bestFit="1" customWidth="1"/>
    <col min="9994" max="9994" width="18" style="1540" customWidth="1"/>
    <col min="9995" max="9995" width="10.140625" style="1540" bestFit="1" customWidth="1"/>
    <col min="9996" max="10242" width="9.140625" style="1540"/>
    <col min="10243" max="10243" width="26.85546875" style="1540" bestFit="1" customWidth="1"/>
    <col min="10244" max="10244" width="15.85546875" style="1540" bestFit="1" customWidth="1"/>
    <col min="10245" max="10245" width="17.42578125" style="1540" customWidth="1"/>
    <col min="10246" max="10246" width="17.5703125" style="1540" customWidth="1"/>
    <col min="10247" max="10247" width="16.42578125" style="1540" customWidth="1"/>
    <col min="10248" max="10248" width="15.7109375" style="1540" bestFit="1" customWidth="1"/>
    <col min="10249" max="10249" width="13.28515625" style="1540" bestFit="1" customWidth="1"/>
    <col min="10250" max="10250" width="18" style="1540" customWidth="1"/>
    <col min="10251" max="10251" width="10.140625" style="1540" bestFit="1" customWidth="1"/>
    <col min="10252" max="10498" width="9.140625" style="1540"/>
    <col min="10499" max="10499" width="26.85546875" style="1540" bestFit="1" customWidth="1"/>
    <col min="10500" max="10500" width="15.85546875" style="1540" bestFit="1" customWidth="1"/>
    <col min="10501" max="10501" width="17.42578125" style="1540" customWidth="1"/>
    <col min="10502" max="10502" width="17.5703125" style="1540" customWidth="1"/>
    <col min="10503" max="10503" width="16.42578125" style="1540" customWidth="1"/>
    <col min="10504" max="10504" width="15.7109375" style="1540" bestFit="1" customWidth="1"/>
    <col min="10505" max="10505" width="13.28515625" style="1540" bestFit="1" customWidth="1"/>
    <col min="10506" max="10506" width="18" style="1540" customWidth="1"/>
    <col min="10507" max="10507" width="10.140625" style="1540" bestFit="1" customWidth="1"/>
    <col min="10508" max="10754" width="9.140625" style="1540"/>
    <col min="10755" max="10755" width="26.85546875" style="1540" bestFit="1" customWidth="1"/>
    <col min="10756" max="10756" width="15.85546875" style="1540" bestFit="1" customWidth="1"/>
    <col min="10757" max="10757" width="17.42578125" style="1540" customWidth="1"/>
    <col min="10758" max="10758" width="17.5703125" style="1540" customWidth="1"/>
    <col min="10759" max="10759" width="16.42578125" style="1540" customWidth="1"/>
    <col min="10760" max="10760" width="15.7109375" style="1540" bestFit="1" customWidth="1"/>
    <col min="10761" max="10761" width="13.28515625" style="1540" bestFit="1" customWidth="1"/>
    <col min="10762" max="10762" width="18" style="1540" customWidth="1"/>
    <col min="10763" max="10763" width="10.140625" style="1540" bestFit="1" customWidth="1"/>
    <col min="10764" max="11010" width="9.140625" style="1540"/>
    <col min="11011" max="11011" width="26.85546875" style="1540" bestFit="1" customWidth="1"/>
    <col min="11012" max="11012" width="15.85546875" style="1540" bestFit="1" customWidth="1"/>
    <col min="11013" max="11013" width="17.42578125" style="1540" customWidth="1"/>
    <col min="11014" max="11014" width="17.5703125" style="1540" customWidth="1"/>
    <col min="11015" max="11015" width="16.42578125" style="1540" customWidth="1"/>
    <col min="11016" max="11016" width="15.7109375" style="1540" bestFit="1" customWidth="1"/>
    <col min="11017" max="11017" width="13.28515625" style="1540" bestFit="1" customWidth="1"/>
    <col min="11018" max="11018" width="18" style="1540" customWidth="1"/>
    <col min="11019" max="11019" width="10.140625" style="1540" bestFit="1" customWidth="1"/>
    <col min="11020" max="11266" width="9.140625" style="1540"/>
    <col min="11267" max="11267" width="26.85546875" style="1540" bestFit="1" customWidth="1"/>
    <col min="11268" max="11268" width="15.85546875" style="1540" bestFit="1" customWidth="1"/>
    <col min="11269" max="11269" width="17.42578125" style="1540" customWidth="1"/>
    <col min="11270" max="11270" width="17.5703125" style="1540" customWidth="1"/>
    <col min="11271" max="11271" width="16.42578125" style="1540" customWidth="1"/>
    <col min="11272" max="11272" width="15.7109375" style="1540" bestFit="1" customWidth="1"/>
    <col min="11273" max="11273" width="13.28515625" style="1540" bestFit="1" customWidth="1"/>
    <col min="11274" max="11274" width="18" style="1540" customWidth="1"/>
    <col min="11275" max="11275" width="10.140625" style="1540" bestFit="1" customWidth="1"/>
    <col min="11276" max="11522" width="9.140625" style="1540"/>
    <col min="11523" max="11523" width="26.85546875" style="1540" bestFit="1" customWidth="1"/>
    <col min="11524" max="11524" width="15.85546875" style="1540" bestFit="1" customWidth="1"/>
    <col min="11525" max="11525" width="17.42578125" style="1540" customWidth="1"/>
    <col min="11526" max="11526" width="17.5703125" style="1540" customWidth="1"/>
    <col min="11527" max="11527" width="16.42578125" style="1540" customWidth="1"/>
    <col min="11528" max="11528" width="15.7109375" style="1540" bestFit="1" customWidth="1"/>
    <col min="11529" max="11529" width="13.28515625" style="1540" bestFit="1" customWidth="1"/>
    <col min="11530" max="11530" width="18" style="1540" customWidth="1"/>
    <col min="11531" max="11531" width="10.140625" style="1540" bestFit="1" customWidth="1"/>
    <col min="11532" max="11778" width="9.140625" style="1540"/>
    <col min="11779" max="11779" width="26.85546875" style="1540" bestFit="1" customWidth="1"/>
    <col min="11780" max="11780" width="15.85546875" style="1540" bestFit="1" customWidth="1"/>
    <col min="11781" max="11781" width="17.42578125" style="1540" customWidth="1"/>
    <col min="11782" max="11782" width="17.5703125" style="1540" customWidth="1"/>
    <col min="11783" max="11783" width="16.42578125" style="1540" customWidth="1"/>
    <col min="11784" max="11784" width="15.7109375" style="1540" bestFit="1" customWidth="1"/>
    <col min="11785" max="11785" width="13.28515625" style="1540" bestFit="1" customWidth="1"/>
    <col min="11786" max="11786" width="18" style="1540" customWidth="1"/>
    <col min="11787" max="11787" width="10.140625" style="1540" bestFit="1" customWidth="1"/>
    <col min="11788" max="12034" width="9.140625" style="1540"/>
    <col min="12035" max="12035" width="26.85546875" style="1540" bestFit="1" customWidth="1"/>
    <col min="12036" max="12036" width="15.85546875" style="1540" bestFit="1" customWidth="1"/>
    <col min="12037" max="12037" width="17.42578125" style="1540" customWidth="1"/>
    <col min="12038" max="12038" width="17.5703125" style="1540" customWidth="1"/>
    <col min="12039" max="12039" width="16.42578125" style="1540" customWidth="1"/>
    <col min="12040" max="12040" width="15.7109375" style="1540" bestFit="1" customWidth="1"/>
    <col min="12041" max="12041" width="13.28515625" style="1540" bestFit="1" customWidth="1"/>
    <col min="12042" max="12042" width="18" style="1540" customWidth="1"/>
    <col min="12043" max="12043" width="10.140625" style="1540" bestFit="1" customWidth="1"/>
    <col min="12044" max="12290" width="9.140625" style="1540"/>
    <col min="12291" max="12291" width="26.85546875" style="1540" bestFit="1" customWidth="1"/>
    <col min="12292" max="12292" width="15.85546875" style="1540" bestFit="1" customWidth="1"/>
    <col min="12293" max="12293" width="17.42578125" style="1540" customWidth="1"/>
    <col min="12294" max="12294" width="17.5703125" style="1540" customWidth="1"/>
    <col min="12295" max="12295" width="16.42578125" style="1540" customWidth="1"/>
    <col min="12296" max="12296" width="15.7109375" style="1540" bestFit="1" customWidth="1"/>
    <col min="12297" max="12297" width="13.28515625" style="1540" bestFit="1" customWidth="1"/>
    <col min="12298" max="12298" width="18" style="1540" customWidth="1"/>
    <col min="12299" max="12299" width="10.140625" style="1540" bestFit="1" customWidth="1"/>
    <col min="12300" max="12546" width="9.140625" style="1540"/>
    <col min="12547" max="12547" width="26.85546875" style="1540" bestFit="1" customWidth="1"/>
    <col min="12548" max="12548" width="15.85546875" style="1540" bestFit="1" customWidth="1"/>
    <col min="12549" max="12549" width="17.42578125" style="1540" customWidth="1"/>
    <col min="12550" max="12550" width="17.5703125" style="1540" customWidth="1"/>
    <col min="12551" max="12551" width="16.42578125" style="1540" customWidth="1"/>
    <col min="12552" max="12552" width="15.7109375" style="1540" bestFit="1" customWidth="1"/>
    <col min="12553" max="12553" width="13.28515625" style="1540" bestFit="1" customWidth="1"/>
    <col min="12554" max="12554" width="18" style="1540" customWidth="1"/>
    <col min="12555" max="12555" width="10.140625" style="1540" bestFit="1" customWidth="1"/>
    <col min="12556" max="12802" width="9.140625" style="1540"/>
    <col min="12803" max="12803" width="26.85546875" style="1540" bestFit="1" customWidth="1"/>
    <col min="12804" max="12804" width="15.85546875" style="1540" bestFit="1" customWidth="1"/>
    <col min="12805" max="12805" width="17.42578125" style="1540" customWidth="1"/>
    <col min="12806" max="12806" width="17.5703125" style="1540" customWidth="1"/>
    <col min="12807" max="12807" width="16.42578125" style="1540" customWidth="1"/>
    <col min="12808" max="12808" width="15.7109375" style="1540" bestFit="1" customWidth="1"/>
    <col min="12809" max="12809" width="13.28515625" style="1540" bestFit="1" customWidth="1"/>
    <col min="12810" max="12810" width="18" style="1540" customWidth="1"/>
    <col min="12811" max="12811" width="10.140625" style="1540" bestFit="1" customWidth="1"/>
    <col min="12812" max="13058" width="9.140625" style="1540"/>
    <col min="13059" max="13059" width="26.85546875" style="1540" bestFit="1" customWidth="1"/>
    <col min="13060" max="13060" width="15.85546875" style="1540" bestFit="1" customWidth="1"/>
    <col min="13061" max="13061" width="17.42578125" style="1540" customWidth="1"/>
    <col min="13062" max="13062" width="17.5703125" style="1540" customWidth="1"/>
    <col min="13063" max="13063" width="16.42578125" style="1540" customWidth="1"/>
    <col min="13064" max="13064" width="15.7109375" style="1540" bestFit="1" customWidth="1"/>
    <col min="13065" max="13065" width="13.28515625" style="1540" bestFit="1" customWidth="1"/>
    <col min="13066" max="13066" width="18" style="1540" customWidth="1"/>
    <col min="13067" max="13067" width="10.140625" style="1540" bestFit="1" customWidth="1"/>
    <col min="13068" max="13314" width="9.140625" style="1540"/>
    <col min="13315" max="13315" width="26.85546875" style="1540" bestFit="1" customWidth="1"/>
    <col min="13316" max="13316" width="15.85546875" style="1540" bestFit="1" customWidth="1"/>
    <col min="13317" max="13317" width="17.42578125" style="1540" customWidth="1"/>
    <col min="13318" max="13318" width="17.5703125" style="1540" customWidth="1"/>
    <col min="13319" max="13319" width="16.42578125" style="1540" customWidth="1"/>
    <col min="13320" max="13320" width="15.7109375" style="1540" bestFit="1" customWidth="1"/>
    <col min="13321" max="13321" width="13.28515625" style="1540" bestFit="1" customWidth="1"/>
    <col min="13322" max="13322" width="18" style="1540" customWidth="1"/>
    <col min="13323" max="13323" width="10.140625" style="1540" bestFit="1" customWidth="1"/>
    <col min="13324" max="13570" width="9.140625" style="1540"/>
    <col min="13571" max="13571" width="26.85546875" style="1540" bestFit="1" customWidth="1"/>
    <col min="13572" max="13572" width="15.85546875" style="1540" bestFit="1" customWidth="1"/>
    <col min="13573" max="13573" width="17.42578125" style="1540" customWidth="1"/>
    <col min="13574" max="13574" width="17.5703125" style="1540" customWidth="1"/>
    <col min="13575" max="13575" width="16.42578125" style="1540" customWidth="1"/>
    <col min="13576" max="13576" width="15.7109375" style="1540" bestFit="1" customWidth="1"/>
    <col min="13577" max="13577" width="13.28515625" style="1540" bestFit="1" customWidth="1"/>
    <col min="13578" max="13578" width="18" style="1540" customWidth="1"/>
    <col min="13579" max="13579" width="10.140625" style="1540" bestFit="1" customWidth="1"/>
    <col min="13580" max="13826" width="9.140625" style="1540"/>
    <col min="13827" max="13827" width="26.85546875" style="1540" bestFit="1" customWidth="1"/>
    <col min="13828" max="13828" width="15.85546875" style="1540" bestFit="1" customWidth="1"/>
    <col min="13829" max="13829" width="17.42578125" style="1540" customWidth="1"/>
    <col min="13830" max="13830" width="17.5703125" style="1540" customWidth="1"/>
    <col min="13831" max="13831" width="16.42578125" style="1540" customWidth="1"/>
    <col min="13832" max="13832" width="15.7109375" style="1540" bestFit="1" customWidth="1"/>
    <col min="13833" max="13833" width="13.28515625" style="1540" bestFit="1" customWidth="1"/>
    <col min="13834" max="13834" width="18" style="1540" customWidth="1"/>
    <col min="13835" max="13835" width="10.140625" style="1540" bestFit="1" customWidth="1"/>
    <col min="13836" max="14082" width="9.140625" style="1540"/>
    <col min="14083" max="14083" width="26.85546875" style="1540" bestFit="1" customWidth="1"/>
    <col min="14084" max="14084" width="15.85546875" style="1540" bestFit="1" customWidth="1"/>
    <col min="14085" max="14085" width="17.42578125" style="1540" customWidth="1"/>
    <col min="14086" max="14086" width="17.5703125" style="1540" customWidth="1"/>
    <col min="14087" max="14087" width="16.42578125" style="1540" customWidth="1"/>
    <col min="14088" max="14088" width="15.7109375" style="1540" bestFit="1" customWidth="1"/>
    <col min="14089" max="14089" width="13.28515625" style="1540" bestFit="1" customWidth="1"/>
    <col min="14090" max="14090" width="18" style="1540" customWidth="1"/>
    <col min="14091" max="14091" width="10.140625" style="1540" bestFit="1" customWidth="1"/>
    <col min="14092" max="14338" width="9.140625" style="1540"/>
    <col min="14339" max="14339" width="26.85546875" style="1540" bestFit="1" customWidth="1"/>
    <col min="14340" max="14340" width="15.85546875" style="1540" bestFit="1" customWidth="1"/>
    <col min="14341" max="14341" width="17.42578125" style="1540" customWidth="1"/>
    <col min="14342" max="14342" width="17.5703125" style="1540" customWidth="1"/>
    <col min="14343" max="14343" width="16.42578125" style="1540" customWidth="1"/>
    <col min="14344" max="14344" width="15.7109375" style="1540" bestFit="1" customWidth="1"/>
    <col min="14345" max="14345" width="13.28515625" style="1540" bestFit="1" customWidth="1"/>
    <col min="14346" max="14346" width="18" style="1540" customWidth="1"/>
    <col min="14347" max="14347" width="10.140625" style="1540" bestFit="1" customWidth="1"/>
    <col min="14348" max="14594" width="9.140625" style="1540"/>
    <col min="14595" max="14595" width="26.85546875" style="1540" bestFit="1" customWidth="1"/>
    <col min="14596" max="14596" width="15.85546875" style="1540" bestFit="1" customWidth="1"/>
    <col min="14597" max="14597" width="17.42578125" style="1540" customWidth="1"/>
    <col min="14598" max="14598" width="17.5703125" style="1540" customWidth="1"/>
    <col min="14599" max="14599" width="16.42578125" style="1540" customWidth="1"/>
    <col min="14600" max="14600" width="15.7109375" style="1540" bestFit="1" customWidth="1"/>
    <col min="14601" max="14601" width="13.28515625" style="1540" bestFit="1" customWidth="1"/>
    <col min="14602" max="14602" width="18" style="1540" customWidth="1"/>
    <col min="14603" max="14603" width="10.140625" style="1540" bestFit="1" customWidth="1"/>
    <col min="14604" max="14850" width="9.140625" style="1540"/>
    <col min="14851" max="14851" width="26.85546875" style="1540" bestFit="1" customWidth="1"/>
    <col min="14852" max="14852" width="15.85546875" style="1540" bestFit="1" customWidth="1"/>
    <col min="14853" max="14853" width="17.42578125" style="1540" customWidth="1"/>
    <col min="14854" max="14854" width="17.5703125" style="1540" customWidth="1"/>
    <col min="14855" max="14855" width="16.42578125" style="1540" customWidth="1"/>
    <col min="14856" max="14856" width="15.7109375" style="1540" bestFit="1" customWidth="1"/>
    <col min="14857" max="14857" width="13.28515625" style="1540" bestFit="1" customWidth="1"/>
    <col min="14858" max="14858" width="18" style="1540" customWidth="1"/>
    <col min="14859" max="14859" width="10.140625" style="1540" bestFit="1" customWidth="1"/>
    <col min="14860" max="15106" width="9.140625" style="1540"/>
    <col min="15107" max="15107" width="26.85546875" style="1540" bestFit="1" customWidth="1"/>
    <col min="15108" max="15108" width="15.85546875" style="1540" bestFit="1" customWidth="1"/>
    <col min="15109" max="15109" width="17.42578125" style="1540" customWidth="1"/>
    <col min="15110" max="15110" width="17.5703125" style="1540" customWidth="1"/>
    <col min="15111" max="15111" width="16.42578125" style="1540" customWidth="1"/>
    <col min="15112" max="15112" width="15.7109375" style="1540" bestFit="1" customWidth="1"/>
    <col min="15113" max="15113" width="13.28515625" style="1540" bestFit="1" customWidth="1"/>
    <col min="15114" max="15114" width="18" style="1540" customWidth="1"/>
    <col min="15115" max="15115" width="10.140625" style="1540" bestFit="1" customWidth="1"/>
    <col min="15116" max="15362" width="9.140625" style="1540"/>
    <col min="15363" max="15363" width="26.85546875" style="1540" bestFit="1" customWidth="1"/>
    <col min="15364" max="15364" width="15.85546875" style="1540" bestFit="1" customWidth="1"/>
    <col min="15365" max="15365" width="17.42578125" style="1540" customWidth="1"/>
    <col min="15366" max="15366" width="17.5703125" style="1540" customWidth="1"/>
    <col min="15367" max="15367" width="16.42578125" style="1540" customWidth="1"/>
    <col min="15368" max="15368" width="15.7109375" style="1540" bestFit="1" customWidth="1"/>
    <col min="15369" max="15369" width="13.28515625" style="1540" bestFit="1" customWidth="1"/>
    <col min="15370" max="15370" width="18" style="1540" customWidth="1"/>
    <col min="15371" max="15371" width="10.140625" style="1540" bestFit="1" customWidth="1"/>
    <col min="15372" max="15618" width="9.140625" style="1540"/>
    <col min="15619" max="15619" width="26.85546875" style="1540" bestFit="1" customWidth="1"/>
    <col min="15620" max="15620" width="15.85546875" style="1540" bestFit="1" customWidth="1"/>
    <col min="15621" max="15621" width="17.42578125" style="1540" customWidth="1"/>
    <col min="15622" max="15622" width="17.5703125" style="1540" customWidth="1"/>
    <col min="15623" max="15623" width="16.42578125" style="1540" customWidth="1"/>
    <col min="15624" max="15624" width="15.7109375" style="1540" bestFit="1" customWidth="1"/>
    <col min="15625" max="15625" width="13.28515625" style="1540" bestFit="1" customWidth="1"/>
    <col min="15626" max="15626" width="18" style="1540" customWidth="1"/>
    <col min="15627" max="15627" width="10.140625" style="1540" bestFit="1" customWidth="1"/>
    <col min="15628" max="15874" width="9.140625" style="1540"/>
    <col min="15875" max="15875" width="26.85546875" style="1540" bestFit="1" customWidth="1"/>
    <col min="15876" max="15876" width="15.85546875" style="1540" bestFit="1" customWidth="1"/>
    <col min="15877" max="15877" width="17.42578125" style="1540" customWidth="1"/>
    <col min="15878" max="15878" width="17.5703125" style="1540" customWidth="1"/>
    <col min="15879" max="15879" width="16.42578125" style="1540" customWidth="1"/>
    <col min="15880" max="15880" width="15.7109375" style="1540" bestFit="1" customWidth="1"/>
    <col min="15881" max="15881" width="13.28515625" style="1540" bestFit="1" customWidth="1"/>
    <col min="15882" max="15882" width="18" style="1540" customWidth="1"/>
    <col min="15883" max="15883" width="10.140625" style="1540" bestFit="1" customWidth="1"/>
    <col min="15884" max="16130" width="9.140625" style="1540"/>
    <col min="16131" max="16131" width="26.85546875" style="1540" bestFit="1" customWidth="1"/>
    <col min="16132" max="16132" width="15.85546875" style="1540" bestFit="1" customWidth="1"/>
    <col min="16133" max="16133" width="17.42578125" style="1540" customWidth="1"/>
    <col min="16134" max="16134" width="17.5703125" style="1540" customWidth="1"/>
    <col min="16135" max="16135" width="16.42578125" style="1540" customWidth="1"/>
    <col min="16136" max="16136" width="15.7109375" style="1540" bestFit="1" customWidth="1"/>
    <col min="16137" max="16137" width="13.28515625" style="1540" bestFit="1" customWidth="1"/>
    <col min="16138" max="16138" width="18" style="1540" customWidth="1"/>
    <col min="16139" max="16139" width="10.140625" style="1540" bestFit="1" customWidth="1"/>
    <col min="16140" max="16384" width="9.140625" style="1540"/>
  </cols>
  <sheetData>
    <row r="1" spans="1:11" s="1537" customFormat="1" x14ac:dyDescent="0.2">
      <c r="A1" s="347"/>
      <c r="B1" s="2090" t="s">
        <v>2092</v>
      </c>
      <c r="C1" s="2090"/>
      <c r="D1" s="2090"/>
      <c r="E1" s="2090"/>
      <c r="F1" s="2090"/>
      <c r="G1" s="2090"/>
      <c r="H1" s="2090"/>
      <c r="I1" s="1536"/>
      <c r="J1" s="1536"/>
      <c r="K1" s="1536"/>
    </row>
    <row r="2" spans="1:11" s="1537" customFormat="1" x14ac:dyDescent="0.2">
      <c r="A2" s="347"/>
      <c r="B2" s="1538"/>
    </row>
    <row r="3" spans="1:11" x14ac:dyDescent="0.2">
      <c r="B3" s="2180" t="s">
        <v>77</v>
      </c>
      <c r="C3" s="2180"/>
      <c r="D3" s="2180"/>
      <c r="E3" s="2180"/>
      <c r="F3" s="2180"/>
      <c r="G3" s="2180"/>
      <c r="H3" s="2180"/>
      <c r="I3" s="1539"/>
      <c r="J3" s="1539"/>
    </row>
    <row r="4" spans="1:11" x14ac:dyDescent="0.2">
      <c r="B4" s="2180" t="s">
        <v>1362</v>
      </c>
      <c r="C4" s="2180"/>
      <c r="D4" s="2180"/>
      <c r="E4" s="2180"/>
      <c r="F4" s="2180"/>
      <c r="G4" s="2180"/>
      <c r="H4" s="2180"/>
      <c r="I4" s="1539"/>
      <c r="J4" s="1539"/>
    </row>
    <row r="5" spans="1:11" x14ac:dyDescent="0.2">
      <c r="B5" s="2180" t="s">
        <v>1409</v>
      </c>
      <c r="C5" s="2180"/>
      <c r="D5" s="2180"/>
      <c r="E5" s="2180"/>
      <c r="F5" s="2180"/>
      <c r="G5" s="2180"/>
      <c r="H5" s="2180"/>
      <c r="I5" s="1539"/>
      <c r="J5" s="1539"/>
    </row>
    <row r="6" spans="1:11" x14ac:dyDescent="0.2">
      <c r="B6" s="2180" t="s">
        <v>1401</v>
      </c>
      <c r="C6" s="2180"/>
      <c r="D6" s="2180"/>
      <c r="E6" s="2180"/>
      <c r="F6" s="2180"/>
      <c r="G6" s="2180"/>
      <c r="H6" s="2180"/>
      <c r="I6" s="1539"/>
      <c r="J6" s="1539"/>
    </row>
    <row r="7" spans="1:11" x14ac:dyDescent="0.2">
      <c r="B7" s="1541"/>
      <c r="C7" s="1542"/>
      <c r="D7" s="1542"/>
      <c r="E7" s="1542"/>
      <c r="F7" s="1542"/>
      <c r="G7" s="1543"/>
      <c r="H7" s="1541"/>
      <c r="I7" s="1539"/>
      <c r="J7" s="1539"/>
    </row>
    <row r="8" spans="1:11" ht="38.25" x14ac:dyDescent="0.2">
      <c r="A8" s="1544"/>
      <c r="B8" s="1545" t="s">
        <v>85</v>
      </c>
      <c r="C8" s="1546" t="s">
        <v>1410</v>
      </c>
      <c r="D8" s="1546" t="s">
        <v>1411</v>
      </c>
      <c r="E8" s="1546" t="s">
        <v>1412</v>
      </c>
      <c r="F8" s="1546" t="s">
        <v>1413</v>
      </c>
      <c r="G8" s="1546" t="s">
        <v>1414</v>
      </c>
      <c r="H8" s="1547" t="s">
        <v>1415</v>
      </c>
    </row>
    <row r="9" spans="1:11" x14ac:dyDescent="0.2">
      <c r="A9" s="1548" t="s">
        <v>478</v>
      </c>
      <c r="B9" s="1549" t="s">
        <v>1416</v>
      </c>
      <c r="C9" s="1550">
        <v>7181</v>
      </c>
      <c r="D9" s="1551"/>
      <c r="E9" s="1551"/>
      <c r="F9" s="1551"/>
      <c r="G9" s="1552">
        <f t="shared" ref="G9:G10" si="0">C9+E9</f>
        <v>7181</v>
      </c>
      <c r="H9" s="1553">
        <v>7</v>
      </c>
    </row>
    <row r="10" spans="1:11" ht="25.5" x14ac:dyDescent="0.2">
      <c r="A10" s="1525" t="s">
        <v>486</v>
      </c>
      <c r="B10" s="1554" t="s">
        <v>1417</v>
      </c>
      <c r="C10" s="1555">
        <v>750000000</v>
      </c>
      <c r="D10" s="1556"/>
      <c r="E10" s="1556"/>
      <c r="F10" s="1556"/>
      <c r="G10" s="1552">
        <f t="shared" si="0"/>
        <v>750000000</v>
      </c>
      <c r="H10" s="1553">
        <v>750000</v>
      </c>
    </row>
    <row r="11" spans="1:11" ht="25.5" x14ac:dyDescent="0.2">
      <c r="A11" s="1525" t="s">
        <v>487</v>
      </c>
      <c r="B11" s="1557" t="s">
        <v>1418</v>
      </c>
      <c r="C11" s="1550">
        <v>3000000</v>
      </c>
      <c r="D11" s="1551"/>
      <c r="E11" s="1551"/>
      <c r="F11" s="1551"/>
      <c r="G11" s="1552">
        <f>C11+E11</f>
        <v>3000000</v>
      </c>
      <c r="H11" s="1553">
        <v>3000</v>
      </c>
    </row>
    <row r="12" spans="1:11" ht="25.5" x14ac:dyDescent="0.2">
      <c r="A12" s="1525" t="s">
        <v>488</v>
      </c>
      <c r="B12" s="1554" t="s">
        <v>1419</v>
      </c>
      <c r="C12" s="1550">
        <v>1470000</v>
      </c>
      <c r="D12" s="1551"/>
      <c r="E12" s="1551">
        <v>-180000</v>
      </c>
      <c r="F12" s="1551"/>
      <c r="G12" s="1552">
        <f>C12+E12</f>
        <v>1290000</v>
      </c>
      <c r="H12" s="1553">
        <v>1290</v>
      </c>
    </row>
    <row r="13" spans="1:11" ht="25.5" x14ac:dyDescent="0.2">
      <c r="A13" s="1525" t="s">
        <v>489</v>
      </c>
      <c r="B13" s="1554" t="s">
        <v>1420</v>
      </c>
      <c r="C13" s="1550">
        <v>75500000</v>
      </c>
      <c r="D13" s="1551"/>
      <c r="E13" s="1551"/>
      <c r="F13" s="1551"/>
      <c r="G13" s="1552">
        <v>75500000</v>
      </c>
      <c r="H13" s="1553">
        <v>75500</v>
      </c>
    </row>
    <row r="14" spans="1:11" ht="25.5" x14ac:dyDescent="0.2">
      <c r="A14" s="1558" t="s">
        <v>490</v>
      </c>
      <c r="B14" s="1559" t="s">
        <v>1421</v>
      </c>
      <c r="C14" s="1560">
        <v>3000000</v>
      </c>
      <c r="D14" s="1561"/>
      <c r="E14" s="1561"/>
      <c r="F14" s="1561"/>
      <c r="G14" s="1562">
        <v>3000000</v>
      </c>
      <c r="H14" s="1563">
        <v>3000</v>
      </c>
    </row>
    <row r="15" spans="1:11" s="1569" customFormat="1" x14ac:dyDescent="0.2">
      <c r="A15" s="1525" t="s">
        <v>491</v>
      </c>
      <c r="B15" s="1564" t="s">
        <v>594</v>
      </c>
      <c r="C15" s="1565">
        <f>SUM(C9:C14)</f>
        <v>832977181</v>
      </c>
      <c r="D15" s="1566">
        <f>SUM(D9:D11)</f>
        <v>0</v>
      </c>
      <c r="E15" s="1566">
        <f>SUM(E9:E11)</f>
        <v>0</v>
      </c>
      <c r="F15" s="1566">
        <f>SUM(F9:F11)</f>
        <v>0</v>
      </c>
      <c r="G15" s="1567">
        <f>SUM(G9:G14)</f>
        <v>832797181</v>
      </c>
      <c r="H15" s="1568">
        <f>SUM(H9:H14)</f>
        <v>832797</v>
      </c>
    </row>
    <row r="16" spans="1:11" s="1569" customFormat="1" x14ac:dyDescent="0.2">
      <c r="A16" s="347"/>
      <c r="C16" s="1566"/>
      <c r="D16" s="1570"/>
      <c r="E16" s="1570"/>
      <c r="F16" s="1570"/>
      <c r="G16" s="1570"/>
      <c r="H16" s="1566"/>
    </row>
    <row r="17" spans="2:10" x14ac:dyDescent="0.2">
      <c r="C17" s="1571"/>
      <c r="D17" s="1571"/>
      <c r="E17" s="1571"/>
      <c r="F17" s="1571"/>
      <c r="G17" s="1571"/>
      <c r="H17" s="1571"/>
      <c r="I17" s="1571"/>
      <c r="J17" s="1571"/>
    </row>
    <row r="18" spans="2:10" x14ac:dyDescent="0.2">
      <c r="C18" s="1572"/>
      <c r="D18" s="1572"/>
      <c r="E18" s="1572"/>
      <c r="F18" s="1573"/>
      <c r="G18" s="1572"/>
      <c r="H18" s="1572"/>
      <c r="I18" s="1571"/>
      <c r="J18" s="1571"/>
    </row>
    <row r="19" spans="2:10" x14ac:dyDescent="0.2">
      <c r="C19" s="1572"/>
      <c r="D19" s="1572"/>
      <c r="E19" s="1572"/>
      <c r="F19" s="1573"/>
      <c r="G19" s="1572"/>
      <c r="H19" s="1572"/>
      <c r="I19" s="1571"/>
      <c r="J19" s="1571"/>
    </row>
    <row r="20" spans="2:10" x14ac:dyDescent="0.2">
      <c r="C20" s="1573"/>
      <c r="D20" s="1573"/>
      <c r="E20" s="1573"/>
      <c r="F20" s="1573"/>
      <c r="G20" s="1573"/>
      <c r="H20" s="1573"/>
      <c r="I20" s="1571"/>
      <c r="J20" s="1571"/>
    </row>
    <row r="21" spans="2:10" x14ac:dyDescent="0.2">
      <c r="C21" s="1574"/>
      <c r="D21" s="1575"/>
      <c r="E21" s="1575"/>
      <c r="F21" s="1575"/>
      <c r="G21" s="1575"/>
      <c r="H21" s="1574"/>
    </row>
    <row r="22" spans="2:10" x14ac:dyDescent="0.2">
      <c r="C22" s="1574"/>
      <c r="D22" s="1575"/>
      <c r="E22" s="1575"/>
      <c r="F22" s="1575"/>
      <c r="G22" s="1575"/>
      <c r="H22" s="1574"/>
    </row>
    <row r="25" spans="2:10" x14ac:dyDescent="0.2">
      <c r="B25" s="1576"/>
      <c r="C25" s="1537"/>
      <c r="D25" s="1537"/>
      <c r="E25" s="1537"/>
      <c r="F25" s="1537"/>
      <c r="G25" s="1537"/>
      <c r="H25" s="1537"/>
    </row>
    <row r="26" spans="2:10" x14ac:dyDescent="0.2">
      <c r="B26" s="1537"/>
      <c r="C26" s="1537"/>
      <c r="D26" s="1537"/>
      <c r="E26" s="1537"/>
      <c r="F26" s="1537"/>
      <c r="G26" s="1537"/>
      <c r="H26" s="1537"/>
    </row>
    <row r="27" spans="2:10" x14ac:dyDescent="0.2">
      <c r="B27" s="1537"/>
      <c r="C27" s="1537"/>
      <c r="D27" s="1537"/>
      <c r="E27" s="1537"/>
      <c r="F27" s="1537"/>
      <c r="G27" s="1537"/>
      <c r="H27" s="1537"/>
    </row>
  </sheetData>
  <mergeCells count="5">
    <mergeCell ref="B1:H1"/>
    <mergeCell ref="B3:H3"/>
    <mergeCell ref="B4:H4"/>
    <mergeCell ref="B5:H5"/>
    <mergeCell ref="B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86" customWidth="1"/>
    <col min="2" max="2" width="9.85546875" style="186" hidden="1" customWidth="1"/>
    <col min="3" max="3" width="11.7109375" style="186" hidden="1" customWidth="1"/>
    <col min="4" max="4" width="9.85546875" style="186" hidden="1" customWidth="1"/>
    <col min="5" max="5" width="15.85546875" style="190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868" t="s">
        <v>293</v>
      </c>
      <c r="C1" s="1868"/>
      <c r="D1" s="1868"/>
      <c r="E1" s="1868"/>
    </row>
    <row r="2" spans="1:10" x14ac:dyDescent="0.2">
      <c r="F2" s="1875"/>
      <c r="G2" s="1875"/>
      <c r="H2" s="1875"/>
      <c r="I2" s="1875"/>
    </row>
    <row r="4" spans="1:10" ht="12.75" x14ac:dyDescent="0.2">
      <c r="A4" s="1869" t="s">
        <v>77</v>
      </c>
      <c r="B4" s="1869"/>
      <c r="C4" s="1869"/>
      <c r="D4" s="1869"/>
      <c r="E4" s="1869"/>
      <c r="F4" s="1870"/>
      <c r="G4" s="1870"/>
      <c r="H4" s="1870"/>
      <c r="I4" s="1870"/>
    </row>
    <row r="5" spans="1:10" ht="12.75" x14ac:dyDescent="0.2">
      <c r="A5" s="1869" t="s">
        <v>874</v>
      </c>
      <c r="B5" s="1869"/>
      <c r="C5" s="1869"/>
      <c r="D5" s="1869"/>
      <c r="E5" s="1869"/>
      <c r="F5" s="1870"/>
      <c r="G5" s="1870"/>
      <c r="H5" s="1870"/>
      <c r="I5" s="1870"/>
    </row>
    <row r="7" spans="1:10" ht="13.5" thickBot="1" x14ac:dyDescent="0.25">
      <c r="E7" s="503" t="s">
        <v>20</v>
      </c>
      <c r="F7" s="514"/>
    </row>
    <row r="8" spans="1:10" ht="12.75" customHeight="1" thickBot="1" x14ac:dyDescent="0.25">
      <c r="A8" s="1871" t="s">
        <v>78</v>
      </c>
      <c r="B8" s="1873" t="s">
        <v>106</v>
      </c>
      <c r="C8" s="1874"/>
      <c r="D8" s="1874"/>
      <c r="E8" s="1874"/>
      <c r="F8" s="1873" t="s">
        <v>885</v>
      </c>
      <c r="G8" s="1874"/>
      <c r="H8" s="1874"/>
      <c r="I8" s="1874"/>
    </row>
    <row r="9" spans="1:10" s="7" customFormat="1" ht="49.5" customHeight="1" thickBot="1" x14ac:dyDescent="0.25">
      <c r="A9" s="1872"/>
      <c r="B9" s="276" t="s">
        <v>79</v>
      </c>
      <c r="C9" s="187" t="s">
        <v>80</v>
      </c>
      <c r="D9" s="187" t="s">
        <v>677</v>
      </c>
      <c r="E9" s="277" t="s">
        <v>81</v>
      </c>
      <c r="F9" s="276" t="s">
        <v>79</v>
      </c>
      <c r="G9" s="187" t="s">
        <v>80</v>
      </c>
      <c r="H9" s="187" t="s">
        <v>677</v>
      </c>
      <c r="I9" s="277" t="s">
        <v>81</v>
      </c>
    </row>
    <row r="10" spans="1:10" ht="13.5" customHeight="1" x14ac:dyDescent="0.2">
      <c r="A10" s="515" t="s">
        <v>82</v>
      </c>
      <c r="B10" s="516"/>
      <c r="C10" s="516"/>
      <c r="D10" s="516"/>
      <c r="E10" s="516"/>
      <c r="F10" s="517"/>
      <c r="G10" s="517"/>
      <c r="H10" s="517"/>
      <c r="I10" s="517"/>
      <c r="J10" s="543"/>
    </row>
    <row r="11" spans="1:10" ht="13.5" customHeight="1" x14ac:dyDescent="0.2">
      <c r="A11" s="188" t="s">
        <v>796</v>
      </c>
      <c r="B11" s="189"/>
      <c r="C11" s="189"/>
      <c r="D11" s="189"/>
      <c r="E11" s="189"/>
      <c r="F11" s="504"/>
      <c r="G11" s="504"/>
      <c r="H11" s="504"/>
      <c r="I11" s="504"/>
      <c r="J11" s="543"/>
    </row>
    <row r="12" spans="1:10" ht="30.75" customHeight="1" x14ac:dyDescent="0.2">
      <c r="A12" s="626" t="s">
        <v>797</v>
      </c>
      <c r="B12" s="507">
        <v>4865</v>
      </c>
      <c r="C12" s="627">
        <v>18.690000000000001</v>
      </c>
      <c r="D12" s="507">
        <v>4580000</v>
      </c>
      <c r="E12" s="507">
        <f>C12*D12</f>
        <v>85600200</v>
      </c>
      <c r="F12" s="506">
        <v>4837</v>
      </c>
      <c r="G12" s="505">
        <v>18.62</v>
      </c>
      <c r="H12" s="505">
        <v>4580000</v>
      </c>
      <c r="I12" s="506">
        <f>G12*H12</f>
        <v>85279600</v>
      </c>
      <c r="J12" s="543"/>
    </row>
    <row r="13" spans="1:10" ht="13.5" customHeight="1" x14ac:dyDescent="0.2">
      <c r="A13" s="510" t="s">
        <v>798</v>
      </c>
      <c r="B13" s="507"/>
      <c r="C13" s="507"/>
      <c r="D13" s="507"/>
      <c r="E13" s="507"/>
      <c r="F13" s="506"/>
      <c r="G13" s="505"/>
      <c r="H13" s="505"/>
      <c r="I13" s="506"/>
      <c r="J13" s="543"/>
    </row>
    <row r="14" spans="1:10" ht="30" customHeight="1" x14ac:dyDescent="0.2">
      <c r="A14" s="626" t="s">
        <v>799</v>
      </c>
      <c r="B14" s="507"/>
      <c r="C14" s="508"/>
      <c r="D14" s="507" t="s">
        <v>294</v>
      </c>
      <c r="E14" s="507">
        <v>8328800</v>
      </c>
      <c r="F14" s="506"/>
      <c r="G14" s="505"/>
      <c r="H14" s="505" t="s">
        <v>294</v>
      </c>
      <c r="I14" s="506">
        <v>8329050</v>
      </c>
      <c r="J14" s="543"/>
    </row>
    <row r="15" spans="1:10" ht="30" customHeight="1" x14ac:dyDescent="0.2">
      <c r="A15" s="626" t="s">
        <v>800</v>
      </c>
      <c r="B15" s="507"/>
      <c r="C15" s="508"/>
      <c r="D15" s="507"/>
      <c r="E15" s="507"/>
      <c r="F15" s="506"/>
      <c r="G15" s="505"/>
      <c r="H15" s="505"/>
      <c r="I15" s="506">
        <v>-8329050</v>
      </c>
      <c r="J15" s="543"/>
    </row>
    <row r="16" spans="1:10" ht="30" customHeight="1" x14ac:dyDescent="0.2">
      <c r="A16" s="626" t="s">
        <v>801</v>
      </c>
      <c r="B16" s="507"/>
      <c r="C16" s="508"/>
      <c r="D16" s="507"/>
      <c r="E16" s="507"/>
      <c r="F16" s="506"/>
      <c r="G16" s="505"/>
      <c r="H16" s="505"/>
      <c r="I16" s="506">
        <f>I14+I15</f>
        <v>0</v>
      </c>
      <c r="J16" s="543"/>
    </row>
    <row r="17" spans="1:10" ht="16.5" customHeight="1" x14ac:dyDescent="0.2">
      <c r="A17" s="510" t="s">
        <v>802</v>
      </c>
      <c r="B17" s="507"/>
      <c r="C17" s="507"/>
      <c r="D17" s="628" t="s">
        <v>295</v>
      </c>
      <c r="E17" s="507">
        <v>18272000</v>
      </c>
      <c r="F17" s="506"/>
      <c r="G17" s="505"/>
      <c r="H17" s="505" t="s">
        <v>296</v>
      </c>
      <c r="I17" s="506">
        <v>18304000</v>
      </c>
      <c r="J17" s="543"/>
    </row>
    <row r="18" spans="1:10" ht="16.5" customHeight="1" x14ac:dyDescent="0.2">
      <c r="A18" s="510" t="s">
        <v>800</v>
      </c>
      <c r="B18" s="507"/>
      <c r="C18" s="507"/>
      <c r="D18" s="628"/>
      <c r="E18" s="507"/>
      <c r="F18" s="506"/>
      <c r="G18" s="505"/>
      <c r="H18" s="505"/>
      <c r="I18" s="506">
        <v>-18304000</v>
      </c>
      <c r="J18" s="543"/>
    </row>
    <row r="19" spans="1:10" ht="16.5" customHeight="1" x14ac:dyDescent="0.2">
      <c r="A19" s="510" t="s">
        <v>803</v>
      </c>
      <c r="B19" s="507"/>
      <c r="C19" s="507"/>
      <c r="D19" s="628"/>
      <c r="E19" s="507"/>
      <c r="F19" s="506"/>
      <c r="G19" s="505"/>
      <c r="H19" s="505"/>
      <c r="I19" s="506">
        <f>I17+I18</f>
        <v>0</v>
      </c>
      <c r="J19" s="543"/>
    </row>
    <row r="20" spans="1:10" ht="13.5" customHeight="1" x14ac:dyDescent="0.2">
      <c r="A20" s="510" t="s">
        <v>804</v>
      </c>
      <c r="B20" s="629"/>
      <c r="C20" s="629" t="s">
        <v>805</v>
      </c>
      <c r="D20" s="630" t="s">
        <v>678</v>
      </c>
      <c r="E20" s="629">
        <v>1355022</v>
      </c>
      <c r="F20" s="586"/>
      <c r="G20" s="629"/>
      <c r="H20" s="631" t="s">
        <v>678</v>
      </c>
      <c r="I20" s="506">
        <v>1355022</v>
      </c>
      <c r="J20" s="543"/>
    </row>
    <row r="21" spans="1:10" ht="13.5" customHeight="1" x14ac:dyDescent="0.2">
      <c r="A21" s="510" t="s">
        <v>806</v>
      </c>
      <c r="B21" s="629"/>
      <c r="C21" s="629"/>
      <c r="D21" s="630"/>
      <c r="E21" s="629"/>
      <c r="F21" s="586"/>
      <c r="G21" s="629"/>
      <c r="H21" s="631"/>
      <c r="I21" s="506">
        <v>-1355022</v>
      </c>
      <c r="J21" s="543"/>
    </row>
    <row r="22" spans="1:10" ht="13.5" customHeight="1" x14ac:dyDescent="0.2">
      <c r="A22" s="510" t="s">
        <v>807</v>
      </c>
      <c r="B22" s="629"/>
      <c r="C22" s="629"/>
      <c r="D22" s="630"/>
      <c r="E22" s="629"/>
      <c r="F22" s="586"/>
      <c r="G22" s="629"/>
      <c r="H22" s="631"/>
      <c r="I22" s="506">
        <f>I20+I21</f>
        <v>0</v>
      </c>
      <c r="J22" s="543"/>
    </row>
    <row r="23" spans="1:10" ht="13.5" customHeight="1" x14ac:dyDescent="0.2">
      <c r="A23" s="510" t="s">
        <v>808</v>
      </c>
      <c r="B23" s="507"/>
      <c r="C23" s="508"/>
      <c r="D23" s="628" t="s">
        <v>679</v>
      </c>
      <c r="E23" s="507">
        <v>6369620</v>
      </c>
      <c r="F23" s="506"/>
      <c r="G23" s="505"/>
      <c r="H23" s="628" t="s">
        <v>679</v>
      </c>
      <c r="I23" s="506">
        <v>6369620</v>
      </c>
      <c r="J23" s="543"/>
    </row>
    <row r="24" spans="1:10" ht="13.5" customHeight="1" x14ac:dyDescent="0.2">
      <c r="A24" s="510" t="s">
        <v>806</v>
      </c>
      <c r="B24" s="507"/>
      <c r="C24" s="508"/>
      <c r="D24" s="628"/>
      <c r="E24" s="507"/>
      <c r="F24" s="506"/>
      <c r="G24" s="505"/>
      <c r="H24" s="628"/>
      <c r="I24" s="506">
        <v>-6369620</v>
      </c>
      <c r="J24" s="543"/>
    </row>
    <row r="25" spans="1:10" ht="13.5" customHeight="1" x14ac:dyDescent="0.2">
      <c r="A25" s="510" t="s">
        <v>809</v>
      </c>
      <c r="B25" s="507"/>
      <c r="C25" s="508"/>
      <c r="D25" s="628"/>
      <c r="E25" s="507"/>
      <c r="F25" s="506"/>
      <c r="G25" s="505"/>
      <c r="H25" s="628"/>
      <c r="I25" s="506">
        <f>I23+I24</f>
        <v>0</v>
      </c>
      <c r="J25" s="543"/>
    </row>
    <row r="26" spans="1:10" ht="13.5" customHeight="1" x14ac:dyDescent="0.2">
      <c r="A26" s="510" t="s">
        <v>810</v>
      </c>
      <c r="B26" s="507">
        <v>4865</v>
      </c>
      <c r="C26" s="507"/>
      <c r="D26" s="507">
        <v>2700</v>
      </c>
      <c r="E26" s="507">
        <f>B26*D26</f>
        <v>13135500</v>
      </c>
      <c r="F26" s="506">
        <v>4837</v>
      </c>
      <c r="G26" s="505"/>
      <c r="H26" s="507">
        <v>2700</v>
      </c>
      <c r="I26" s="506">
        <f>F26*H26</f>
        <v>13059900</v>
      </c>
      <c r="J26" s="543"/>
    </row>
    <row r="27" spans="1:10" ht="13.5" customHeight="1" x14ac:dyDescent="0.2">
      <c r="A27" s="510" t="s">
        <v>811</v>
      </c>
      <c r="B27" s="507"/>
      <c r="C27" s="507"/>
      <c r="D27" s="507"/>
      <c r="E27" s="507">
        <v>-13135500</v>
      </c>
      <c r="F27" s="506"/>
      <c r="G27" s="505"/>
      <c r="H27" s="505"/>
      <c r="I27" s="506">
        <v>-13059900</v>
      </c>
      <c r="J27" s="543"/>
    </row>
    <row r="28" spans="1:10" ht="13.5" customHeight="1" x14ac:dyDescent="0.2">
      <c r="A28" s="510" t="s">
        <v>812</v>
      </c>
      <c r="B28" s="507"/>
      <c r="C28" s="507"/>
      <c r="D28" s="507"/>
      <c r="E28" s="507">
        <f>E26+E27</f>
        <v>0</v>
      </c>
      <c r="F28" s="506"/>
      <c r="G28" s="505"/>
      <c r="H28" s="505"/>
      <c r="I28" s="506">
        <f>I26+I27</f>
        <v>0</v>
      </c>
      <c r="J28" s="543"/>
    </row>
    <row r="29" spans="1:10" ht="13.5" customHeight="1" x14ac:dyDescent="0.2">
      <c r="A29" s="510" t="s">
        <v>813</v>
      </c>
      <c r="B29" s="629">
        <v>10</v>
      </c>
      <c r="C29" s="629"/>
      <c r="D29" s="629" t="s">
        <v>297</v>
      </c>
      <c r="E29" s="632">
        <v>25500</v>
      </c>
      <c r="F29" s="506">
        <v>11</v>
      </c>
      <c r="G29" s="505"/>
      <c r="H29" s="507" t="s">
        <v>297</v>
      </c>
      <c r="I29" s="506">
        <v>28050</v>
      </c>
      <c r="J29" s="543"/>
    </row>
    <row r="30" spans="1:10" ht="13.5" customHeight="1" x14ac:dyDescent="0.2">
      <c r="A30" s="510" t="s">
        <v>814</v>
      </c>
      <c r="B30" s="629"/>
      <c r="C30" s="629"/>
      <c r="D30" s="629"/>
      <c r="E30" s="632">
        <v>-25500</v>
      </c>
      <c r="F30" s="506"/>
      <c r="G30" s="505"/>
      <c r="H30" s="505"/>
      <c r="I30" s="506">
        <v>-28050</v>
      </c>
      <c r="J30" s="543"/>
    </row>
    <row r="31" spans="1:10" ht="13.5" customHeight="1" x14ac:dyDescent="0.2">
      <c r="A31" s="510" t="s">
        <v>815</v>
      </c>
      <c r="B31" s="629"/>
      <c r="C31" s="629"/>
      <c r="D31" s="629"/>
      <c r="E31" s="632">
        <v>0</v>
      </c>
      <c r="F31" s="506"/>
      <c r="G31" s="505"/>
      <c r="H31" s="505"/>
      <c r="I31" s="506">
        <f>I29+I30</f>
        <v>0</v>
      </c>
      <c r="J31" s="543"/>
    </row>
    <row r="32" spans="1:10" ht="13.5" customHeight="1" x14ac:dyDescent="0.2">
      <c r="A32" s="510" t="s">
        <v>816</v>
      </c>
      <c r="B32" s="507"/>
      <c r="C32" s="507">
        <v>487729000</v>
      </c>
      <c r="D32" s="508">
        <v>1.55</v>
      </c>
      <c r="E32" s="507">
        <f>C32*D32</f>
        <v>755979950</v>
      </c>
      <c r="F32" s="506"/>
      <c r="G32" s="677">
        <v>482296000</v>
      </c>
      <c r="H32" s="678">
        <v>1.55</v>
      </c>
      <c r="I32" s="677">
        <f>G32*H32</f>
        <v>747558800</v>
      </c>
      <c r="J32" s="543"/>
    </row>
    <row r="33" spans="1:11" ht="13.5" customHeight="1" x14ac:dyDescent="0.2">
      <c r="A33" s="510" t="s">
        <v>811</v>
      </c>
      <c r="B33" s="507"/>
      <c r="C33" s="507"/>
      <c r="D33" s="511"/>
      <c r="E33" s="507">
        <v>-98054262</v>
      </c>
      <c r="F33" s="506"/>
      <c r="G33" s="505"/>
      <c r="H33" s="505"/>
      <c r="I33" s="506">
        <v>-69343482</v>
      </c>
      <c r="J33" s="543"/>
    </row>
    <row r="34" spans="1:11" ht="13.5" customHeight="1" x14ac:dyDescent="0.2">
      <c r="A34" s="510" t="s">
        <v>817</v>
      </c>
      <c r="B34" s="507"/>
      <c r="C34" s="507"/>
      <c r="D34" s="511"/>
      <c r="E34" s="507">
        <f>E32+E33</f>
        <v>657925688</v>
      </c>
      <c r="F34" s="506"/>
      <c r="G34" s="505"/>
      <c r="H34" s="505"/>
      <c r="I34" s="506">
        <f>I32+I33</f>
        <v>678215318</v>
      </c>
      <c r="J34" s="543"/>
    </row>
    <row r="35" spans="1:11" ht="13.5" customHeight="1" x14ac:dyDescent="0.2">
      <c r="A35" s="633" t="s">
        <v>818</v>
      </c>
      <c r="B35" s="629"/>
      <c r="C35" s="629"/>
      <c r="D35" s="629"/>
      <c r="E35" s="629">
        <v>0</v>
      </c>
      <c r="F35" s="586"/>
      <c r="G35" s="634"/>
      <c r="H35" s="634"/>
      <c r="I35" s="586">
        <v>0</v>
      </c>
      <c r="J35" s="543"/>
    </row>
    <row r="36" spans="1:11" ht="13.5" customHeight="1" x14ac:dyDescent="0.2">
      <c r="A36" s="633"/>
      <c r="B36" s="629"/>
      <c r="C36" s="629"/>
      <c r="D36" s="629"/>
      <c r="E36" s="629"/>
      <c r="F36" s="586"/>
      <c r="G36" s="634"/>
      <c r="H36" s="634"/>
      <c r="I36" s="586"/>
      <c r="J36" s="543"/>
      <c r="K36" s="635"/>
    </row>
    <row r="37" spans="1:11" ht="24.95" customHeight="1" x14ac:dyDescent="0.2">
      <c r="A37" s="636" t="s">
        <v>83</v>
      </c>
      <c r="B37" s="629"/>
      <c r="C37" s="629"/>
      <c r="D37" s="629"/>
      <c r="E37" s="629"/>
      <c r="F37" s="586"/>
      <c r="G37" s="634"/>
      <c r="H37" s="634"/>
      <c r="I37" s="586"/>
      <c r="J37" s="543"/>
    </row>
    <row r="38" spans="1:11" ht="15" customHeight="1" x14ac:dyDescent="0.2">
      <c r="A38" s="626" t="s">
        <v>819</v>
      </c>
      <c r="B38" s="629"/>
      <c r="C38" s="629"/>
      <c r="D38" s="629"/>
      <c r="E38" s="629"/>
      <c r="F38" s="586"/>
      <c r="G38" s="634"/>
      <c r="H38" s="634"/>
      <c r="I38" s="586"/>
      <c r="J38" s="543"/>
    </row>
    <row r="39" spans="1:11" ht="24" customHeight="1" x14ac:dyDescent="0.2">
      <c r="A39" s="626" t="s">
        <v>820</v>
      </c>
      <c r="B39" s="507"/>
      <c r="C39" s="508">
        <v>13.1</v>
      </c>
      <c r="D39" s="507">
        <v>4152000</v>
      </c>
      <c r="E39" s="507">
        <f>C39*D39*8/12</f>
        <v>36260800</v>
      </c>
      <c r="F39" s="506"/>
      <c r="G39" s="505">
        <v>13.3</v>
      </c>
      <c r="H39" s="506">
        <v>4308000</v>
      </c>
      <c r="I39" s="506">
        <f>G39*8/12*4308000</f>
        <v>38197600</v>
      </c>
      <c r="J39" s="543"/>
    </row>
    <row r="40" spans="1:11" ht="24" customHeight="1" x14ac:dyDescent="0.2">
      <c r="A40" s="626" t="s">
        <v>821</v>
      </c>
      <c r="B40" s="507"/>
      <c r="C40" s="508">
        <v>13.1</v>
      </c>
      <c r="D40" s="509">
        <v>4152000</v>
      </c>
      <c r="E40" s="507">
        <f>C40*D40*4/12</f>
        <v>18130400</v>
      </c>
      <c r="F40" s="506"/>
      <c r="G40" s="637">
        <v>13.4</v>
      </c>
      <c r="H40" s="506">
        <v>4308000</v>
      </c>
      <c r="I40" s="506">
        <f>G40*4/12*H40</f>
        <v>19242400</v>
      </c>
      <c r="J40" s="543"/>
    </row>
    <row r="41" spans="1:11" ht="24.95" customHeight="1" x14ac:dyDescent="0.2">
      <c r="A41" s="626" t="s">
        <v>886</v>
      </c>
      <c r="B41" s="629"/>
      <c r="C41" s="638">
        <v>13.1</v>
      </c>
      <c r="D41" s="639">
        <v>35000</v>
      </c>
      <c r="E41" s="629">
        <f>C41*D41</f>
        <v>458500</v>
      </c>
      <c r="F41" s="586"/>
      <c r="G41" s="637">
        <v>13.4</v>
      </c>
      <c r="H41" s="506">
        <v>35000</v>
      </c>
      <c r="I41" s="506">
        <f>G41*H41</f>
        <v>469000</v>
      </c>
      <c r="J41" s="543"/>
    </row>
    <row r="42" spans="1:11" ht="24.95" customHeight="1" x14ac:dyDescent="0.2">
      <c r="A42" s="626" t="s">
        <v>822</v>
      </c>
      <c r="B42" s="629"/>
      <c r="C42" s="629">
        <v>10</v>
      </c>
      <c r="D42" s="629">
        <v>1800000</v>
      </c>
      <c r="E42" s="632">
        <f>C42*D42*8/12</f>
        <v>12000000</v>
      </c>
      <c r="F42" s="586"/>
      <c r="G42" s="637">
        <v>9</v>
      </c>
      <c r="H42" s="506">
        <v>1800000</v>
      </c>
      <c r="I42" s="506">
        <f>G42*H42*8/12</f>
        <v>10800000</v>
      </c>
      <c r="J42" s="543"/>
    </row>
    <row r="43" spans="1:11" ht="35.25" customHeight="1" x14ac:dyDescent="0.2">
      <c r="A43" s="640" t="s">
        <v>823</v>
      </c>
      <c r="B43" s="629"/>
      <c r="C43" s="629"/>
      <c r="D43" s="629"/>
      <c r="E43" s="632"/>
      <c r="F43" s="586"/>
      <c r="G43" s="637">
        <v>1</v>
      </c>
      <c r="H43" s="506">
        <v>4308000</v>
      </c>
      <c r="I43" s="506">
        <f>G43*H43*8/12</f>
        <v>2872000</v>
      </c>
      <c r="J43" s="543"/>
    </row>
    <row r="44" spans="1:11" ht="35.25" customHeight="1" x14ac:dyDescent="0.2">
      <c r="A44" s="626" t="s">
        <v>824</v>
      </c>
      <c r="B44" s="629"/>
      <c r="C44" s="629">
        <v>10</v>
      </c>
      <c r="D44" s="629">
        <v>1800000</v>
      </c>
      <c r="E44" s="629">
        <f>C44*D44*4/12</f>
        <v>6000000</v>
      </c>
      <c r="F44" s="586"/>
      <c r="G44" s="637">
        <v>9</v>
      </c>
      <c r="H44" s="506">
        <v>1800000</v>
      </c>
      <c r="I44" s="506">
        <f>G44*H44*4/12</f>
        <v>5400000</v>
      </c>
      <c r="J44" s="544"/>
    </row>
    <row r="45" spans="1:11" ht="35.25" customHeight="1" x14ac:dyDescent="0.2">
      <c r="A45" s="626" t="s">
        <v>825</v>
      </c>
      <c r="B45" s="629"/>
      <c r="C45" s="629"/>
      <c r="D45" s="629"/>
      <c r="E45" s="629"/>
      <c r="F45" s="586"/>
      <c r="G45" s="637">
        <v>1</v>
      </c>
      <c r="H45" s="506">
        <v>4308000</v>
      </c>
      <c r="I45" s="506">
        <f>G45*H45*4/12</f>
        <v>1436000</v>
      </c>
      <c r="J45" s="544"/>
    </row>
    <row r="46" spans="1:11" ht="13.5" customHeight="1" x14ac:dyDescent="0.2">
      <c r="A46" s="626" t="s">
        <v>826</v>
      </c>
      <c r="B46" s="629"/>
      <c r="C46" s="629"/>
      <c r="D46" s="629"/>
      <c r="E46" s="629"/>
      <c r="F46" s="586"/>
      <c r="G46" s="637">
        <v>1</v>
      </c>
      <c r="H46" s="506">
        <v>35000</v>
      </c>
      <c r="I46" s="506">
        <f>G46*H46</f>
        <v>35000</v>
      </c>
      <c r="J46" s="544"/>
    </row>
    <row r="47" spans="1:11" ht="13.5" customHeight="1" x14ac:dyDescent="0.2">
      <c r="A47" s="510" t="s">
        <v>827</v>
      </c>
      <c r="B47" s="629"/>
      <c r="C47" s="629"/>
      <c r="D47" s="629"/>
      <c r="E47" s="629"/>
      <c r="F47" s="586"/>
      <c r="G47" s="634"/>
      <c r="H47" s="634"/>
      <c r="I47" s="586"/>
      <c r="J47" s="543"/>
    </row>
    <row r="48" spans="1:11" ht="13.5" customHeight="1" x14ac:dyDescent="0.2">
      <c r="A48" s="626" t="s">
        <v>828</v>
      </c>
      <c r="B48" s="507"/>
      <c r="C48" s="507"/>
      <c r="D48" s="507"/>
      <c r="E48" s="507"/>
      <c r="F48" s="506"/>
      <c r="G48" s="506">
        <v>0</v>
      </c>
      <c r="H48" s="507">
        <v>80000</v>
      </c>
      <c r="I48" s="506">
        <f>G48*H48*8/12</f>
        <v>0</v>
      </c>
      <c r="J48" s="543"/>
    </row>
    <row r="49" spans="1:11" ht="13.5" customHeight="1" x14ac:dyDescent="0.2">
      <c r="A49" s="626" t="s">
        <v>829</v>
      </c>
      <c r="B49" s="507"/>
      <c r="C49" s="507">
        <v>142</v>
      </c>
      <c r="D49" s="507">
        <v>70000</v>
      </c>
      <c r="E49" s="507">
        <f>C49*D49*8/12</f>
        <v>6626666.666666667</v>
      </c>
      <c r="F49" s="506"/>
      <c r="G49" s="506">
        <v>144</v>
      </c>
      <c r="H49" s="507">
        <v>80000</v>
      </c>
      <c r="I49" s="506">
        <f>G49*H49*8/12</f>
        <v>7680000</v>
      </c>
      <c r="J49" s="543"/>
    </row>
    <row r="50" spans="1:11" ht="13.5" customHeight="1" x14ac:dyDescent="0.2">
      <c r="A50" s="626" t="s">
        <v>830</v>
      </c>
      <c r="B50" s="629"/>
      <c r="C50" s="629"/>
      <c r="D50" s="629"/>
      <c r="E50" s="629"/>
      <c r="F50" s="586"/>
      <c r="G50" s="506">
        <v>0</v>
      </c>
      <c r="H50" s="507">
        <v>80000</v>
      </c>
      <c r="I50" s="506">
        <f>G50*H50*8/12</f>
        <v>0</v>
      </c>
      <c r="J50" s="543"/>
    </row>
    <row r="51" spans="1:11" ht="39.75" customHeight="1" x14ac:dyDescent="0.2">
      <c r="A51" s="626" t="s">
        <v>831</v>
      </c>
      <c r="B51" s="629"/>
      <c r="C51" s="629">
        <v>142</v>
      </c>
      <c r="D51" s="629">
        <v>70000</v>
      </c>
      <c r="E51" s="629">
        <f>C51*D51*4/12</f>
        <v>3313333.3333333335</v>
      </c>
      <c r="F51" s="586"/>
      <c r="G51" s="506">
        <v>144</v>
      </c>
      <c r="H51" s="507">
        <v>80000</v>
      </c>
      <c r="I51" s="506">
        <f>G51*H51*4/12</f>
        <v>3840000</v>
      </c>
      <c r="J51" s="543"/>
    </row>
    <row r="52" spans="1:11" ht="50.25" customHeight="1" x14ac:dyDescent="0.2">
      <c r="A52" s="510" t="s">
        <v>832</v>
      </c>
      <c r="B52" s="629"/>
      <c r="C52" s="629"/>
      <c r="D52" s="629"/>
      <c r="E52" s="629">
        <v>0</v>
      </c>
      <c r="F52" s="586"/>
      <c r="G52" s="634"/>
      <c r="H52" s="634"/>
      <c r="I52" s="506">
        <v>740000</v>
      </c>
      <c r="J52" s="546"/>
    </row>
    <row r="53" spans="1:11" ht="13.5" customHeight="1" x14ac:dyDescent="0.2">
      <c r="A53" s="510" t="s">
        <v>833</v>
      </c>
      <c r="B53" s="507"/>
      <c r="C53" s="507"/>
      <c r="D53" s="507"/>
      <c r="E53" s="507"/>
      <c r="F53" s="506"/>
      <c r="G53" s="505"/>
      <c r="H53" s="505"/>
      <c r="I53" s="506"/>
      <c r="J53" s="543"/>
    </row>
    <row r="54" spans="1:11" ht="13.5" customHeight="1" x14ac:dyDescent="0.2">
      <c r="A54" s="626" t="s">
        <v>834</v>
      </c>
      <c r="B54" s="507"/>
      <c r="C54" s="507">
        <v>5</v>
      </c>
      <c r="D54" s="641" t="s">
        <v>298</v>
      </c>
      <c r="E54" s="507">
        <v>1760000</v>
      </c>
      <c r="F54" s="506"/>
      <c r="G54" s="506">
        <v>5</v>
      </c>
      <c r="H54" s="506">
        <v>384000</v>
      </c>
      <c r="I54" s="506">
        <f>G54*H54</f>
        <v>1920000</v>
      </c>
      <c r="J54" s="543"/>
    </row>
    <row r="55" spans="1:11" ht="13.5" customHeight="1" x14ac:dyDescent="0.2">
      <c r="A55" s="626" t="s">
        <v>835</v>
      </c>
      <c r="B55" s="629"/>
      <c r="C55" s="629"/>
      <c r="D55" s="629"/>
      <c r="E55" s="629"/>
      <c r="F55" s="586"/>
      <c r="G55" s="506">
        <v>1</v>
      </c>
      <c r="H55" s="506">
        <v>352000</v>
      </c>
      <c r="I55" s="506">
        <f>G55*H55</f>
        <v>352000</v>
      </c>
      <c r="J55" s="543"/>
    </row>
    <row r="56" spans="1:11" ht="12.75" customHeight="1" x14ac:dyDescent="0.2">
      <c r="A56" s="633"/>
      <c r="B56" s="629"/>
      <c r="C56" s="629"/>
      <c r="D56" s="629"/>
      <c r="E56" s="629"/>
      <c r="F56" s="586"/>
      <c r="G56" s="634"/>
      <c r="H56" s="634"/>
      <c r="I56" s="586"/>
      <c r="J56" s="543"/>
      <c r="K56" s="635"/>
    </row>
    <row r="57" spans="1:11" ht="13.5" customHeight="1" x14ac:dyDescent="0.2">
      <c r="A57" s="636" t="s">
        <v>84</v>
      </c>
      <c r="B57" s="629"/>
      <c r="C57" s="629"/>
      <c r="D57" s="629"/>
      <c r="E57" s="629"/>
      <c r="F57" s="586"/>
      <c r="G57" s="634"/>
      <c r="H57" s="634"/>
      <c r="I57" s="586"/>
      <c r="J57" s="543"/>
    </row>
    <row r="58" spans="1:11" ht="33.75" customHeight="1" x14ac:dyDescent="0.2">
      <c r="A58" s="633" t="s">
        <v>836</v>
      </c>
      <c r="B58" s="629"/>
      <c r="C58" s="629"/>
      <c r="D58" s="629"/>
      <c r="E58" s="629">
        <v>0</v>
      </c>
      <c r="F58" s="586"/>
      <c r="G58" s="634"/>
      <c r="H58" s="634"/>
      <c r="I58" s="586">
        <v>0</v>
      </c>
      <c r="J58" s="545"/>
    </row>
    <row r="59" spans="1:11" ht="27" customHeight="1" x14ac:dyDescent="0.2">
      <c r="A59" s="640" t="s">
        <v>837</v>
      </c>
      <c r="B59" s="629"/>
      <c r="C59" s="629"/>
      <c r="D59" s="629"/>
      <c r="E59" s="632">
        <v>0</v>
      </c>
      <c r="F59" s="586"/>
      <c r="G59" s="634"/>
      <c r="H59" s="634"/>
      <c r="I59" s="586">
        <v>0</v>
      </c>
      <c r="J59" s="543"/>
    </row>
    <row r="60" spans="1:11" ht="13.5" customHeight="1" x14ac:dyDescent="0.2">
      <c r="A60" s="510" t="s">
        <v>838</v>
      </c>
      <c r="B60" s="629"/>
      <c r="C60" s="629"/>
      <c r="D60" s="629"/>
      <c r="E60" s="629"/>
      <c r="F60" s="586"/>
      <c r="G60" s="634"/>
      <c r="H60" s="634"/>
      <c r="I60" s="586"/>
      <c r="J60" s="543"/>
    </row>
    <row r="61" spans="1:11" ht="13.5" customHeight="1" x14ac:dyDescent="0.2">
      <c r="A61" s="510" t="s">
        <v>839</v>
      </c>
      <c r="B61" s="629"/>
      <c r="C61" s="629"/>
      <c r="D61" s="629"/>
      <c r="E61" s="629"/>
      <c r="F61" s="586"/>
      <c r="G61" s="634"/>
      <c r="H61" s="634"/>
      <c r="I61" s="586"/>
      <c r="J61" s="543"/>
    </row>
    <row r="62" spans="1:11" ht="13.5" customHeight="1" x14ac:dyDescent="0.2">
      <c r="A62" s="510" t="s">
        <v>840</v>
      </c>
      <c r="B62" s="629"/>
      <c r="C62" s="629"/>
      <c r="D62" s="629"/>
      <c r="E62" s="629"/>
      <c r="F62" s="586"/>
      <c r="G62" s="634"/>
      <c r="H62" s="634"/>
      <c r="I62" s="586"/>
      <c r="J62" s="543"/>
    </row>
    <row r="63" spans="1:11" ht="28.5" customHeight="1" x14ac:dyDescent="0.2">
      <c r="A63" s="626" t="s">
        <v>841</v>
      </c>
      <c r="B63" s="633"/>
      <c r="C63" s="642"/>
      <c r="D63" s="629"/>
      <c r="E63" s="629">
        <f>C63*D63/2</f>
        <v>0</v>
      </c>
      <c r="F63" s="507">
        <v>7916</v>
      </c>
      <c r="G63" s="643"/>
      <c r="H63" s="634"/>
      <c r="I63" s="586"/>
      <c r="J63" s="545"/>
    </row>
    <row r="64" spans="1:11" ht="24.95" customHeight="1" x14ac:dyDescent="0.2">
      <c r="A64" s="640" t="s">
        <v>842</v>
      </c>
      <c r="B64" s="629"/>
      <c r="C64" s="633"/>
      <c r="D64" s="629"/>
      <c r="E64" s="629"/>
      <c r="F64" s="586"/>
      <c r="G64" s="512">
        <v>0</v>
      </c>
      <c r="H64" s="634"/>
      <c r="I64" s="586"/>
      <c r="J64" s="545"/>
    </row>
    <row r="65" spans="1:10" ht="24.95" customHeight="1" x14ac:dyDescent="0.2">
      <c r="A65" s="633" t="s">
        <v>843</v>
      </c>
      <c r="B65" s="629"/>
      <c r="C65" s="633"/>
      <c r="D65" s="629"/>
      <c r="E65" s="629"/>
      <c r="F65" s="586"/>
      <c r="G65" s="511">
        <v>1</v>
      </c>
      <c r="H65" s="634"/>
      <c r="I65" s="586"/>
      <c r="J65" s="543"/>
    </row>
    <row r="66" spans="1:10" ht="24.95" customHeight="1" x14ac:dyDescent="0.2">
      <c r="A66" s="510" t="s">
        <v>844</v>
      </c>
      <c r="B66" s="629"/>
      <c r="C66" s="644">
        <v>0.97299999999999998</v>
      </c>
      <c r="D66" s="629">
        <v>3000000</v>
      </c>
      <c r="E66" s="629"/>
      <c r="F66" s="586"/>
      <c r="G66" s="511">
        <v>2</v>
      </c>
      <c r="H66" s="507">
        <v>3000000</v>
      </c>
      <c r="I66" s="506">
        <f>(2*1+0)*3000000</f>
        <v>6000000</v>
      </c>
      <c r="J66" s="543"/>
    </row>
    <row r="67" spans="1:10" ht="13.5" customHeight="1" x14ac:dyDescent="0.2">
      <c r="A67" s="510" t="s">
        <v>845</v>
      </c>
      <c r="B67" s="645"/>
      <c r="C67" s="629">
        <v>80</v>
      </c>
      <c r="D67" s="629">
        <v>55360</v>
      </c>
      <c r="E67" s="629">
        <f>C67*D67</f>
        <v>4428800</v>
      </c>
      <c r="F67" s="586"/>
      <c r="G67" s="507">
        <v>80</v>
      </c>
      <c r="H67" s="507">
        <v>55360</v>
      </c>
      <c r="I67" s="507">
        <f>G67*H67</f>
        <v>4428800</v>
      </c>
      <c r="J67" s="543"/>
    </row>
    <row r="68" spans="1:10" ht="13.5" customHeight="1" x14ac:dyDescent="0.2">
      <c r="A68" s="510" t="s">
        <v>846</v>
      </c>
      <c r="B68" s="645"/>
      <c r="C68" s="629">
        <v>55</v>
      </c>
      <c r="D68" s="629">
        <v>145000</v>
      </c>
      <c r="E68" s="629">
        <f>C68*D68</f>
        <v>7975000</v>
      </c>
      <c r="F68" s="586"/>
      <c r="G68" s="507">
        <v>50</v>
      </c>
      <c r="H68" s="507">
        <v>145000</v>
      </c>
      <c r="I68" s="507">
        <f>G68*H68</f>
        <v>7250000</v>
      </c>
      <c r="J68" s="543"/>
    </row>
    <row r="69" spans="1:10" ht="13.5" customHeight="1" x14ac:dyDescent="0.2">
      <c r="A69" s="640" t="s">
        <v>847</v>
      </c>
      <c r="B69" s="646"/>
      <c r="C69" s="629">
        <v>23</v>
      </c>
      <c r="D69" s="629">
        <v>109000</v>
      </c>
      <c r="E69" s="629">
        <f>C69*D69</f>
        <v>2507000</v>
      </c>
      <c r="F69" s="586"/>
      <c r="G69" s="507">
        <v>23</v>
      </c>
      <c r="H69" s="507">
        <v>109000</v>
      </c>
      <c r="I69" s="507">
        <f>G69*H69</f>
        <v>2507000</v>
      </c>
      <c r="J69" s="543"/>
    </row>
    <row r="70" spans="1:10" ht="15" customHeight="1" x14ac:dyDescent="0.2">
      <c r="A70" s="626" t="s">
        <v>848</v>
      </c>
      <c r="B70" s="646"/>
      <c r="C70" s="629"/>
      <c r="D70" s="629"/>
      <c r="E70" s="629"/>
      <c r="F70" s="586"/>
      <c r="G70" s="634"/>
      <c r="H70" s="634"/>
      <c r="I70" s="586"/>
      <c r="J70" s="543"/>
    </row>
    <row r="71" spans="1:10" ht="13.5" customHeight="1" x14ac:dyDescent="0.2">
      <c r="A71" s="633" t="s">
        <v>849</v>
      </c>
      <c r="B71" s="633"/>
      <c r="C71" s="633"/>
      <c r="D71" s="586"/>
      <c r="E71" s="629"/>
      <c r="F71" s="586"/>
      <c r="G71" s="634"/>
      <c r="H71" s="634"/>
      <c r="I71" s="586"/>
      <c r="J71" s="543"/>
    </row>
    <row r="72" spans="1:10" ht="13.5" customHeight="1" x14ac:dyDescent="0.2">
      <c r="A72" s="510" t="s">
        <v>850</v>
      </c>
      <c r="B72" s="647"/>
      <c r="C72" s="629">
        <v>13</v>
      </c>
      <c r="D72" s="629">
        <v>494100</v>
      </c>
      <c r="E72" s="629">
        <f>C72*D72</f>
        <v>6423300</v>
      </c>
      <c r="F72" s="586"/>
      <c r="G72" s="507">
        <v>15</v>
      </c>
      <c r="H72" s="507">
        <v>494100</v>
      </c>
      <c r="I72" s="507">
        <f>G72*H72</f>
        <v>7411500</v>
      </c>
      <c r="J72" s="543"/>
    </row>
    <row r="73" spans="1:10" ht="13.5" customHeight="1" x14ac:dyDescent="0.2">
      <c r="A73" s="626" t="s">
        <v>851</v>
      </c>
      <c r="B73" s="645"/>
      <c r="C73" s="629"/>
      <c r="D73" s="629"/>
      <c r="E73" s="629"/>
      <c r="F73" s="586"/>
      <c r="G73" s="634"/>
      <c r="H73" s="634"/>
      <c r="I73" s="586"/>
      <c r="J73" s="543"/>
    </row>
    <row r="74" spans="1:10" ht="13.5" customHeight="1" x14ac:dyDescent="0.2">
      <c r="A74" s="626" t="s">
        <v>852</v>
      </c>
      <c r="B74" s="645"/>
      <c r="C74" s="629">
        <v>15</v>
      </c>
      <c r="D74" s="629">
        <v>2606040</v>
      </c>
      <c r="E74" s="629">
        <f>C74*D74</f>
        <v>39090600</v>
      </c>
      <c r="F74" s="586"/>
      <c r="G74" s="507">
        <v>15</v>
      </c>
      <c r="H74" s="507">
        <v>2606040</v>
      </c>
      <c r="I74" s="507">
        <f>G74*H74</f>
        <v>39090600</v>
      </c>
      <c r="J74" s="543"/>
    </row>
    <row r="75" spans="1:10" ht="24.95" customHeight="1" x14ac:dyDescent="0.2">
      <c r="A75" s="510" t="s">
        <v>853</v>
      </c>
      <c r="B75" s="645"/>
      <c r="C75" s="629"/>
      <c r="D75" s="629"/>
      <c r="E75" s="632">
        <v>37834000</v>
      </c>
      <c r="F75" s="586"/>
      <c r="G75" s="634"/>
      <c r="H75" s="634"/>
      <c r="I75" s="506">
        <v>31081000</v>
      </c>
      <c r="J75" s="547"/>
    </row>
    <row r="76" spans="1:10" ht="15" customHeight="1" x14ac:dyDescent="0.2">
      <c r="A76" s="510" t="s">
        <v>854</v>
      </c>
      <c r="B76" s="645"/>
      <c r="C76" s="629"/>
      <c r="D76" s="629"/>
      <c r="E76" s="629"/>
      <c r="F76" s="586"/>
      <c r="G76" s="634"/>
      <c r="H76" s="634"/>
      <c r="I76" s="586"/>
      <c r="J76" s="543"/>
    </row>
    <row r="77" spans="1:10" ht="34.5" customHeight="1" x14ac:dyDescent="0.2">
      <c r="A77" s="510" t="s">
        <v>855</v>
      </c>
      <c r="B77" s="629"/>
      <c r="C77" s="638">
        <v>12.33</v>
      </c>
      <c r="D77" s="629">
        <v>1632000</v>
      </c>
      <c r="E77" s="629">
        <f>C77*D77</f>
        <v>20122560</v>
      </c>
      <c r="F77" s="586"/>
      <c r="G77" s="508">
        <v>13.81</v>
      </c>
      <c r="H77" s="507">
        <v>1632000</v>
      </c>
      <c r="I77" s="507">
        <f>G77*H77</f>
        <v>22537920</v>
      </c>
      <c r="J77" s="548"/>
    </row>
    <row r="78" spans="1:10" ht="13.5" customHeight="1" x14ac:dyDescent="0.2">
      <c r="A78" s="510" t="s">
        <v>856</v>
      </c>
      <c r="B78" s="629"/>
      <c r="C78" s="629"/>
      <c r="D78" s="629"/>
      <c r="E78" s="632">
        <v>7038795</v>
      </c>
      <c r="F78" s="586"/>
      <c r="G78" s="634"/>
      <c r="H78" s="634"/>
      <c r="I78" s="506">
        <v>10352656</v>
      </c>
      <c r="J78" s="549"/>
    </row>
    <row r="79" spans="1:10" ht="13.5" customHeight="1" x14ac:dyDescent="0.2">
      <c r="A79" s="626" t="s">
        <v>857</v>
      </c>
      <c r="B79" s="629"/>
      <c r="C79" s="629"/>
      <c r="D79" s="629"/>
      <c r="E79" s="632"/>
      <c r="F79" s="586"/>
      <c r="G79" s="506">
        <v>280</v>
      </c>
      <c r="H79" s="506">
        <v>285</v>
      </c>
      <c r="I79" s="506">
        <f>G79*H79</f>
        <v>79800</v>
      </c>
      <c r="J79" s="543"/>
    </row>
    <row r="80" spans="1:10" ht="31.5" customHeight="1" x14ac:dyDescent="0.2">
      <c r="A80" s="510" t="s">
        <v>858</v>
      </c>
      <c r="B80" s="629"/>
      <c r="C80" s="629"/>
      <c r="D80" s="629"/>
      <c r="E80" s="632">
        <v>0</v>
      </c>
      <c r="F80" s="586"/>
      <c r="G80" s="634"/>
      <c r="H80" s="634"/>
      <c r="I80" s="506">
        <v>0</v>
      </c>
      <c r="J80" s="543"/>
    </row>
    <row r="81" spans="1:256" ht="28.5" customHeight="1" x14ac:dyDescent="0.2">
      <c r="A81" s="633"/>
      <c r="B81" s="629"/>
      <c r="C81" s="629"/>
      <c r="D81" s="629"/>
      <c r="E81" s="648"/>
      <c r="F81" s="586"/>
      <c r="G81" s="634"/>
      <c r="H81" s="634"/>
      <c r="I81" s="586"/>
      <c r="J81" s="543"/>
      <c r="K81" s="635"/>
    </row>
    <row r="82" spans="1:256" ht="13.5" customHeight="1" x14ac:dyDescent="0.2">
      <c r="A82" s="636" t="s">
        <v>859</v>
      </c>
      <c r="B82" s="629"/>
      <c r="C82" s="629"/>
      <c r="D82" s="629"/>
      <c r="E82" s="648"/>
      <c r="F82" s="586"/>
      <c r="G82" s="634"/>
      <c r="H82" s="634"/>
      <c r="I82" s="586"/>
      <c r="J82" s="543"/>
    </row>
    <row r="83" spans="1:256" ht="13.5" customHeight="1" x14ac:dyDescent="0.2">
      <c r="A83" s="510" t="s">
        <v>860</v>
      </c>
      <c r="B83" s="629"/>
      <c r="C83" s="629"/>
      <c r="D83" s="629"/>
      <c r="E83" s="648"/>
      <c r="F83" s="586"/>
      <c r="G83" s="634"/>
      <c r="H83" s="634"/>
      <c r="I83" s="586"/>
      <c r="J83" s="543"/>
    </row>
    <row r="84" spans="1:256" ht="13.5" customHeight="1" x14ac:dyDescent="0.2">
      <c r="A84" s="510" t="s">
        <v>861</v>
      </c>
      <c r="B84" s="629"/>
      <c r="C84" s="629">
        <v>4865</v>
      </c>
      <c r="D84" s="629">
        <v>1140</v>
      </c>
      <c r="E84" s="649"/>
      <c r="F84" s="586"/>
      <c r="G84" s="507">
        <v>4837</v>
      </c>
      <c r="H84" s="507">
        <v>1140</v>
      </c>
      <c r="I84" s="279">
        <f>G84*H84</f>
        <v>5514180</v>
      </c>
      <c r="J84" s="543"/>
    </row>
    <row r="85" spans="1:256" ht="30" customHeight="1" x14ac:dyDescent="0.2">
      <c r="A85" s="626" t="s">
        <v>862</v>
      </c>
      <c r="B85" s="629"/>
      <c r="C85" s="629"/>
      <c r="D85" s="629"/>
      <c r="E85" s="649"/>
      <c r="F85" s="586"/>
      <c r="G85" s="629"/>
      <c r="H85" s="629"/>
      <c r="I85" s="279">
        <v>0</v>
      </c>
      <c r="J85" s="543"/>
    </row>
    <row r="86" spans="1:256" ht="13.5" customHeight="1" x14ac:dyDescent="0.2">
      <c r="A86" s="640"/>
      <c r="B86" s="645"/>
      <c r="C86" s="629"/>
      <c r="D86" s="643"/>
      <c r="E86" s="629"/>
      <c r="F86" s="586"/>
      <c r="G86" s="634"/>
      <c r="H86" s="634"/>
      <c r="I86" s="586"/>
      <c r="J86" s="543"/>
      <c r="K86" s="635"/>
    </row>
    <row r="87" spans="1:256" ht="25.5" customHeight="1" x14ac:dyDescent="0.2">
      <c r="A87" s="650" t="s">
        <v>863</v>
      </c>
      <c r="B87" s="645"/>
      <c r="C87" s="651"/>
      <c r="D87" s="629"/>
      <c r="E87" s="632"/>
      <c r="F87" s="645"/>
      <c r="G87" s="634"/>
      <c r="H87" s="634"/>
      <c r="I87" s="586"/>
      <c r="J87" s="543"/>
      <c r="K87" s="635"/>
      <c r="L87" s="635"/>
      <c r="N87" s="278"/>
    </row>
    <row r="88" spans="1:256" ht="13.5" customHeight="1" thickBot="1" x14ac:dyDescent="0.25">
      <c r="A88" s="652"/>
      <c r="B88" s="653"/>
      <c r="C88" s="654"/>
      <c r="D88" s="655"/>
      <c r="E88" s="654"/>
      <c r="F88" s="656"/>
      <c r="G88" s="657"/>
      <c r="H88" s="657"/>
      <c r="I88" s="656"/>
      <c r="J88" s="543"/>
    </row>
    <row r="89" spans="1:256" ht="11.25" customHeight="1" thickBot="1" x14ac:dyDescent="0.25">
      <c r="A89" s="658" t="s">
        <v>864</v>
      </c>
      <c r="B89" s="659"/>
      <c r="C89" s="659"/>
      <c r="D89" s="660"/>
      <c r="E89" s="661">
        <f>E12+E14+E17+E20+E23+E28+E31+E34+E39+E40+E41+E42+E44+E49+E51+E54+E58+E59+E63+E64+E67+E68+E69+E72+E74+E75+E77+E78</f>
        <v>987821085</v>
      </c>
      <c r="F89" s="1855">
        <f>I12+I16+I19+I22+I25+I28+I31+I34+I35+I39+I40+I41+I42+I44+I49+I50+I51+I52+I54+I58+I59+I66+I67+I68+I69+I72+I74+I75+I77+I78+I79+I80+I84+I45+I46+I43+I55</f>
        <v>992732374</v>
      </c>
      <c r="G89" s="1855"/>
      <c r="H89" s="1855"/>
      <c r="I89" s="1856"/>
      <c r="J89" s="7"/>
      <c r="K89" s="662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86"/>
      <c r="B91" s="186"/>
      <c r="C91" s="186"/>
      <c r="D91" s="186"/>
      <c r="E91" s="190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40"/>
  <sheetViews>
    <sheetView workbookViewId="0">
      <selection sqref="A1:M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0" customWidth="1"/>
    <col min="6" max="6" width="15.140625" style="3" customWidth="1"/>
    <col min="7" max="7" width="0" style="240" hidden="1" customWidth="1"/>
    <col min="8" max="8" width="0" style="289" hidden="1" customWidth="1"/>
    <col min="9" max="9" width="10.28515625" style="240" hidden="1" customWidth="1"/>
    <col min="10" max="16384" width="9.140625" style="4"/>
  </cols>
  <sheetData>
    <row r="1" spans="1:13" ht="11.25" customHeight="1" x14ac:dyDescent="0.2">
      <c r="A1" s="1884" t="s">
        <v>2064</v>
      </c>
      <c r="B1" s="1884"/>
      <c r="C1" s="1884"/>
      <c r="D1" s="1884"/>
      <c r="E1" s="1884"/>
      <c r="F1" s="1884"/>
      <c r="G1" s="1884"/>
      <c r="H1" s="1884"/>
      <c r="I1" s="1884"/>
      <c r="J1" s="1884"/>
      <c r="K1" s="1884"/>
      <c r="L1" s="1884"/>
      <c r="M1" s="1884"/>
    </row>
    <row r="3" spans="1:13" ht="15" customHeight="1" x14ac:dyDescent="0.2">
      <c r="B3" s="1878" t="s">
        <v>77</v>
      </c>
      <c r="C3" s="1878"/>
      <c r="D3" s="1878"/>
      <c r="E3" s="1878"/>
      <c r="F3" s="1878"/>
      <c r="G3" s="1878"/>
      <c r="H3" s="1878"/>
      <c r="I3" s="1878"/>
      <c r="J3" s="1878"/>
      <c r="K3" s="1878"/>
      <c r="L3" s="1878"/>
      <c r="M3" s="1878"/>
    </row>
    <row r="4" spans="1:13" ht="15" customHeight="1" x14ac:dyDescent="0.2">
      <c r="B4" s="1878" t="s">
        <v>1359</v>
      </c>
      <c r="C4" s="1878"/>
      <c r="D4" s="1878"/>
      <c r="E4" s="1878"/>
      <c r="F4" s="1878"/>
      <c r="G4" s="1878"/>
      <c r="H4" s="1878"/>
      <c r="I4" s="1878"/>
      <c r="J4" s="1878"/>
      <c r="K4" s="1878"/>
      <c r="L4" s="1878"/>
      <c r="M4" s="1878"/>
    </row>
    <row r="5" spans="1:13" ht="15" customHeight="1" x14ac:dyDescent="0.2">
      <c r="B5" s="1885" t="s">
        <v>1116</v>
      </c>
      <c r="C5" s="1885"/>
      <c r="D5" s="1885"/>
      <c r="E5" s="1885"/>
      <c r="F5" s="1885"/>
      <c r="G5" s="1885"/>
      <c r="H5" s="1885"/>
      <c r="I5" s="1885"/>
      <c r="J5" s="1885"/>
      <c r="K5" s="1885"/>
      <c r="L5" s="1885"/>
      <c r="M5" s="1885"/>
    </row>
    <row r="6" spans="1:13" ht="15" customHeight="1" x14ac:dyDescent="0.2">
      <c r="B6" s="1878"/>
      <c r="C6" s="1878"/>
      <c r="D6" s="1878"/>
      <c r="E6" s="1878"/>
    </row>
    <row r="7" spans="1:13" ht="15" customHeight="1" x14ac:dyDescent="0.2">
      <c r="B7" s="1883" t="s">
        <v>302</v>
      </c>
      <c r="C7" s="1883"/>
      <c r="D7" s="1883"/>
      <c r="E7" s="1883"/>
      <c r="F7" s="1883"/>
      <c r="G7" s="1883"/>
      <c r="H7" s="1883"/>
      <c r="I7" s="1883"/>
      <c r="J7" s="1883"/>
      <c r="K7" s="1883"/>
      <c r="L7" s="1883"/>
      <c r="M7" s="1883"/>
    </row>
    <row r="8" spans="1:13" ht="48.75" customHeight="1" x14ac:dyDescent="0.2">
      <c r="B8" s="224" t="s">
        <v>85</v>
      </c>
      <c r="C8" s="150" t="s">
        <v>1118</v>
      </c>
      <c r="D8" s="1877" t="s">
        <v>1117</v>
      </c>
      <c r="E8" s="1877"/>
      <c r="F8" s="1877"/>
      <c r="G8" s="1877" t="s">
        <v>561</v>
      </c>
      <c r="H8" s="1877"/>
      <c r="I8" s="1879"/>
      <c r="J8" s="1880" t="s">
        <v>1355</v>
      </c>
      <c r="K8" s="1880"/>
      <c r="L8" s="1880"/>
      <c r="M8" s="1881" t="s">
        <v>1357</v>
      </c>
    </row>
    <row r="9" spans="1:13" ht="35.450000000000003" customHeight="1" x14ac:dyDescent="0.2">
      <c r="B9" s="225"/>
      <c r="C9" s="31"/>
      <c r="D9" s="151" t="s">
        <v>62</v>
      </c>
      <c r="E9" s="226" t="s">
        <v>63</v>
      </c>
      <c r="F9" s="226" t="s">
        <v>1358</v>
      </c>
      <c r="G9" s="4"/>
      <c r="H9" s="4"/>
      <c r="I9" s="4"/>
      <c r="J9" s="1223" t="s">
        <v>62</v>
      </c>
      <c r="K9" s="1232" t="s">
        <v>63</v>
      </c>
      <c r="L9" s="1232" t="s">
        <v>1032</v>
      </c>
      <c r="M9" s="1882"/>
    </row>
    <row r="10" spans="1:13" ht="15.95" customHeight="1" x14ac:dyDescent="0.2">
      <c r="B10" s="227" t="s">
        <v>573</v>
      </c>
      <c r="C10" s="228"/>
      <c r="D10" s="229"/>
      <c r="E10" s="230"/>
      <c r="F10" s="441"/>
      <c r="G10" s="4"/>
      <c r="H10" s="4"/>
      <c r="I10" s="4"/>
      <c r="J10" s="556"/>
      <c r="L10" s="896"/>
      <c r="M10" s="1241"/>
    </row>
    <row r="11" spans="1:13" ht="36" customHeight="1" x14ac:dyDescent="0.2">
      <c r="B11" s="979" t="s">
        <v>574</v>
      </c>
      <c r="C11" s="980" t="s">
        <v>558</v>
      </c>
      <c r="D11" s="981">
        <v>134990</v>
      </c>
      <c r="E11" s="982">
        <v>98610</v>
      </c>
      <c r="F11" s="983">
        <f>SUM(D11:E11)</f>
        <v>233600</v>
      </c>
      <c r="G11" s="4"/>
      <c r="H11" s="4"/>
      <c r="I11" s="4"/>
      <c r="J11" s="981">
        <v>135002</v>
      </c>
      <c r="K11" s="1234">
        <v>98618</v>
      </c>
      <c r="L11" s="983">
        <f>J11+K11</f>
        <v>233620</v>
      </c>
      <c r="M11" s="1242">
        <f>L11/F11*100</f>
        <v>100.00856164383562</v>
      </c>
    </row>
    <row r="12" spans="1:13" ht="23.25" customHeight="1" x14ac:dyDescent="0.2">
      <c r="B12" s="979" t="s">
        <v>575</v>
      </c>
      <c r="C12" s="979" t="s">
        <v>1119</v>
      </c>
      <c r="D12" s="984">
        <v>150934</v>
      </c>
      <c r="E12" s="982">
        <v>477966</v>
      </c>
      <c r="F12" s="983">
        <f>SUM(D12:E12)</f>
        <v>628900</v>
      </c>
      <c r="G12" s="4"/>
      <c r="H12" s="4"/>
      <c r="I12" s="4"/>
      <c r="J12" s="981">
        <v>150950</v>
      </c>
      <c r="K12" s="1234">
        <v>478016</v>
      </c>
      <c r="L12" s="983">
        <f t="shared" ref="L12:L30" si="0">J12+K12</f>
        <v>628966</v>
      </c>
      <c r="M12" s="1242">
        <f t="shared" ref="M12:M31" si="1">L12/F12*100</f>
        <v>100.01049451423121</v>
      </c>
    </row>
    <row r="13" spans="1:13" ht="22.5" customHeight="1" x14ac:dyDescent="0.2">
      <c r="B13" s="979" t="s">
        <v>576</v>
      </c>
      <c r="C13" s="985" t="s">
        <v>577</v>
      </c>
      <c r="D13" s="984">
        <v>218716</v>
      </c>
      <c r="E13" s="982">
        <v>299684</v>
      </c>
      <c r="F13" s="983">
        <f>SUM(D13:E13)</f>
        <v>518400</v>
      </c>
      <c r="G13" s="4"/>
      <c r="H13" s="4"/>
      <c r="I13" s="4"/>
      <c r="J13" s="981">
        <v>218754</v>
      </c>
      <c r="K13" s="1234">
        <v>299736</v>
      </c>
      <c r="L13" s="983">
        <f t="shared" si="0"/>
        <v>518490</v>
      </c>
      <c r="M13" s="1242">
        <f t="shared" si="1"/>
        <v>100.0173611111111</v>
      </c>
    </row>
    <row r="14" spans="1:13" ht="23.25" customHeight="1" x14ac:dyDescent="0.2">
      <c r="B14" s="986" t="s">
        <v>578</v>
      </c>
      <c r="C14" s="985"/>
      <c r="D14" s="987">
        <f>SUM(D11:D13)</f>
        <v>504640</v>
      </c>
      <c r="E14" s="988">
        <f>SUM(E11:E13)</f>
        <v>876260</v>
      </c>
      <c r="F14" s="989">
        <f>SUM(D14:E14)</f>
        <v>1380900</v>
      </c>
      <c r="G14" s="4"/>
      <c r="H14" s="4"/>
      <c r="I14" s="4"/>
      <c r="J14" s="988">
        <f>SUM(J11:J13)</f>
        <v>504706</v>
      </c>
      <c r="K14" s="988">
        <f>SUM(K11:K13)</f>
        <v>876370</v>
      </c>
      <c r="L14" s="989">
        <f t="shared" si="0"/>
        <v>1381076</v>
      </c>
      <c r="M14" s="1243">
        <f t="shared" si="1"/>
        <v>100.01274531102904</v>
      </c>
    </row>
    <row r="15" spans="1:13" ht="15.95" customHeight="1" x14ac:dyDescent="0.2">
      <c r="C15" s="232"/>
      <c r="D15" s="318"/>
      <c r="E15" s="258"/>
      <c r="F15" s="442"/>
      <c r="G15" s="4"/>
      <c r="H15" s="4"/>
      <c r="I15" s="4"/>
      <c r="J15" s="981"/>
      <c r="K15" s="1234"/>
      <c r="L15" s="983"/>
      <c r="M15" s="1242"/>
    </row>
    <row r="16" spans="1:13" s="300" customFormat="1" ht="17.25" customHeight="1" x14ac:dyDescent="0.2">
      <c r="B16" s="530" t="s">
        <v>579</v>
      </c>
      <c r="C16" s="531"/>
      <c r="D16" s="987">
        <v>2076</v>
      </c>
      <c r="E16" s="988"/>
      <c r="F16" s="989">
        <f>D16+E16</f>
        <v>2076</v>
      </c>
      <c r="J16" s="1505">
        <v>2076</v>
      </c>
      <c r="K16" s="1479"/>
      <c r="L16" s="989">
        <f t="shared" si="0"/>
        <v>2076</v>
      </c>
      <c r="M16" s="1243">
        <f t="shared" si="1"/>
        <v>100</v>
      </c>
    </row>
    <row r="17" spans="1:19" ht="15.95" customHeight="1" x14ac:dyDescent="0.2">
      <c r="B17" s="228"/>
      <c r="C17" s="234"/>
      <c r="D17" s="318"/>
      <c r="E17" s="258"/>
      <c r="F17" s="442"/>
      <c r="G17" s="4"/>
      <c r="H17" s="4"/>
      <c r="I17" s="4"/>
      <c r="J17" s="981"/>
      <c r="K17" s="1234"/>
      <c r="L17" s="983"/>
      <c r="M17" s="1242"/>
    </row>
    <row r="18" spans="1:19" ht="15.95" customHeight="1" x14ac:dyDescent="0.2">
      <c r="B18" s="1876" t="s">
        <v>580</v>
      </c>
      <c r="C18" s="1876"/>
      <c r="D18" s="318"/>
      <c r="E18" s="258"/>
      <c r="F18" s="442"/>
      <c r="G18" s="4"/>
      <c r="H18" s="4"/>
      <c r="I18" s="4"/>
      <c r="J18" s="981"/>
      <c r="K18" s="1234"/>
      <c r="L18" s="983"/>
      <c r="M18" s="1242"/>
    </row>
    <row r="19" spans="1:19" ht="15.95" customHeight="1" x14ac:dyDescent="0.2">
      <c r="C19" s="232"/>
      <c r="D19" s="318"/>
      <c r="E19" s="258"/>
      <c r="F19" s="442"/>
      <c r="G19" s="4"/>
      <c r="H19" s="4"/>
      <c r="I19" s="4"/>
      <c r="J19" s="981"/>
      <c r="K19" s="1234"/>
      <c r="L19" s="983"/>
      <c r="M19" s="1242"/>
    </row>
    <row r="20" spans="1:19" ht="78.75" customHeight="1" x14ac:dyDescent="0.2">
      <c r="B20" s="236" t="s">
        <v>581</v>
      </c>
      <c r="C20" s="237" t="s">
        <v>582</v>
      </c>
      <c r="D20" s="984">
        <v>19000</v>
      </c>
      <c r="E20" s="982"/>
      <c r="F20" s="983">
        <f t="shared" ref="F20:F30" si="2">SUM(D20:E20)</f>
        <v>19000</v>
      </c>
      <c r="G20" s="1233"/>
      <c r="H20" s="1233"/>
      <c r="I20" s="1233"/>
      <c r="J20" s="981">
        <v>19027</v>
      </c>
      <c r="K20" s="1234"/>
      <c r="L20" s="983">
        <f t="shared" si="0"/>
        <v>19027</v>
      </c>
      <c r="M20" s="1242">
        <f t="shared" si="1"/>
        <v>100.1421052631579</v>
      </c>
    </row>
    <row r="21" spans="1:19" ht="15.95" customHeight="1" x14ac:dyDescent="0.2">
      <c r="A21" s="4"/>
      <c r="B21" s="228" t="s">
        <v>583</v>
      </c>
      <c r="C21" s="234"/>
      <c r="D21" s="987">
        <f>SUM(D19:D20)</f>
        <v>19000</v>
      </c>
      <c r="E21" s="988"/>
      <c r="F21" s="989">
        <f t="shared" si="2"/>
        <v>19000</v>
      </c>
      <c r="G21" s="4"/>
      <c r="H21" s="4"/>
      <c r="I21" s="4"/>
      <c r="J21" s="987">
        <f>SUM(J19:J20)</f>
        <v>19027</v>
      </c>
      <c r="K21" s="988">
        <f>SUM(K19:K20)</f>
        <v>0</v>
      </c>
      <c r="L21" s="989">
        <f>SUM(L19:L20)</f>
        <v>19027</v>
      </c>
      <c r="M21" s="1243">
        <f t="shared" si="1"/>
        <v>100.1421052631579</v>
      </c>
      <c r="S21" s="1240"/>
    </row>
    <row r="22" spans="1:19" ht="15.95" customHeight="1" x14ac:dyDescent="0.2">
      <c r="A22" s="4"/>
      <c r="B22" s="228"/>
      <c r="C22" s="234"/>
      <c r="D22" s="318"/>
      <c r="E22" s="258"/>
      <c r="F22" s="442"/>
      <c r="G22" s="4"/>
      <c r="H22" s="4"/>
      <c r="I22" s="4"/>
      <c r="J22" s="981"/>
      <c r="K22" s="982"/>
      <c r="L22" s="983">
        <f t="shared" si="0"/>
        <v>0</v>
      </c>
      <c r="M22" s="1242"/>
    </row>
    <row r="23" spans="1:19" ht="15.95" customHeight="1" x14ac:dyDescent="0.2">
      <c r="A23" s="4"/>
      <c r="B23" s="227" t="s">
        <v>584</v>
      </c>
      <c r="C23" s="234"/>
      <c r="D23" s="318"/>
      <c r="E23" s="258"/>
      <c r="F23" s="442"/>
      <c r="G23" s="4"/>
      <c r="H23" s="4"/>
      <c r="I23" s="4"/>
      <c r="J23" s="981"/>
      <c r="K23" s="1234"/>
      <c r="L23" s="983">
        <f t="shared" si="0"/>
        <v>0</v>
      </c>
      <c r="M23" s="1242"/>
    </row>
    <row r="24" spans="1:19" ht="15.95" customHeight="1" x14ac:dyDescent="0.2">
      <c r="A24" s="4"/>
      <c r="B24" s="3" t="s">
        <v>585</v>
      </c>
      <c r="C24" s="234"/>
      <c r="D24" s="984"/>
      <c r="E24" s="982"/>
      <c r="F24" s="983">
        <f t="shared" si="2"/>
        <v>0</v>
      </c>
      <c r="G24" s="4"/>
      <c r="H24" s="4"/>
      <c r="I24" s="4"/>
      <c r="J24" s="981"/>
      <c r="K24" s="1234"/>
      <c r="L24" s="983">
        <f t="shared" si="0"/>
        <v>0</v>
      </c>
      <c r="M24" s="1242"/>
    </row>
    <row r="25" spans="1:19" s="300" customFormat="1" ht="15.95" customHeight="1" x14ac:dyDescent="0.2">
      <c r="B25" s="4" t="s">
        <v>105</v>
      </c>
      <c r="C25" s="317"/>
      <c r="D25" s="984">
        <v>0</v>
      </c>
      <c r="E25" s="982"/>
      <c r="F25" s="983">
        <f t="shared" si="2"/>
        <v>0</v>
      </c>
      <c r="G25" s="4"/>
      <c r="J25" s="1236"/>
      <c r="K25" s="1237"/>
      <c r="L25" s="983">
        <f t="shared" si="0"/>
        <v>0</v>
      </c>
      <c r="M25" s="1242"/>
    </row>
    <row r="26" spans="1:19" s="300" customFormat="1" ht="15.95" customHeight="1" x14ac:dyDescent="0.2">
      <c r="B26" s="4" t="s">
        <v>546</v>
      </c>
      <c r="C26" s="317"/>
      <c r="D26" s="984">
        <v>1500</v>
      </c>
      <c r="E26" s="982"/>
      <c r="F26" s="983">
        <f>SUM(D26:E26)</f>
        <v>1500</v>
      </c>
      <c r="G26" s="4"/>
      <c r="J26" s="981">
        <v>1487</v>
      </c>
      <c r="K26" s="1237"/>
      <c r="L26" s="983">
        <f t="shared" si="0"/>
        <v>1487</v>
      </c>
      <c r="M26" s="1242">
        <f t="shared" si="1"/>
        <v>99.133333333333326</v>
      </c>
    </row>
    <row r="27" spans="1:19" ht="15.95" customHeight="1" x14ac:dyDescent="0.2">
      <c r="A27" s="4"/>
      <c r="B27" s="3" t="s">
        <v>586</v>
      </c>
      <c r="C27" s="234"/>
      <c r="D27" s="984">
        <v>8</v>
      </c>
      <c r="E27" s="982"/>
      <c r="F27" s="983">
        <f t="shared" si="2"/>
        <v>8</v>
      </c>
      <c r="G27" s="4"/>
      <c r="H27" s="4"/>
      <c r="I27" s="4"/>
      <c r="J27" s="1235">
        <v>7</v>
      </c>
      <c r="K27" s="1234"/>
      <c r="L27" s="983">
        <f t="shared" si="0"/>
        <v>7</v>
      </c>
      <c r="M27" s="1242">
        <f t="shared" si="1"/>
        <v>87.5</v>
      </c>
      <c r="N27" s="1480"/>
    </row>
    <row r="28" spans="1:19" ht="15.95" customHeight="1" x14ac:dyDescent="0.2">
      <c r="A28" s="4"/>
      <c r="B28" s="3" t="s">
        <v>587</v>
      </c>
      <c r="C28" s="234"/>
      <c r="D28" s="984"/>
      <c r="E28" s="982"/>
      <c r="F28" s="983">
        <f t="shared" si="2"/>
        <v>0</v>
      </c>
      <c r="G28" s="4"/>
      <c r="H28" s="4"/>
      <c r="I28" s="4"/>
      <c r="J28" s="981"/>
      <c r="K28" s="1234"/>
      <c r="L28" s="983">
        <f t="shared" si="0"/>
        <v>0</v>
      </c>
      <c r="M28" s="1242"/>
    </row>
    <row r="29" spans="1:19" ht="15.95" customHeight="1" x14ac:dyDescent="0.2">
      <c r="A29" s="4"/>
      <c r="B29" s="228" t="s">
        <v>588</v>
      </c>
      <c r="C29" s="234"/>
      <c r="D29" s="987">
        <f>SUM(D24:D28)</f>
        <v>1508</v>
      </c>
      <c r="E29" s="988">
        <f>SUM(E24:E28)</f>
        <v>0</v>
      </c>
      <c r="F29" s="989">
        <f t="shared" si="2"/>
        <v>1508</v>
      </c>
      <c r="G29" s="4"/>
      <c r="H29" s="4"/>
      <c r="I29" s="4"/>
      <c r="J29" s="987">
        <f>SUM(J24:J28)</f>
        <v>1494</v>
      </c>
      <c r="K29" s="988">
        <f t="shared" ref="K29:L29" si="3">SUM(K24:K28)</f>
        <v>0</v>
      </c>
      <c r="L29" s="989">
        <f t="shared" si="3"/>
        <v>1494</v>
      </c>
      <c r="M29" s="1242">
        <f t="shared" si="1"/>
        <v>99.071618037135281</v>
      </c>
      <c r="S29" s="1240"/>
    </row>
    <row r="30" spans="1:19" ht="15.95" customHeight="1" x14ac:dyDescent="0.2">
      <c r="A30" s="4"/>
      <c r="B30" s="228"/>
      <c r="C30" s="234"/>
      <c r="D30" s="984"/>
      <c r="E30" s="982"/>
      <c r="F30" s="1238">
        <f t="shared" si="2"/>
        <v>0</v>
      </c>
      <c r="G30" s="4"/>
      <c r="H30" s="4"/>
      <c r="I30" s="4"/>
      <c r="J30" s="981"/>
      <c r="K30" s="1234"/>
      <c r="L30" s="1238">
        <f t="shared" si="0"/>
        <v>0</v>
      </c>
      <c r="M30" s="1244"/>
    </row>
    <row r="31" spans="1:19" ht="15.95" customHeight="1" x14ac:dyDescent="0.2">
      <c r="A31" s="4"/>
      <c r="B31" s="238" t="s">
        <v>589</v>
      </c>
      <c r="C31" s="239"/>
      <c r="D31" s="1239">
        <f>D14+D16+D21+D29</f>
        <v>527224</v>
      </c>
      <c r="E31" s="1239">
        <f>E14+E16+E21+E29</f>
        <v>876260</v>
      </c>
      <c r="F31" s="1239">
        <f>SUM(D31:E31)</f>
        <v>1403484</v>
      </c>
      <c r="G31" s="4"/>
      <c r="H31" s="4"/>
      <c r="I31" s="4"/>
      <c r="J31" s="1239">
        <f>J14+J16+J21+J29</f>
        <v>527303</v>
      </c>
      <c r="K31" s="1239">
        <f t="shared" ref="K31:L31" si="4">K14+K16+K21+K29</f>
        <v>876370</v>
      </c>
      <c r="L31" s="1239">
        <f t="shared" si="4"/>
        <v>1403673</v>
      </c>
      <c r="M31" s="1245">
        <f t="shared" si="1"/>
        <v>100.0134664876835</v>
      </c>
      <c r="N31" s="556"/>
      <c r="P31" s="1240"/>
      <c r="Q31" s="1240"/>
    </row>
    <row r="32" spans="1:19" ht="15.95" customHeight="1" x14ac:dyDescent="0.2">
      <c r="A32" s="4"/>
      <c r="G32" s="4"/>
      <c r="H32" s="4"/>
      <c r="I32" s="4"/>
      <c r="M32" s="1234"/>
      <c r="R32" s="1240"/>
    </row>
    <row r="33" spans="1:18" x14ac:dyDescent="0.2">
      <c r="A33" s="4"/>
      <c r="B33" s="4"/>
      <c r="C33" s="4"/>
      <c r="D33" s="4"/>
      <c r="E33" s="4"/>
      <c r="F33" s="4"/>
      <c r="G33" s="4"/>
      <c r="H33" s="4"/>
      <c r="I33" s="4"/>
      <c r="M33" s="1234"/>
      <c r="R33" s="1240"/>
    </row>
    <row r="34" spans="1:18" x14ac:dyDescent="0.2">
      <c r="A34" s="4"/>
      <c r="B34" s="4"/>
      <c r="C34" s="4"/>
      <c r="D34" s="4"/>
      <c r="E34" s="4"/>
      <c r="F34" s="4"/>
      <c r="G34" s="4"/>
      <c r="H34" s="4"/>
      <c r="I34" s="4"/>
      <c r="M34" s="1234"/>
    </row>
    <row r="35" spans="1:18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8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8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8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18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18" x14ac:dyDescent="0.2">
      <c r="A40" s="4"/>
      <c r="B40" s="4"/>
      <c r="C40" s="4"/>
      <c r="D40" s="4"/>
      <c r="E40" s="4"/>
      <c r="F40" s="4"/>
      <c r="G40" s="4"/>
      <c r="H40" s="4"/>
      <c r="I40" s="4"/>
    </row>
  </sheetData>
  <sheetProtection selectLockedCells="1" selectUnlockedCells="1"/>
  <mergeCells count="11">
    <mergeCell ref="M8:M9"/>
    <mergeCell ref="B7:M7"/>
    <mergeCell ref="A1:M1"/>
    <mergeCell ref="B4:M4"/>
    <mergeCell ref="B3:M3"/>
    <mergeCell ref="B5:M5"/>
    <mergeCell ref="B18:C18"/>
    <mergeCell ref="D8:F8"/>
    <mergeCell ref="B6:E6"/>
    <mergeCell ref="G8:I8"/>
    <mergeCell ref="J8:L8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scale="81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86"/>
  <sheetViews>
    <sheetView topLeftCell="B1" zoomScaleNormal="100" workbookViewId="0">
      <selection activeCell="B1" sqref="B1:I1"/>
    </sheetView>
  </sheetViews>
  <sheetFormatPr defaultColWidth="9.140625" defaultRowHeight="11.25" x14ac:dyDescent="0.2"/>
  <cols>
    <col min="1" max="1" width="4.85546875" style="159" customWidth="1"/>
    <col min="2" max="2" width="57.5703125" style="191" customWidth="1"/>
    <col min="3" max="3" width="8.7109375" style="153" customWidth="1"/>
    <col min="4" max="4" width="9.5703125" style="153" customWidth="1"/>
    <col min="5" max="5" width="8.28515625" style="153" customWidth="1"/>
    <col min="6" max="8" width="9.140625" style="8"/>
    <col min="9" max="9" width="6.5703125" style="8" customWidth="1"/>
    <col min="10" max="16384" width="9.140625" style="8"/>
  </cols>
  <sheetData>
    <row r="1" spans="1:10" x14ac:dyDescent="0.2">
      <c r="B1" s="1886" t="s">
        <v>2065</v>
      </c>
      <c r="C1" s="1886"/>
      <c r="D1" s="1886"/>
      <c r="E1" s="1886"/>
      <c r="F1" s="1886"/>
      <c r="G1" s="1886"/>
      <c r="H1" s="1886"/>
      <c r="I1" s="1886"/>
    </row>
    <row r="2" spans="1:10" x14ac:dyDescent="0.2">
      <c r="B2" s="192"/>
    </row>
    <row r="3" spans="1:10" x14ac:dyDescent="0.2">
      <c r="A3" s="1891" t="s">
        <v>54</v>
      </c>
      <c r="B3" s="1891"/>
      <c r="C3" s="1891"/>
      <c r="D3" s="1891"/>
      <c r="E3" s="1891"/>
      <c r="F3" s="1891"/>
      <c r="G3" s="1891"/>
      <c r="H3" s="1891"/>
      <c r="I3" s="1891"/>
    </row>
    <row r="4" spans="1:10" ht="11.25" customHeight="1" x14ac:dyDescent="0.2">
      <c r="A4" s="1891" t="s">
        <v>1359</v>
      </c>
      <c r="B4" s="1891"/>
      <c r="C4" s="1891"/>
      <c r="D4" s="1891"/>
      <c r="E4" s="1891"/>
      <c r="F4" s="1891"/>
      <c r="G4" s="1891"/>
      <c r="H4" s="1891"/>
      <c r="I4" s="1891"/>
    </row>
    <row r="5" spans="1:10" x14ac:dyDescent="0.2">
      <c r="A5" s="1891" t="s">
        <v>1085</v>
      </c>
      <c r="B5" s="1891"/>
      <c r="C5" s="1891"/>
      <c r="D5" s="1891"/>
      <c r="E5" s="1891"/>
      <c r="F5" s="1891"/>
      <c r="G5" s="1891"/>
      <c r="H5" s="1891"/>
      <c r="I5" s="1891"/>
    </row>
    <row r="6" spans="1:10" ht="12.75" customHeight="1" x14ac:dyDescent="0.2">
      <c r="B6" s="1890" t="s">
        <v>302</v>
      </c>
      <c r="C6" s="1890"/>
      <c r="D6" s="1890"/>
      <c r="E6" s="1890"/>
      <c r="F6" s="1890"/>
      <c r="G6" s="1890"/>
      <c r="H6" s="1890"/>
      <c r="I6" s="1890"/>
    </row>
    <row r="7" spans="1:10" ht="24" customHeight="1" x14ac:dyDescent="0.2">
      <c r="A7" s="1896" t="s">
        <v>76</v>
      </c>
      <c r="B7" s="1892" t="s">
        <v>85</v>
      </c>
      <c r="C7" s="1894" t="s">
        <v>1110</v>
      </c>
      <c r="D7" s="1894"/>
      <c r="E7" s="1895"/>
      <c r="F7" s="1887" t="s">
        <v>1355</v>
      </c>
      <c r="G7" s="1887"/>
      <c r="H7" s="1887"/>
      <c r="I7" s="1888" t="s">
        <v>1357</v>
      </c>
    </row>
    <row r="8" spans="1:10" ht="21" x14ac:dyDescent="0.2">
      <c r="A8" s="1896"/>
      <c r="B8" s="1893"/>
      <c r="C8" s="783" t="s">
        <v>62</v>
      </c>
      <c r="D8" s="783" t="s">
        <v>63</v>
      </c>
      <c r="E8" s="1246" t="s">
        <v>64</v>
      </c>
      <c r="F8" s="1247" t="s">
        <v>62</v>
      </c>
      <c r="G8" s="1247" t="s">
        <v>63</v>
      </c>
      <c r="H8" s="1247" t="s">
        <v>64</v>
      </c>
      <c r="I8" s="1889"/>
      <c r="J8" s="550"/>
    </row>
    <row r="9" spans="1:10" x14ac:dyDescent="0.2">
      <c r="A9" s="721" t="s">
        <v>478</v>
      </c>
      <c r="B9" s="786" t="s">
        <v>86</v>
      </c>
      <c r="C9" s="164"/>
      <c r="D9" s="164"/>
      <c r="E9" s="784"/>
      <c r="F9" s="281"/>
      <c r="G9" s="10"/>
      <c r="H9" s="1251"/>
      <c r="I9" s="10"/>
      <c r="J9" s="550"/>
    </row>
    <row r="10" spans="1:10" ht="12" thickBot="1" x14ac:dyDescent="0.25">
      <c r="A10" s="721" t="s">
        <v>486</v>
      </c>
      <c r="B10" s="193" t="s">
        <v>87</v>
      </c>
      <c r="C10" s="282"/>
      <c r="D10" s="164"/>
      <c r="E10" s="419">
        <f>SUM(C10:D10)</f>
        <v>0</v>
      </c>
      <c r="F10" s="282"/>
      <c r="G10" s="280"/>
      <c r="H10" s="437"/>
      <c r="I10" s="280"/>
      <c r="J10" s="550"/>
    </row>
    <row r="11" spans="1:10" s="9" customFormat="1" ht="12" thickBot="1" x14ac:dyDescent="0.25">
      <c r="A11" s="846" t="s">
        <v>487</v>
      </c>
      <c r="B11" s="948" t="s">
        <v>163</v>
      </c>
      <c r="C11" s="949">
        <f>C12+C13+C14+C15</f>
        <v>809771</v>
      </c>
      <c r="D11" s="949">
        <f t="shared" ref="D11:E11" si="0">D12+D13+D14+D15</f>
        <v>127978</v>
      </c>
      <c r="E11" s="518">
        <f t="shared" si="0"/>
        <v>937749</v>
      </c>
      <c r="F11" s="1252">
        <v>809771</v>
      </c>
      <c r="G11" s="849">
        <v>127978</v>
      </c>
      <c r="H11" s="1197">
        <f>F11+G11</f>
        <v>937749</v>
      </c>
      <c r="I11" s="1254">
        <f>H11/E11*100</f>
        <v>100</v>
      </c>
      <c r="J11" s="713"/>
    </row>
    <row r="12" spans="1:10" s="9" customFormat="1" x14ac:dyDescent="0.2">
      <c r="A12" s="721" t="s">
        <v>488</v>
      </c>
      <c r="B12" s="195" t="s">
        <v>160</v>
      </c>
      <c r="C12" s="680">
        <v>608538</v>
      </c>
      <c r="D12" s="680"/>
      <c r="E12" s="1122">
        <f t="shared" ref="E12:E15" si="1">C12+D12</f>
        <v>608538</v>
      </c>
      <c r="F12" s="282">
        <v>608538</v>
      </c>
      <c r="G12" s="184"/>
      <c r="H12" s="437">
        <f t="shared" ref="H12:H75" si="2">F12+G12</f>
        <v>608538</v>
      </c>
      <c r="I12" s="280">
        <f t="shared" ref="I12:I75" si="3">H12/E12*100</f>
        <v>100</v>
      </c>
      <c r="J12" s="1014"/>
    </row>
    <row r="13" spans="1:10" s="9" customFormat="1" x14ac:dyDescent="0.2">
      <c r="A13" s="721" t="s">
        <v>489</v>
      </c>
      <c r="B13" s="195" t="s">
        <v>161</v>
      </c>
      <c r="C13" s="680">
        <v>88677</v>
      </c>
      <c r="D13" s="680"/>
      <c r="E13" s="785">
        <f t="shared" si="1"/>
        <v>88677</v>
      </c>
      <c r="F13" s="282">
        <v>88677</v>
      </c>
      <c r="G13" s="184"/>
      <c r="H13" s="437">
        <f t="shared" si="2"/>
        <v>88677</v>
      </c>
      <c r="I13" s="280">
        <f t="shared" si="3"/>
        <v>100</v>
      </c>
      <c r="J13" s="1014"/>
    </row>
    <row r="14" spans="1:10" s="9" customFormat="1" x14ac:dyDescent="0.2">
      <c r="A14" s="721" t="s">
        <v>490</v>
      </c>
      <c r="B14" s="195" t="s">
        <v>162</v>
      </c>
      <c r="C14" s="680">
        <v>101686</v>
      </c>
      <c r="D14" s="680">
        <v>127978</v>
      </c>
      <c r="E14" s="785">
        <f t="shared" si="1"/>
        <v>229664</v>
      </c>
      <c r="F14" s="282">
        <v>101686</v>
      </c>
      <c r="G14" s="282">
        <v>127978</v>
      </c>
      <c r="H14" s="437">
        <f t="shared" si="2"/>
        <v>229664</v>
      </c>
      <c r="I14" s="280">
        <f t="shared" si="3"/>
        <v>100</v>
      </c>
      <c r="J14" s="1014"/>
    </row>
    <row r="15" spans="1:10" s="9" customFormat="1" x14ac:dyDescent="0.2">
      <c r="A15" s="721" t="s">
        <v>491</v>
      </c>
      <c r="B15" s="195" t="s">
        <v>179</v>
      </c>
      <c r="C15" s="164">
        <v>10870</v>
      </c>
      <c r="D15" s="164"/>
      <c r="E15" s="419">
        <f t="shared" si="1"/>
        <v>10870</v>
      </c>
      <c r="F15" s="282">
        <v>10870</v>
      </c>
      <c r="G15" s="184"/>
      <c r="H15" s="437">
        <f t="shared" si="2"/>
        <v>10870</v>
      </c>
      <c r="I15" s="280">
        <f t="shared" si="3"/>
        <v>100</v>
      </c>
      <c r="J15" s="1014"/>
    </row>
    <row r="16" spans="1:10" s="9" customFormat="1" ht="12" thickBot="1" x14ac:dyDescent="0.25">
      <c r="A16" s="1090" t="s">
        <v>492</v>
      </c>
      <c r="B16" s="951" t="s">
        <v>164</v>
      </c>
      <c r="C16" s="952">
        <v>0</v>
      </c>
      <c r="D16" s="952"/>
      <c r="E16" s="953">
        <v>0</v>
      </c>
      <c r="F16" s="282"/>
      <c r="G16" s="280"/>
      <c r="H16" s="437">
        <f t="shared" si="2"/>
        <v>0</v>
      </c>
      <c r="I16" s="280"/>
      <c r="J16" s="1014"/>
    </row>
    <row r="17" spans="1:10" s="9" customFormat="1" ht="12" thickBot="1" x14ac:dyDescent="0.25">
      <c r="A17" s="1091" t="s">
        <v>493</v>
      </c>
      <c r="B17" s="948" t="s">
        <v>187</v>
      </c>
      <c r="C17" s="849">
        <v>2272</v>
      </c>
      <c r="D17" s="849"/>
      <c r="E17" s="850">
        <f>C17+D17</f>
        <v>2272</v>
      </c>
      <c r="F17" s="1252">
        <v>2271</v>
      </c>
      <c r="G17" s="849"/>
      <c r="H17" s="1197">
        <f t="shared" si="2"/>
        <v>2271</v>
      </c>
      <c r="I17" s="1254">
        <f t="shared" si="3"/>
        <v>99.95598591549296</v>
      </c>
      <c r="J17" s="713"/>
    </row>
    <row r="18" spans="1:10" s="9" customFormat="1" ht="12" thickBot="1" x14ac:dyDescent="0.25">
      <c r="A18" s="721" t="s">
        <v>529</v>
      </c>
      <c r="B18" s="948" t="s">
        <v>282</v>
      </c>
      <c r="C18" s="849">
        <v>152</v>
      </c>
      <c r="D18" s="849">
        <v>1496</v>
      </c>
      <c r="E18" s="850">
        <f>C18+D18</f>
        <v>1648</v>
      </c>
      <c r="F18" s="1252">
        <v>152</v>
      </c>
      <c r="G18" s="849">
        <v>1496</v>
      </c>
      <c r="H18" s="1197">
        <f t="shared" si="2"/>
        <v>1648</v>
      </c>
      <c r="I18" s="1253">
        <f t="shared" si="3"/>
        <v>100</v>
      </c>
      <c r="J18" s="1014"/>
    </row>
    <row r="19" spans="1:10" x14ac:dyDescent="0.2">
      <c r="A19" s="1092" t="s">
        <v>530</v>
      </c>
      <c r="B19" s="194"/>
      <c r="C19" s="164"/>
      <c r="D19" s="164"/>
      <c r="E19" s="419"/>
      <c r="F19" s="282"/>
      <c r="G19" s="280"/>
      <c r="H19" s="437">
        <f t="shared" si="2"/>
        <v>0</v>
      </c>
      <c r="I19" s="280"/>
      <c r="J19" s="550"/>
    </row>
    <row r="20" spans="1:10" x14ac:dyDescent="0.2">
      <c r="A20" s="721" t="s">
        <v>531</v>
      </c>
      <c r="B20" s="193" t="s">
        <v>17</v>
      </c>
      <c r="C20" s="168"/>
      <c r="D20" s="168"/>
      <c r="E20" s="422"/>
      <c r="F20" s="282"/>
      <c r="G20" s="280"/>
      <c r="H20" s="437">
        <f t="shared" si="2"/>
        <v>0</v>
      </c>
      <c r="I20" s="280"/>
      <c r="J20" s="550"/>
    </row>
    <row r="21" spans="1:10" x14ac:dyDescent="0.2">
      <c r="A21" s="721" t="s">
        <v>532</v>
      </c>
      <c r="B21" s="1089" t="s">
        <v>940</v>
      </c>
      <c r="C21" s="339">
        <f>C22</f>
        <v>0</v>
      </c>
      <c r="D21" s="339">
        <f t="shared" ref="D21" si="4">D22</f>
        <v>275</v>
      </c>
      <c r="E21" s="339">
        <f t="shared" ref="E21" si="5">E22</f>
        <v>275</v>
      </c>
      <c r="F21" s="796"/>
      <c r="G21" s="184">
        <f>G22</f>
        <v>275</v>
      </c>
      <c r="H21" s="420">
        <f t="shared" si="2"/>
        <v>275</v>
      </c>
      <c r="I21" s="184">
        <f t="shared" si="3"/>
        <v>100</v>
      </c>
      <c r="J21" s="550"/>
    </row>
    <row r="22" spans="1:10" x14ac:dyDescent="0.2">
      <c r="A22" s="721" t="s">
        <v>533</v>
      </c>
      <c r="B22" s="175" t="s">
        <v>1233</v>
      </c>
      <c r="C22" s="282"/>
      <c r="D22" s="282">
        <v>275</v>
      </c>
      <c r="E22" s="437">
        <f>SUM(C22:D22)</f>
        <v>275</v>
      </c>
      <c r="F22" s="282"/>
      <c r="G22" s="280">
        <v>275</v>
      </c>
      <c r="H22" s="437">
        <f t="shared" si="2"/>
        <v>275</v>
      </c>
      <c r="I22" s="280">
        <f t="shared" si="3"/>
        <v>100</v>
      </c>
      <c r="J22" s="550"/>
    </row>
    <row r="23" spans="1:10" x14ac:dyDescent="0.2">
      <c r="A23" s="721" t="s">
        <v>534</v>
      </c>
      <c r="B23" s="1089" t="s">
        <v>1234</v>
      </c>
      <c r="C23" s="339">
        <f>C24</f>
        <v>0</v>
      </c>
      <c r="D23" s="339">
        <f t="shared" ref="D23" si="6">D24</f>
        <v>0</v>
      </c>
      <c r="E23" s="339">
        <f t="shared" ref="E23" si="7">E24</f>
        <v>0</v>
      </c>
      <c r="F23" s="796"/>
      <c r="G23" s="184"/>
      <c r="H23" s="420">
        <f t="shared" si="2"/>
        <v>0</v>
      </c>
      <c r="I23" s="184"/>
      <c r="J23" s="550"/>
    </row>
    <row r="24" spans="1:10" x14ac:dyDescent="0.2">
      <c r="A24" s="721" t="s">
        <v>535</v>
      </c>
      <c r="B24" s="175" t="s">
        <v>157</v>
      </c>
      <c r="C24" s="282">
        <v>0</v>
      </c>
      <c r="D24" s="282"/>
      <c r="E24" s="437">
        <f>SUM(C24:D24)</f>
        <v>0</v>
      </c>
      <c r="F24" s="282"/>
      <c r="G24" s="280"/>
      <c r="H24" s="437">
        <f t="shared" si="2"/>
        <v>0</v>
      </c>
      <c r="I24" s="280"/>
      <c r="J24" s="550"/>
    </row>
    <row r="25" spans="1:10" x14ac:dyDescent="0.2">
      <c r="A25" s="721" t="s">
        <v>536</v>
      </c>
      <c r="B25" s="195" t="s">
        <v>1239</v>
      </c>
      <c r="C25" s="168">
        <f>SUM(C26:C34)</f>
        <v>52144</v>
      </c>
      <c r="D25" s="168">
        <f t="shared" ref="D25:E25" si="8">SUM(D26:D34)</f>
        <v>33</v>
      </c>
      <c r="E25" s="168">
        <f t="shared" si="8"/>
        <v>52177</v>
      </c>
      <c r="F25" s="796">
        <f>SUM(F26:F34)</f>
        <v>52144</v>
      </c>
      <c r="G25" s="796">
        <f>SUM(G26:G34)</f>
        <v>33</v>
      </c>
      <c r="H25" s="420">
        <f t="shared" si="2"/>
        <v>52177</v>
      </c>
      <c r="I25" s="184">
        <f t="shared" si="3"/>
        <v>100</v>
      </c>
      <c r="J25" s="550"/>
    </row>
    <row r="26" spans="1:10" x14ac:dyDescent="0.2">
      <c r="A26" s="721" t="s">
        <v>538</v>
      </c>
      <c r="B26" s="194" t="s">
        <v>1126</v>
      </c>
      <c r="C26" s="164">
        <v>0</v>
      </c>
      <c r="D26" s="164"/>
      <c r="E26" s="419">
        <f>C26+D26</f>
        <v>0</v>
      </c>
      <c r="F26" s="282"/>
      <c r="G26" s="280"/>
      <c r="H26" s="437">
        <f t="shared" si="2"/>
        <v>0</v>
      </c>
      <c r="I26" s="280"/>
      <c r="J26" s="550"/>
    </row>
    <row r="27" spans="1:10" x14ac:dyDescent="0.2">
      <c r="A27" s="721" t="s">
        <v>539</v>
      </c>
      <c r="B27" s="194" t="s">
        <v>1125</v>
      </c>
      <c r="C27" s="282">
        <v>0</v>
      </c>
      <c r="D27" s="282"/>
      <c r="E27" s="437">
        <f>C27+D27</f>
        <v>0</v>
      </c>
      <c r="F27" s="282"/>
      <c r="G27" s="280"/>
      <c r="H27" s="437">
        <f t="shared" si="2"/>
        <v>0</v>
      </c>
      <c r="I27" s="280"/>
      <c r="J27" s="550"/>
    </row>
    <row r="28" spans="1:10" x14ac:dyDescent="0.2">
      <c r="A28" s="721" t="s">
        <v>540</v>
      </c>
      <c r="B28" s="194" t="s">
        <v>547</v>
      </c>
      <c r="C28" s="164">
        <v>0</v>
      </c>
      <c r="D28" s="164"/>
      <c r="E28" s="419">
        <f t="shared" ref="E28:E30" si="9">SUM(C28:D28)</f>
        <v>0</v>
      </c>
      <c r="F28" s="282"/>
      <c r="G28" s="280"/>
      <c r="H28" s="437">
        <f t="shared" si="2"/>
        <v>0</v>
      </c>
      <c r="I28" s="280"/>
      <c r="J28" s="550"/>
    </row>
    <row r="29" spans="1:10" x14ac:dyDescent="0.2">
      <c r="A29" s="721" t="s">
        <v>541</v>
      </c>
      <c r="B29" s="194" t="s">
        <v>157</v>
      </c>
      <c r="C29" s="282">
        <v>0</v>
      </c>
      <c r="D29" s="282"/>
      <c r="E29" s="437">
        <f t="shared" si="9"/>
        <v>0</v>
      </c>
      <c r="F29" s="282"/>
      <c r="G29" s="280"/>
      <c r="H29" s="437">
        <f t="shared" si="2"/>
        <v>0</v>
      </c>
      <c r="I29" s="280"/>
      <c r="J29" s="550"/>
    </row>
    <row r="30" spans="1:10" s="1068" customFormat="1" ht="22.5" x14ac:dyDescent="0.2">
      <c r="A30" s="721" t="s">
        <v>542</v>
      </c>
      <c r="B30" s="873" t="s">
        <v>1170</v>
      </c>
      <c r="C30" s="1069"/>
      <c r="D30" s="1069">
        <v>0</v>
      </c>
      <c r="E30" s="1070">
        <f t="shared" si="9"/>
        <v>0</v>
      </c>
      <c r="F30" s="1248"/>
      <c r="G30" s="1249"/>
      <c r="H30" s="437">
        <f t="shared" si="2"/>
        <v>0</v>
      </c>
      <c r="I30" s="280"/>
      <c r="J30" s="1250"/>
    </row>
    <row r="31" spans="1:10" ht="23.25" customHeight="1" x14ac:dyDescent="0.2">
      <c r="A31" s="721" t="s">
        <v>544</v>
      </c>
      <c r="B31" s="873" t="s">
        <v>1212</v>
      </c>
      <c r="C31" s="164"/>
      <c r="D31" s="164">
        <v>0</v>
      </c>
      <c r="E31" s="419">
        <f>D31+C31</f>
        <v>0</v>
      </c>
      <c r="F31" s="282"/>
      <c r="G31" s="280"/>
      <c r="H31" s="437">
        <f t="shared" si="2"/>
        <v>0</v>
      </c>
      <c r="I31" s="280"/>
      <c r="J31" s="550"/>
    </row>
    <row r="32" spans="1:10" ht="23.25" customHeight="1" x14ac:dyDescent="0.2">
      <c r="A32" s="721" t="s">
        <v>545</v>
      </c>
      <c r="B32" s="873" t="s">
        <v>1306</v>
      </c>
      <c r="C32" s="164">
        <v>13007</v>
      </c>
      <c r="D32" s="164"/>
      <c r="E32" s="419">
        <f t="shared" ref="E32:E34" si="10">D32+C32</f>
        <v>13007</v>
      </c>
      <c r="F32" s="282">
        <v>13007</v>
      </c>
      <c r="G32" s="280"/>
      <c r="H32" s="437">
        <f t="shared" si="2"/>
        <v>13007</v>
      </c>
      <c r="I32" s="280">
        <f t="shared" si="3"/>
        <v>100</v>
      </c>
      <c r="J32" s="550"/>
    </row>
    <row r="33" spans="1:17" ht="11.25" customHeight="1" x14ac:dyDescent="0.2">
      <c r="A33" s="721" t="s">
        <v>563</v>
      </c>
      <c r="B33" s="873" t="s">
        <v>1307</v>
      </c>
      <c r="C33" s="164">
        <v>39137</v>
      </c>
      <c r="D33" s="164"/>
      <c r="E33" s="419">
        <f t="shared" si="10"/>
        <v>39137</v>
      </c>
      <c r="F33" s="282">
        <v>39137</v>
      </c>
      <c r="G33" s="280"/>
      <c r="H33" s="437">
        <f t="shared" si="2"/>
        <v>39137</v>
      </c>
      <c r="I33" s="280">
        <f t="shared" si="3"/>
        <v>100</v>
      </c>
      <c r="J33" s="550"/>
    </row>
    <row r="34" spans="1:17" ht="11.25" customHeight="1" x14ac:dyDescent="0.2">
      <c r="A34" s="721" t="s">
        <v>564</v>
      </c>
      <c r="B34" s="873" t="s">
        <v>1345</v>
      </c>
      <c r="C34" s="164"/>
      <c r="D34" s="164">
        <v>33</v>
      </c>
      <c r="E34" s="419">
        <f t="shared" si="10"/>
        <v>33</v>
      </c>
      <c r="F34" s="282"/>
      <c r="G34" s="280">
        <v>33</v>
      </c>
      <c r="H34" s="437">
        <f t="shared" si="2"/>
        <v>33</v>
      </c>
      <c r="I34" s="280">
        <f t="shared" si="3"/>
        <v>100</v>
      </c>
      <c r="J34" s="550"/>
    </row>
    <row r="35" spans="1:17" ht="11.25" customHeight="1" x14ac:dyDescent="0.2">
      <c r="A35" s="721" t="s">
        <v>565</v>
      </c>
      <c r="B35" s="1089" t="s">
        <v>1235</v>
      </c>
      <c r="C35" s="339">
        <f>C36</f>
        <v>0</v>
      </c>
      <c r="D35" s="339">
        <f t="shared" ref="D35" si="11">D36</f>
        <v>2468</v>
      </c>
      <c r="E35" s="339">
        <f t="shared" ref="E35" si="12">E36</f>
        <v>2468</v>
      </c>
      <c r="F35" s="184">
        <f>F36</f>
        <v>0</v>
      </c>
      <c r="G35" s="184">
        <f>G36</f>
        <v>2468</v>
      </c>
      <c r="H35" s="420">
        <f t="shared" si="2"/>
        <v>2468</v>
      </c>
      <c r="I35" s="184">
        <f t="shared" si="3"/>
        <v>100</v>
      </c>
      <c r="J35" s="550"/>
      <c r="Q35" s="781"/>
    </row>
    <row r="36" spans="1:17" ht="11.25" customHeight="1" x14ac:dyDescent="0.2">
      <c r="A36" s="721" t="s">
        <v>566</v>
      </c>
      <c r="B36" s="204" t="s">
        <v>1066</v>
      </c>
      <c r="C36" s="164"/>
      <c r="D36" s="164">
        <v>2468</v>
      </c>
      <c r="E36" s="419">
        <f>SUM(C36:D36)</f>
        <v>2468</v>
      </c>
      <c r="F36" s="282"/>
      <c r="G36" s="280">
        <v>2468</v>
      </c>
      <c r="H36" s="437">
        <f t="shared" si="2"/>
        <v>2468</v>
      </c>
      <c r="I36" s="280">
        <f t="shared" si="3"/>
        <v>100</v>
      </c>
      <c r="J36" s="550"/>
    </row>
    <row r="37" spans="1:17" x14ac:dyDescent="0.2">
      <c r="A37" s="721" t="s">
        <v>567</v>
      </c>
      <c r="B37" s="195" t="s">
        <v>71</v>
      </c>
      <c r="C37" s="339">
        <f>SUM(C38:C38)</f>
        <v>4485</v>
      </c>
      <c r="D37" s="339">
        <f>SUM(D38:D38)</f>
        <v>0</v>
      </c>
      <c r="E37" s="420">
        <f>SUM(E38:E38)</f>
        <v>4485</v>
      </c>
      <c r="F37" s="339">
        <f>F38</f>
        <v>3205</v>
      </c>
      <c r="G37" s="339">
        <f>G38</f>
        <v>0</v>
      </c>
      <c r="H37" s="420">
        <f t="shared" si="2"/>
        <v>3205</v>
      </c>
      <c r="I37" s="184">
        <f t="shared" si="3"/>
        <v>71.460423634336678</v>
      </c>
      <c r="J37" s="550"/>
      <c r="Q37" s="781"/>
    </row>
    <row r="38" spans="1:17" ht="10.5" customHeight="1" thickBot="1" x14ac:dyDescent="0.25">
      <c r="A38" s="721" t="s">
        <v>568</v>
      </c>
      <c r="B38" s="175" t="s">
        <v>1309</v>
      </c>
      <c r="C38" s="282">
        <v>4485</v>
      </c>
      <c r="D38" s="282"/>
      <c r="E38" s="437">
        <f t="shared" ref="E38" si="13">C38+D38</f>
        <v>4485</v>
      </c>
      <c r="F38" s="282">
        <v>3205</v>
      </c>
      <c r="G38" s="280"/>
      <c r="H38" s="437">
        <f t="shared" si="2"/>
        <v>3205</v>
      </c>
      <c r="I38" s="280">
        <f t="shared" si="3"/>
        <v>71.460423634336678</v>
      </c>
      <c r="J38" s="550"/>
    </row>
    <row r="39" spans="1:17" ht="12" thickBot="1" x14ac:dyDescent="0.25">
      <c r="A39" s="1091" t="s">
        <v>569</v>
      </c>
      <c r="B39" s="466" t="s">
        <v>158</v>
      </c>
      <c r="C39" s="294">
        <f>C25+C37+C21+C23+C35</f>
        <v>56629</v>
      </c>
      <c r="D39" s="294">
        <f>D25+D37+D21+D23+D35</f>
        <v>2776</v>
      </c>
      <c r="E39" s="843">
        <f>E25+E37+E21+E23+E35</f>
        <v>59405</v>
      </c>
      <c r="F39" s="1252">
        <f>F21+F25+F35+F37</f>
        <v>55349</v>
      </c>
      <c r="G39" s="849">
        <f>G21+G25+G35+G37</f>
        <v>2776</v>
      </c>
      <c r="H39" s="1197">
        <f t="shared" si="2"/>
        <v>58125</v>
      </c>
      <c r="I39" s="850">
        <f t="shared" si="3"/>
        <v>97.845299217237596</v>
      </c>
      <c r="J39" s="781"/>
    </row>
    <row r="40" spans="1:17" x14ac:dyDescent="0.2">
      <c r="A40" s="721" t="s">
        <v>570</v>
      </c>
      <c r="B40" s="173"/>
      <c r="C40" s="168"/>
      <c r="D40" s="168"/>
      <c r="E40" s="422"/>
      <c r="F40" s="282"/>
      <c r="G40" s="280"/>
      <c r="H40" s="437"/>
      <c r="I40" s="280"/>
      <c r="J40" s="550"/>
    </row>
    <row r="41" spans="1:17" x14ac:dyDescent="0.2">
      <c r="A41" s="721" t="s">
        <v>571</v>
      </c>
      <c r="B41" s="175" t="s">
        <v>941</v>
      </c>
      <c r="C41" s="168"/>
      <c r="D41" s="168"/>
      <c r="E41" s="422"/>
      <c r="F41" s="282"/>
      <c r="G41" s="280"/>
      <c r="H41" s="437"/>
      <c r="I41" s="280"/>
      <c r="J41" s="550"/>
    </row>
    <row r="42" spans="1:17" ht="12" thickBot="1" x14ac:dyDescent="0.25">
      <c r="A42" s="1090" t="s">
        <v>622</v>
      </c>
      <c r="B42" s="175" t="s">
        <v>1308</v>
      </c>
      <c r="C42" s="168"/>
      <c r="D42" s="164">
        <v>19610</v>
      </c>
      <c r="E42" s="419">
        <f>C42+D42</f>
        <v>19610</v>
      </c>
      <c r="F42" s="1255"/>
      <c r="G42" s="280">
        <v>19610</v>
      </c>
      <c r="H42" s="437">
        <f t="shared" si="2"/>
        <v>19610</v>
      </c>
      <c r="I42" s="280">
        <f t="shared" si="3"/>
        <v>100</v>
      </c>
      <c r="J42" s="550"/>
    </row>
    <row r="43" spans="1:17" ht="12" thickBot="1" x14ac:dyDescent="0.25">
      <c r="A43" s="721" t="s">
        <v>623</v>
      </c>
      <c r="B43" s="466" t="s">
        <v>941</v>
      </c>
      <c r="C43" s="294">
        <f>SUM(C42:C42)</f>
        <v>0</v>
      </c>
      <c r="D43" s="294">
        <f>SUM(D42:D42)</f>
        <v>19610</v>
      </c>
      <c r="E43" s="843">
        <f>SUM(E42:E42)</f>
        <v>19610</v>
      </c>
      <c r="F43" s="1252">
        <f>F42</f>
        <v>0</v>
      </c>
      <c r="G43" s="849">
        <f t="shared" ref="G43:H43" si="14">G42</f>
        <v>19610</v>
      </c>
      <c r="H43" s="849">
        <f t="shared" si="14"/>
        <v>19610</v>
      </c>
      <c r="I43" s="850">
        <f t="shared" si="3"/>
        <v>100</v>
      </c>
      <c r="J43" s="781"/>
    </row>
    <row r="44" spans="1:17" ht="12" thickBot="1" x14ac:dyDescent="0.25">
      <c r="A44" s="1091" t="s">
        <v>624</v>
      </c>
      <c r="B44" s="173"/>
      <c r="C44" s="168"/>
      <c r="D44" s="168"/>
      <c r="E44" s="422"/>
      <c r="F44" s="282"/>
      <c r="G44" s="280"/>
      <c r="H44" s="437">
        <f t="shared" si="2"/>
        <v>0</v>
      </c>
      <c r="I44" s="280"/>
      <c r="J44" s="550"/>
    </row>
    <row r="45" spans="1:17" ht="12" thickBot="1" x14ac:dyDescent="0.25">
      <c r="A45" s="721" t="s">
        <v>625</v>
      </c>
      <c r="B45" s="466" t="s">
        <v>91</v>
      </c>
      <c r="C45" s="294">
        <f>C11+C16+IC17+C18+C25+C37+C43+C17+C23+C35+C21</f>
        <v>868824</v>
      </c>
      <c r="D45" s="294">
        <f>D11+D16+ID17+D18+D25+D37+D43+D17+D23+D35+D21</f>
        <v>151860</v>
      </c>
      <c r="E45" s="843">
        <f>E11+E16+IE17+E18+E25+E37+E43+E17+E23+E35+E21</f>
        <v>1020684</v>
      </c>
      <c r="F45" s="294">
        <f>F11+F16+IF17+F18+F25+F37+F43+F17+F23+F35+F21</f>
        <v>867543</v>
      </c>
      <c r="G45" s="294">
        <f>G11+G16+IG17+G18+G25+G37+G43+G17+G23+G35+G21</f>
        <v>151860</v>
      </c>
      <c r="H45" s="1197">
        <f t="shared" si="2"/>
        <v>1019403</v>
      </c>
      <c r="I45" s="1254">
        <f t="shared" si="3"/>
        <v>99.874495926261204</v>
      </c>
      <c r="J45" s="781"/>
    </row>
    <row r="46" spans="1:17" x14ac:dyDescent="0.2">
      <c r="A46" s="1092" t="s">
        <v>115</v>
      </c>
      <c r="B46" s="173"/>
      <c r="C46" s="168"/>
      <c r="D46" s="168"/>
      <c r="E46" s="422"/>
      <c r="F46" s="282"/>
      <c r="G46" s="280"/>
      <c r="H46" s="437"/>
      <c r="I46" s="280"/>
      <c r="J46" s="550"/>
    </row>
    <row r="47" spans="1:17" x14ac:dyDescent="0.2">
      <c r="A47" s="721" t="s">
        <v>650</v>
      </c>
      <c r="B47" s="782" t="s">
        <v>327</v>
      </c>
      <c r="C47" s="168"/>
      <c r="D47" s="168"/>
      <c r="E47" s="422"/>
      <c r="F47" s="282"/>
      <c r="G47" s="280"/>
      <c r="H47" s="437"/>
      <c r="I47" s="280"/>
      <c r="J47" s="550"/>
    </row>
    <row r="48" spans="1:17" x14ac:dyDescent="0.2">
      <c r="A48" s="721" t="s">
        <v>651</v>
      </c>
      <c r="B48" s="175" t="s">
        <v>1045</v>
      </c>
      <c r="C48" s="164">
        <v>2847</v>
      </c>
      <c r="D48" s="164"/>
      <c r="E48" s="419">
        <f>SUM(C48:D48)</f>
        <v>2847</v>
      </c>
      <c r="F48" s="282">
        <v>2846</v>
      </c>
      <c r="G48" s="280">
        <v>0</v>
      </c>
      <c r="H48" s="437">
        <f t="shared" si="2"/>
        <v>2846</v>
      </c>
      <c r="I48" s="280">
        <f t="shared" si="3"/>
        <v>99.96487530734106</v>
      </c>
      <c r="J48" s="550"/>
    </row>
    <row r="49" spans="1:16" ht="12" thickBot="1" x14ac:dyDescent="0.25">
      <c r="A49" s="1090" t="s">
        <v>118</v>
      </c>
      <c r="B49" s="173" t="s">
        <v>19</v>
      </c>
      <c r="C49" s="168">
        <f>SUM(C48)</f>
        <v>2847</v>
      </c>
      <c r="D49" s="168">
        <f t="shared" ref="D49:E49" si="15">SUM(D48)</f>
        <v>0</v>
      </c>
      <c r="E49" s="422">
        <f t="shared" si="15"/>
        <v>2847</v>
      </c>
      <c r="F49" s="339">
        <f>SUM(F48)</f>
        <v>2846</v>
      </c>
      <c r="G49" s="184">
        <f>SUM(G48)</f>
        <v>0</v>
      </c>
      <c r="H49" s="420">
        <f>SUM(H48)</f>
        <v>2846</v>
      </c>
      <c r="I49" s="184">
        <f t="shared" si="3"/>
        <v>99.96487530734106</v>
      </c>
      <c r="J49" s="550"/>
    </row>
    <row r="50" spans="1:16" ht="12" thickBot="1" x14ac:dyDescent="0.25">
      <c r="A50" s="1091" t="s">
        <v>119</v>
      </c>
      <c r="B50" s="466" t="s">
        <v>664</v>
      </c>
      <c r="C50" s="294">
        <f>SUM(C49)</f>
        <v>2847</v>
      </c>
      <c r="D50" s="294">
        <f>SUM(D49)</f>
        <v>0</v>
      </c>
      <c r="E50" s="843">
        <f>SUM(C50:D50)</f>
        <v>2847</v>
      </c>
      <c r="F50" s="294">
        <f>F49</f>
        <v>2846</v>
      </c>
      <c r="G50" s="294">
        <f>G49</f>
        <v>0</v>
      </c>
      <c r="H50" s="1197">
        <f t="shared" si="2"/>
        <v>2846</v>
      </c>
      <c r="I50" s="850">
        <f t="shared" si="3"/>
        <v>99.96487530734106</v>
      </c>
      <c r="J50" s="781"/>
    </row>
    <row r="51" spans="1:16" x14ac:dyDescent="0.2">
      <c r="A51" s="721" t="s">
        <v>120</v>
      </c>
      <c r="B51" s="173"/>
      <c r="C51" s="168"/>
      <c r="D51" s="168"/>
      <c r="E51" s="422"/>
      <c r="F51" s="282"/>
      <c r="G51" s="280"/>
      <c r="H51" s="437"/>
      <c r="I51" s="280"/>
      <c r="J51" s="550"/>
    </row>
    <row r="52" spans="1:16" x14ac:dyDescent="0.2">
      <c r="A52" s="721" t="s">
        <v>123</v>
      </c>
      <c r="B52" s="782" t="s">
        <v>665</v>
      </c>
      <c r="C52" s="168"/>
      <c r="D52" s="168"/>
      <c r="E52" s="422"/>
      <c r="F52" s="282"/>
      <c r="G52" s="280"/>
      <c r="H52" s="437"/>
      <c r="I52" s="280"/>
      <c r="J52" s="550"/>
    </row>
    <row r="53" spans="1:16" x14ac:dyDescent="0.2">
      <c r="A53" s="721" t="s">
        <v>126</v>
      </c>
      <c r="B53" s="175" t="s">
        <v>165</v>
      </c>
      <c r="C53" s="164"/>
      <c r="D53" s="164">
        <v>2005</v>
      </c>
      <c r="E53" s="419">
        <f>SUM(C53:D53)</f>
        <v>2005</v>
      </c>
      <c r="F53" s="282"/>
      <c r="G53" s="280">
        <v>2005</v>
      </c>
      <c r="H53" s="437">
        <f t="shared" si="2"/>
        <v>2005</v>
      </c>
      <c r="I53" s="280">
        <f t="shared" si="3"/>
        <v>100</v>
      </c>
      <c r="J53" s="550"/>
    </row>
    <row r="54" spans="1:16" x14ac:dyDescent="0.2">
      <c r="A54" s="721" t="s">
        <v>127</v>
      </c>
      <c r="B54" s="175" t="s">
        <v>166</v>
      </c>
      <c r="C54" s="164"/>
      <c r="D54" s="164"/>
      <c r="E54" s="419"/>
      <c r="F54" s="282"/>
      <c r="G54" s="280"/>
      <c r="H54" s="437">
        <f t="shared" si="2"/>
        <v>0</v>
      </c>
      <c r="I54" s="280"/>
      <c r="J54" s="550"/>
    </row>
    <row r="55" spans="1:16" ht="12" thickBot="1" x14ac:dyDescent="0.25">
      <c r="A55" s="721" t="s">
        <v>128</v>
      </c>
      <c r="B55" s="173" t="s">
        <v>19</v>
      </c>
      <c r="C55" s="168">
        <f>SUM(C53:C54)</f>
        <v>0</v>
      </c>
      <c r="D55" s="168">
        <f>SUM(D53:D54)</f>
        <v>2005</v>
      </c>
      <c r="E55" s="422">
        <f>SUM(E53:E54)</f>
        <v>2005</v>
      </c>
      <c r="F55" s="339"/>
      <c r="G55" s="184">
        <f>SUM(G53:G54)</f>
        <v>2005</v>
      </c>
      <c r="H55" s="420">
        <f t="shared" si="2"/>
        <v>2005</v>
      </c>
      <c r="I55" s="184">
        <f t="shared" si="3"/>
        <v>100</v>
      </c>
      <c r="J55" s="550"/>
    </row>
    <row r="56" spans="1:16" ht="12" thickBot="1" x14ac:dyDescent="0.25">
      <c r="A56" s="1092" t="s">
        <v>129</v>
      </c>
      <c r="B56" s="466" t="s">
        <v>167</v>
      </c>
      <c r="C56" s="294">
        <f>C55</f>
        <v>0</v>
      </c>
      <c r="D56" s="294">
        <f>D55</f>
        <v>2005</v>
      </c>
      <c r="E56" s="843">
        <f>E55</f>
        <v>2005</v>
      </c>
      <c r="F56" s="1252"/>
      <c r="G56" s="849">
        <f>G55</f>
        <v>2005</v>
      </c>
      <c r="H56" s="1197">
        <f t="shared" si="2"/>
        <v>2005</v>
      </c>
      <c r="I56" s="850">
        <f t="shared" si="3"/>
        <v>100</v>
      </c>
      <c r="J56" s="781"/>
    </row>
    <row r="57" spans="1:16" x14ac:dyDescent="0.2">
      <c r="A57" s="1092" t="s">
        <v>132</v>
      </c>
      <c r="B57" s="173"/>
      <c r="C57" s="168"/>
      <c r="D57" s="168"/>
      <c r="E57" s="422"/>
      <c r="F57" s="282"/>
      <c r="G57" s="280"/>
      <c r="H57" s="437"/>
      <c r="I57" s="280"/>
      <c r="J57" s="550"/>
    </row>
    <row r="58" spans="1:16" x14ac:dyDescent="0.2">
      <c r="A58" s="721" t="s">
        <v>135</v>
      </c>
      <c r="B58" s="782" t="s">
        <v>1086</v>
      </c>
      <c r="C58" s="168"/>
      <c r="D58" s="168"/>
      <c r="E58" s="422"/>
      <c r="F58" s="282"/>
      <c r="G58" s="280"/>
      <c r="H58" s="437"/>
      <c r="I58" s="280"/>
      <c r="J58" s="550"/>
    </row>
    <row r="59" spans="1:16" x14ac:dyDescent="0.2">
      <c r="A59" s="721" t="s">
        <v>138</v>
      </c>
      <c r="B59" s="175" t="s">
        <v>165</v>
      </c>
      <c r="C59" s="164">
        <v>0</v>
      </c>
      <c r="D59" s="164">
        <v>140</v>
      </c>
      <c r="E59" s="437">
        <f>C59+D59</f>
        <v>140</v>
      </c>
      <c r="F59" s="966"/>
      <c r="G59" s="280">
        <v>140</v>
      </c>
      <c r="H59" s="437">
        <f t="shared" si="2"/>
        <v>140</v>
      </c>
      <c r="I59" s="280">
        <f t="shared" si="3"/>
        <v>100</v>
      </c>
      <c r="J59" s="550"/>
    </row>
    <row r="60" spans="1:16" x14ac:dyDescent="0.2">
      <c r="A60" s="721" t="s">
        <v>139</v>
      </c>
      <c r="B60" s="173" t="s">
        <v>19</v>
      </c>
      <c r="C60" s="168">
        <f>C59</f>
        <v>0</v>
      </c>
      <c r="D60" s="168">
        <f t="shared" ref="D60:E60" si="16">D59</f>
        <v>140</v>
      </c>
      <c r="E60" s="420">
        <f t="shared" si="16"/>
        <v>140</v>
      </c>
      <c r="F60" s="339"/>
      <c r="G60" s="184">
        <f>SUM(G59)</f>
        <v>140</v>
      </c>
      <c r="H60" s="420">
        <f t="shared" si="2"/>
        <v>140</v>
      </c>
      <c r="I60" s="184">
        <f t="shared" si="3"/>
        <v>100</v>
      </c>
      <c r="J60" s="550"/>
    </row>
    <row r="61" spans="1:16" x14ac:dyDescent="0.2">
      <c r="A61" s="721" t="s">
        <v>142</v>
      </c>
      <c r="B61" s="175" t="s">
        <v>1087</v>
      </c>
      <c r="C61" s="168"/>
      <c r="D61" s="164">
        <v>588</v>
      </c>
      <c r="E61" s="419">
        <f>C61+D61</f>
        <v>588</v>
      </c>
      <c r="F61" s="282"/>
      <c r="G61" s="280">
        <v>606</v>
      </c>
      <c r="H61" s="437">
        <f t="shared" si="2"/>
        <v>606</v>
      </c>
      <c r="I61" s="280">
        <f t="shared" si="3"/>
        <v>103.0612244897959</v>
      </c>
      <c r="J61" s="550"/>
    </row>
    <row r="62" spans="1:16" ht="12" thickBot="1" x14ac:dyDescent="0.25">
      <c r="A62" s="721" t="s">
        <v>143</v>
      </c>
      <c r="B62" s="173" t="s">
        <v>941</v>
      </c>
      <c r="C62" s="168">
        <f>C61</f>
        <v>0</v>
      </c>
      <c r="D62" s="168">
        <f t="shared" ref="D62:E62" si="17">D61</f>
        <v>588</v>
      </c>
      <c r="E62" s="422">
        <f t="shared" si="17"/>
        <v>588</v>
      </c>
      <c r="F62" s="796"/>
      <c r="G62" s="184">
        <f>SUM(G61)</f>
        <v>606</v>
      </c>
      <c r="H62" s="420">
        <f t="shared" si="2"/>
        <v>606</v>
      </c>
      <c r="I62" s="184">
        <f t="shared" si="3"/>
        <v>103.0612244897959</v>
      </c>
      <c r="J62" s="550"/>
    </row>
    <row r="63" spans="1:16" ht="12" thickBot="1" x14ac:dyDescent="0.25">
      <c r="A63" s="1092" t="s">
        <v>144</v>
      </c>
      <c r="B63" s="466" t="s">
        <v>1088</v>
      </c>
      <c r="C63" s="294">
        <f>C60+C62</f>
        <v>0</v>
      </c>
      <c r="D63" s="294">
        <f t="shared" ref="D63:E63" si="18">D60+D62</f>
        <v>728</v>
      </c>
      <c r="E63" s="843">
        <f t="shared" si="18"/>
        <v>728</v>
      </c>
      <c r="F63" s="1252"/>
      <c r="G63" s="849">
        <f>G60+G62</f>
        <v>746</v>
      </c>
      <c r="H63" s="1197">
        <f t="shared" si="2"/>
        <v>746</v>
      </c>
      <c r="I63" s="850">
        <f t="shared" si="3"/>
        <v>102.47252747252746</v>
      </c>
      <c r="J63" s="781"/>
    </row>
    <row r="64" spans="1:16" x14ac:dyDescent="0.2">
      <c r="A64" s="1092" t="s">
        <v>145</v>
      </c>
      <c r="B64" s="173"/>
      <c r="C64" s="164"/>
      <c r="D64" s="164"/>
      <c r="E64" s="419"/>
      <c r="F64" s="282"/>
      <c r="G64" s="280"/>
      <c r="H64" s="437"/>
      <c r="I64" s="280"/>
      <c r="J64" s="550"/>
      <c r="P64" s="781"/>
    </row>
    <row r="65" spans="1:10" x14ac:dyDescent="0.2">
      <c r="A65" s="721" t="s">
        <v>146</v>
      </c>
      <c r="B65" s="782" t="s">
        <v>93</v>
      </c>
      <c r="C65" s="282"/>
      <c r="D65" s="282"/>
      <c r="E65" s="437"/>
      <c r="F65" s="282"/>
      <c r="G65" s="282"/>
      <c r="H65" s="437"/>
      <c r="I65" s="280"/>
      <c r="J65" s="550"/>
    </row>
    <row r="66" spans="1:10" x14ac:dyDescent="0.2">
      <c r="A66" s="721" t="s">
        <v>148</v>
      </c>
      <c r="B66" s="173" t="s">
        <v>17</v>
      </c>
      <c r="C66" s="282"/>
      <c r="D66" s="282"/>
      <c r="E66" s="437"/>
      <c r="F66" s="282"/>
      <c r="G66" s="280"/>
      <c r="H66" s="437"/>
      <c r="I66" s="280"/>
      <c r="J66" s="550"/>
    </row>
    <row r="67" spans="1:10" x14ac:dyDescent="0.2">
      <c r="A67" s="721" t="s">
        <v>151</v>
      </c>
      <c r="B67" s="175" t="s">
        <v>92</v>
      </c>
      <c r="C67" s="282">
        <v>10396</v>
      </c>
      <c r="D67" s="282"/>
      <c r="E67" s="437">
        <f>SUM(C67:D67)</f>
        <v>10396</v>
      </c>
      <c r="F67" s="282">
        <v>10588</v>
      </c>
      <c r="G67" s="280"/>
      <c r="H67" s="437">
        <f t="shared" si="2"/>
        <v>10588</v>
      </c>
      <c r="I67" s="280">
        <f t="shared" si="3"/>
        <v>101.8468641785302</v>
      </c>
      <c r="J67" s="550"/>
    </row>
    <row r="68" spans="1:10" x14ac:dyDescent="0.2">
      <c r="A68" s="721" t="s">
        <v>153</v>
      </c>
      <c r="B68" s="175" t="s">
        <v>299</v>
      </c>
      <c r="C68" s="282">
        <v>10040</v>
      </c>
      <c r="D68" s="282"/>
      <c r="E68" s="437">
        <f>SUM(C68:D68)</f>
        <v>10040</v>
      </c>
      <c r="F68" s="282">
        <v>10515</v>
      </c>
      <c r="G68" s="280"/>
      <c r="H68" s="437">
        <f t="shared" si="2"/>
        <v>10515</v>
      </c>
      <c r="I68" s="280">
        <f t="shared" si="3"/>
        <v>104.73107569721117</v>
      </c>
      <c r="J68" s="550"/>
    </row>
    <row r="69" spans="1:10" x14ac:dyDescent="0.2">
      <c r="A69" s="721" t="s">
        <v>154</v>
      </c>
      <c r="B69" s="175" t="s">
        <v>300</v>
      </c>
      <c r="C69" s="282">
        <v>429</v>
      </c>
      <c r="D69" s="282"/>
      <c r="E69" s="437">
        <f>SUM(C69:D69)</f>
        <v>429</v>
      </c>
      <c r="F69" s="282">
        <v>484</v>
      </c>
      <c r="G69" s="280"/>
      <c r="H69" s="437">
        <f t="shared" si="2"/>
        <v>484</v>
      </c>
      <c r="I69" s="280">
        <f t="shared" si="3"/>
        <v>112.82051282051282</v>
      </c>
      <c r="J69" s="550"/>
    </row>
    <row r="70" spans="1:10" x14ac:dyDescent="0.2">
      <c r="A70" s="721" t="s">
        <v>155</v>
      </c>
      <c r="B70" s="175" t="s">
        <v>166</v>
      </c>
      <c r="C70" s="282"/>
      <c r="D70" s="282"/>
      <c r="E70" s="437"/>
      <c r="F70" s="282"/>
      <c r="G70" s="280"/>
      <c r="H70" s="437"/>
      <c r="I70" s="280"/>
      <c r="J70" s="550"/>
    </row>
    <row r="71" spans="1:10" x14ac:dyDescent="0.2">
      <c r="A71" s="721" t="s">
        <v>1046</v>
      </c>
      <c r="B71" s="175" t="s">
        <v>165</v>
      </c>
      <c r="C71" s="282"/>
      <c r="D71" s="282">
        <v>1421</v>
      </c>
      <c r="E71" s="437">
        <f>SUM(C71:D71)</f>
        <v>1421</v>
      </c>
      <c r="F71" s="282"/>
      <c r="G71" s="280">
        <v>2088</v>
      </c>
      <c r="H71" s="437">
        <f t="shared" si="2"/>
        <v>2088</v>
      </c>
      <c r="I71" s="280">
        <f t="shared" si="3"/>
        <v>146.9387755102041</v>
      </c>
      <c r="J71" s="550"/>
    </row>
    <row r="72" spans="1:10" ht="12" thickBot="1" x14ac:dyDescent="0.25">
      <c r="A72" s="1090" t="s">
        <v>1047</v>
      </c>
      <c r="B72" s="173" t="s">
        <v>19</v>
      </c>
      <c r="C72" s="339">
        <f>SUM(C67:C71)</f>
        <v>20865</v>
      </c>
      <c r="D72" s="339">
        <f>SUM(D67:D71)</f>
        <v>1421</v>
      </c>
      <c r="E72" s="420">
        <f>SUM(E67:E71)</f>
        <v>22286</v>
      </c>
      <c r="F72" s="1201">
        <f>SUM(F67:F71)</f>
        <v>21587</v>
      </c>
      <c r="G72" s="1202">
        <f>SUM(G67:G71)</f>
        <v>2088</v>
      </c>
      <c r="H72" s="420">
        <f t="shared" si="2"/>
        <v>23675</v>
      </c>
      <c r="I72" s="1257">
        <f t="shared" si="3"/>
        <v>106.2326124024051</v>
      </c>
      <c r="J72" s="550"/>
    </row>
    <row r="73" spans="1:10" ht="12" thickBot="1" x14ac:dyDescent="0.25">
      <c r="A73" s="1091" t="s">
        <v>1236</v>
      </c>
      <c r="B73" s="950" t="s">
        <v>94</v>
      </c>
      <c r="C73" s="849">
        <f>C72</f>
        <v>20865</v>
      </c>
      <c r="D73" s="849">
        <f>D72</f>
        <v>1421</v>
      </c>
      <c r="E73" s="850">
        <f>E72</f>
        <v>22286</v>
      </c>
      <c r="F73" s="1252">
        <f>F72</f>
        <v>21587</v>
      </c>
      <c r="G73" s="849">
        <f>G72</f>
        <v>2088</v>
      </c>
      <c r="H73" s="1256">
        <f t="shared" si="2"/>
        <v>23675</v>
      </c>
      <c r="I73" s="744">
        <f t="shared" si="3"/>
        <v>106.2326124024051</v>
      </c>
      <c r="J73" s="1258"/>
    </row>
    <row r="74" spans="1:10" s="9" customFormat="1" x14ac:dyDescent="0.2">
      <c r="A74" s="721" t="s">
        <v>1237</v>
      </c>
      <c r="B74" s="173"/>
      <c r="C74" s="339"/>
      <c r="D74" s="339"/>
      <c r="E74" s="420"/>
      <c r="F74" s="339"/>
      <c r="G74" s="184"/>
      <c r="H74" s="1256"/>
      <c r="I74" s="184"/>
      <c r="J74" s="1014"/>
    </row>
    <row r="75" spans="1:10" s="9" customFormat="1" x14ac:dyDescent="0.2">
      <c r="A75" s="721" t="s">
        <v>1238</v>
      </c>
      <c r="B75" s="173" t="s">
        <v>18</v>
      </c>
      <c r="C75" s="339">
        <f>C39+C55+C72+C49+C60</f>
        <v>80341</v>
      </c>
      <c r="D75" s="339">
        <f>D39+D55+D72+D49+D60</f>
        <v>6342</v>
      </c>
      <c r="E75" s="420">
        <f>E39+E55+E72+E49+E60</f>
        <v>86683</v>
      </c>
      <c r="F75" s="339">
        <f>F39+F55+F72+F49+F60</f>
        <v>79782</v>
      </c>
      <c r="G75" s="339">
        <f>G39+G55+G72+G49+G60</f>
        <v>7009</v>
      </c>
      <c r="H75" s="420">
        <f t="shared" si="2"/>
        <v>86791</v>
      </c>
      <c r="I75" s="184">
        <f t="shared" si="3"/>
        <v>100.12459190383352</v>
      </c>
      <c r="J75" s="1014"/>
    </row>
    <row r="76" spans="1:10" x14ac:dyDescent="0.2">
      <c r="A76" s="721" t="s">
        <v>1310</v>
      </c>
      <c r="B76" s="173" t="s">
        <v>95</v>
      </c>
      <c r="C76" s="168">
        <f>C43+C62</f>
        <v>0</v>
      </c>
      <c r="D76" s="168">
        <f>D43+D62</f>
        <v>20198</v>
      </c>
      <c r="E76" s="422">
        <f>E43+E62</f>
        <v>20198</v>
      </c>
      <c r="F76" s="168">
        <f>F43+F62</f>
        <v>0</v>
      </c>
      <c r="G76" s="168">
        <f>G43+G62</f>
        <v>20216</v>
      </c>
      <c r="H76" s="420">
        <f t="shared" ref="H76:H78" si="19">F76+G76</f>
        <v>20216</v>
      </c>
      <c r="I76" s="184">
        <f t="shared" ref="I76:I78" si="20">H76/E76*100</f>
        <v>100.08911773442915</v>
      </c>
      <c r="J76" s="550"/>
    </row>
    <row r="77" spans="1:10" ht="12" thickBot="1" x14ac:dyDescent="0.25">
      <c r="A77" s="1090" t="s">
        <v>1311</v>
      </c>
      <c r="B77" s="178"/>
      <c r="E77" s="1497"/>
      <c r="F77" s="282"/>
      <c r="G77" s="282"/>
      <c r="H77" s="420">
        <f t="shared" si="19"/>
        <v>0</v>
      </c>
      <c r="I77" s="184"/>
      <c r="J77" s="550"/>
    </row>
    <row r="78" spans="1:10" s="10" customFormat="1" ht="12" thickBot="1" x14ac:dyDescent="0.25">
      <c r="A78" s="721" t="s">
        <v>1317</v>
      </c>
      <c r="B78" s="466" t="s">
        <v>96</v>
      </c>
      <c r="C78" s="294">
        <f>C45+C73+C56+C50+C63</f>
        <v>892536</v>
      </c>
      <c r="D78" s="294">
        <f>D45+D73+D56+D50+D63</f>
        <v>156014</v>
      </c>
      <c r="E78" s="843">
        <f>E45+E73+E56+E50+E63</f>
        <v>1048550</v>
      </c>
      <c r="F78" s="294">
        <f>F45+F73+F56+F50+F63</f>
        <v>891976</v>
      </c>
      <c r="G78" s="294">
        <f>G45+G73+G56+G50+G63</f>
        <v>156699</v>
      </c>
      <c r="H78" s="1197">
        <f t="shared" si="19"/>
        <v>1048675</v>
      </c>
      <c r="I78" s="850">
        <f t="shared" si="20"/>
        <v>100.01192122454819</v>
      </c>
      <c r="J78" s="281"/>
    </row>
    <row r="79" spans="1:10" s="10" customFormat="1" x14ac:dyDescent="0.2">
      <c r="A79" s="1092"/>
      <c r="B79" s="152"/>
      <c r="C79" s="153"/>
      <c r="D79" s="519"/>
      <c r="E79" s="519"/>
      <c r="I79" s="281"/>
    </row>
    <row r="80" spans="1:10" x14ac:dyDescent="0.2">
      <c r="B80" s="152"/>
    </row>
    <row r="81" spans="1:10" x14ac:dyDescent="0.2">
      <c r="B81" s="152"/>
      <c r="G81" s="781"/>
    </row>
    <row r="82" spans="1:10" x14ac:dyDescent="0.2">
      <c r="B82" s="178"/>
      <c r="G82" s="781"/>
    </row>
    <row r="83" spans="1:10" x14ac:dyDescent="0.2">
      <c r="B83" s="178"/>
    </row>
    <row r="85" spans="1:10" x14ac:dyDescent="0.2">
      <c r="B85" s="178"/>
    </row>
    <row r="86" spans="1:10" x14ac:dyDescent="0.2">
      <c r="B86" s="178"/>
    </row>
    <row r="87" spans="1:10" x14ac:dyDescent="0.2">
      <c r="B87" s="178"/>
    </row>
    <row r="88" spans="1:10" x14ac:dyDescent="0.2">
      <c r="B88" s="178"/>
    </row>
    <row r="89" spans="1:10" x14ac:dyDescent="0.2">
      <c r="A89" s="721"/>
      <c r="B89" s="173"/>
      <c r="C89" s="164"/>
      <c r="D89" s="164"/>
      <c r="E89" s="164"/>
      <c r="F89" s="781"/>
      <c r="G89" s="781"/>
      <c r="H89" s="781"/>
      <c r="I89" s="781"/>
      <c r="J89" s="781"/>
    </row>
    <row r="90" spans="1:10" x14ac:dyDescent="0.2">
      <c r="A90" s="721"/>
      <c r="B90" s="175"/>
      <c r="C90" s="164"/>
      <c r="D90" s="164"/>
      <c r="E90" s="164"/>
      <c r="F90" s="781"/>
      <c r="G90" s="781"/>
      <c r="H90" s="781"/>
      <c r="I90" s="781"/>
      <c r="J90" s="781"/>
    </row>
    <row r="91" spans="1:10" x14ac:dyDescent="0.2">
      <c r="A91" s="721"/>
      <c r="B91" s="173"/>
      <c r="C91" s="164"/>
      <c r="D91" s="164"/>
      <c r="E91" s="164"/>
      <c r="F91" s="781"/>
      <c r="G91" s="781"/>
      <c r="H91" s="781"/>
      <c r="I91" s="781"/>
      <c r="J91" s="781"/>
    </row>
    <row r="92" spans="1:10" x14ac:dyDescent="0.2">
      <c r="A92" s="721"/>
      <c r="B92" s="173"/>
      <c r="C92" s="164"/>
      <c r="D92" s="164"/>
      <c r="E92" s="164"/>
      <c r="F92" s="781"/>
      <c r="G92" s="781"/>
      <c r="H92" s="781"/>
      <c r="I92" s="781"/>
      <c r="J92" s="781"/>
    </row>
    <row r="93" spans="1:10" x14ac:dyDescent="0.2">
      <c r="A93" s="721"/>
      <c r="B93" s="173"/>
      <c r="C93" s="164"/>
      <c r="D93" s="164"/>
      <c r="E93" s="164"/>
      <c r="F93" s="781"/>
      <c r="G93" s="781"/>
      <c r="H93" s="781"/>
      <c r="I93" s="781"/>
      <c r="J93" s="781"/>
    </row>
    <row r="94" spans="1:10" x14ac:dyDescent="0.2">
      <c r="A94" s="721"/>
      <c r="B94" s="173"/>
      <c r="C94" s="164"/>
      <c r="D94" s="164"/>
      <c r="E94" s="164"/>
      <c r="F94" s="781"/>
      <c r="G94" s="781"/>
      <c r="H94" s="781"/>
      <c r="I94" s="781"/>
      <c r="J94" s="781"/>
    </row>
    <row r="95" spans="1:10" x14ac:dyDescent="0.2">
      <c r="A95" s="721"/>
      <c r="B95" s="1259"/>
      <c r="C95" s="164"/>
      <c r="D95" s="164"/>
      <c r="E95" s="164"/>
      <c r="F95" s="781"/>
      <c r="G95" s="781"/>
      <c r="H95" s="781"/>
      <c r="I95" s="781"/>
      <c r="J95" s="781"/>
    </row>
    <row r="96" spans="1:10" x14ac:dyDescent="0.2">
      <c r="A96" s="721"/>
      <c r="B96" s="1259"/>
      <c r="C96" s="164"/>
      <c r="D96" s="164"/>
      <c r="E96" s="164"/>
      <c r="F96" s="781"/>
      <c r="G96" s="781"/>
      <c r="H96" s="781"/>
      <c r="I96" s="781"/>
      <c r="J96" s="781"/>
    </row>
    <row r="97" spans="1:10" x14ac:dyDescent="0.2">
      <c r="A97" s="721"/>
      <c r="B97" s="1259"/>
      <c r="C97" s="164"/>
      <c r="D97" s="164"/>
      <c r="E97" s="164"/>
      <c r="F97" s="781"/>
      <c r="G97" s="781"/>
      <c r="H97" s="781"/>
      <c r="I97" s="781"/>
      <c r="J97" s="781"/>
    </row>
    <row r="98" spans="1:10" x14ac:dyDescent="0.2">
      <c r="A98" s="721"/>
      <c r="B98" s="1259"/>
      <c r="C98" s="164"/>
      <c r="D98" s="164"/>
      <c r="E98" s="164"/>
      <c r="F98" s="781"/>
      <c r="G98" s="781"/>
      <c r="H98" s="781"/>
      <c r="I98" s="781"/>
      <c r="J98" s="781"/>
    </row>
    <row r="99" spans="1:10" x14ac:dyDescent="0.2">
      <c r="A99" s="721"/>
      <c r="B99" s="1259"/>
      <c r="C99" s="164"/>
      <c r="D99" s="164"/>
      <c r="E99" s="164"/>
      <c r="F99" s="781"/>
      <c r="G99" s="781"/>
      <c r="H99" s="781"/>
      <c r="I99" s="781"/>
      <c r="J99" s="781"/>
    </row>
    <row r="100" spans="1:10" x14ac:dyDescent="0.2">
      <c r="A100" s="721"/>
      <c r="B100" s="1259"/>
      <c r="C100" s="164"/>
      <c r="D100" s="164"/>
      <c r="E100" s="164"/>
      <c r="F100" s="781"/>
      <c r="G100" s="781"/>
      <c r="H100" s="781"/>
      <c r="I100" s="781"/>
      <c r="J100" s="781"/>
    </row>
    <row r="101" spans="1:10" x14ac:dyDescent="0.2">
      <c r="A101" s="721"/>
      <c r="B101" s="1259"/>
      <c r="C101" s="164"/>
      <c r="D101" s="164"/>
      <c r="E101" s="164"/>
      <c r="F101" s="781"/>
      <c r="G101" s="781"/>
      <c r="H101" s="781"/>
      <c r="I101" s="781"/>
      <c r="J101" s="781"/>
    </row>
    <row r="102" spans="1:10" x14ac:dyDescent="0.2">
      <c r="A102" s="721"/>
      <c r="B102" s="1259"/>
      <c r="C102" s="164"/>
      <c r="D102" s="164"/>
      <c r="E102" s="164"/>
      <c r="F102" s="781"/>
      <c r="G102" s="781"/>
      <c r="H102" s="781"/>
      <c r="I102" s="781"/>
      <c r="J102" s="781"/>
    </row>
    <row r="103" spans="1:10" x14ac:dyDescent="0.2">
      <c r="A103" s="721"/>
      <c r="B103" s="1259"/>
      <c r="C103" s="164"/>
      <c r="D103" s="164"/>
      <c r="E103" s="164"/>
      <c r="F103" s="781"/>
      <c r="G103" s="781"/>
      <c r="H103" s="781"/>
      <c r="I103" s="781"/>
      <c r="J103" s="781"/>
    </row>
    <row r="104" spans="1:10" x14ac:dyDescent="0.2">
      <c r="A104" s="721"/>
      <c r="B104" s="1259"/>
      <c r="C104" s="164"/>
      <c r="D104" s="164"/>
      <c r="E104" s="164"/>
      <c r="F104" s="781"/>
      <c r="G104" s="781"/>
      <c r="H104" s="781"/>
      <c r="I104" s="781"/>
      <c r="J104" s="781"/>
    </row>
    <row r="105" spans="1:10" x14ac:dyDescent="0.2">
      <c r="A105" s="721"/>
      <c r="B105" s="1259"/>
      <c r="C105" s="164"/>
      <c r="D105" s="164"/>
      <c r="E105" s="164"/>
      <c r="F105" s="781"/>
      <c r="G105" s="781"/>
      <c r="H105" s="781"/>
      <c r="I105" s="781"/>
      <c r="J105" s="781"/>
    </row>
    <row r="106" spans="1:10" x14ac:dyDescent="0.2">
      <c r="A106" s="721"/>
      <c r="B106" s="1259"/>
      <c r="C106" s="164"/>
      <c r="D106" s="164"/>
      <c r="E106" s="164"/>
      <c r="F106" s="781"/>
      <c r="G106" s="781"/>
      <c r="H106" s="781"/>
      <c r="I106" s="781"/>
      <c r="J106" s="781"/>
    </row>
    <row r="107" spans="1:10" x14ac:dyDescent="0.2">
      <c r="A107" s="721"/>
      <c r="B107" s="1259"/>
      <c r="C107" s="164"/>
      <c r="D107" s="164"/>
      <c r="E107" s="164"/>
      <c r="F107" s="781"/>
      <c r="G107" s="781"/>
      <c r="H107" s="781"/>
      <c r="I107" s="781"/>
      <c r="J107" s="781"/>
    </row>
    <row r="108" spans="1:10" x14ac:dyDescent="0.2">
      <c r="A108" s="721"/>
      <c r="B108" s="1259"/>
      <c r="C108" s="164"/>
      <c r="D108" s="164"/>
      <c r="E108" s="164"/>
      <c r="F108" s="781"/>
      <c r="G108" s="781"/>
      <c r="H108" s="781"/>
      <c r="I108" s="781"/>
      <c r="J108" s="781"/>
    </row>
    <row r="109" spans="1:10" x14ac:dyDescent="0.2">
      <c r="A109" s="721"/>
      <c r="B109" s="1259"/>
      <c r="C109" s="164"/>
      <c r="D109" s="164"/>
      <c r="E109" s="164"/>
      <c r="F109" s="781"/>
      <c r="G109" s="781"/>
      <c r="H109" s="781"/>
      <c r="I109" s="781"/>
      <c r="J109" s="781"/>
    </row>
    <row r="110" spans="1:10" x14ac:dyDescent="0.2">
      <c r="A110" s="721"/>
      <c r="B110" s="1259"/>
      <c r="C110" s="164"/>
      <c r="D110" s="164"/>
      <c r="E110" s="164"/>
      <c r="F110" s="781"/>
      <c r="G110" s="781"/>
      <c r="H110" s="781"/>
      <c r="I110" s="781"/>
      <c r="J110" s="781"/>
    </row>
    <row r="111" spans="1:10" x14ac:dyDescent="0.2">
      <c r="A111" s="721"/>
      <c r="B111" s="1259"/>
      <c r="C111" s="164"/>
      <c r="D111" s="164"/>
      <c r="E111" s="164"/>
      <c r="F111" s="781"/>
      <c r="G111" s="781"/>
      <c r="H111" s="781"/>
      <c r="I111" s="781"/>
      <c r="J111" s="781"/>
    </row>
    <row r="112" spans="1:10" x14ac:dyDescent="0.2">
      <c r="A112" s="721"/>
      <c r="B112" s="1259"/>
      <c r="C112" s="164"/>
      <c r="D112" s="164"/>
      <c r="E112" s="164"/>
      <c r="F112" s="781"/>
      <c r="G112" s="781"/>
      <c r="H112" s="781"/>
      <c r="I112" s="781"/>
      <c r="J112" s="781"/>
    </row>
    <row r="113" spans="1:10" x14ac:dyDescent="0.2">
      <c r="A113" s="721"/>
      <c r="B113" s="1259"/>
      <c r="C113" s="164"/>
      <c r="D113" s="164"/>
      <c r="E113" s="164"/>
      <c r="F113" s="781"/>
      <c r="G113" s="781"/>
      <c r="H113" s="781"/>
      <c r="I113" s="781"/>
      <c r="J113" s="781"/>
    </row>
    <row r="114" spans="1:10" x14ac:dyDescent="0.2">
      <c r="A114" s="721"/>
      <c r="B114" s="1259"/>
      <c r="C114" s="164"/>
      <c r="D114" s="164"/>
      <c r="E114" s="164"/>
      <c r="F114" s="781"/>
      <c r="G114" s="781"/>
      <c r="H114" s="781"/>
      <c r="I114" s="781"/>
      <c r="J114" s="781"/>
    </row>
    <row r="115" spans="1:10" x14ac:dyDescent="0.2">
      <c r="A115" s="721"/>
      <c r="B115" s="1259"/>
      <c r="C115" s="164"/>
      <c r="D115" s="164"/>
      <c r="E115" s="164"/>
      <c r="F115" s="781"/>
      <c r="G115" s="781"/>
      <c r="H115" s="781"/>
      <c r="I115" s="781"/>
      <c r="J115" s="781"/>
    </row>
    <row r="116" spans="1:10" x14ac:dyDescent="0.2">
      <c r="A116" s="721"/>
      <c r="B116" s="1259"/>
      <c r="C116" s="164"/>
      <c r="D116" s="164"/>
      <c r="E116" s="164"/>
      <c r="F116" s="781"/>
      <c r="G116" s="781"/>
      <c r="H116" s="781"/>
      <c r="I116" s="781"/>
      <c r="J116" s="781"/>
    </row>
    <row r="117" spans="1:10" x14ac:dyDescent="0.2">
      <c r="A117" s="721"/>
      <c r="B117" s="1259"/>
      <c r="C117" s="164"/>
      <c r="D117" s="164"/>
      <c r="E117" s="164"/>
      <c r="F117" s="781"/>
      <c r="G117" s="781"/>
      <c r="H117" s="781"/>
      <c r="I117" s="781"/>
      <c r="J117" s="781"/>
    </row>
    <row r="118" spans="1:10" x14ac:dyDescent="0.2">
      <c r="A118" s="721"/>
      <c r="B118" s="1259"/>
      <c r="C118" s="164"/>
      <c r="D118" s="164"/>
      <c r="E118" s="164"/>
      <c r="F118" s="781"/>
      <c r="G118" s="781"/>
      <c r="H118" s="781"/>
      <c r="I118" s="781"/>
      <c r="J118" s="781"/>
    </row>
    <row r="119" spans="1:10" x14ac:dyDescent="0.2">
      <c r="A119" s="721"/>
      <c r="B119" s="1259"/>
      <c r="C119" s="164"/>
      <c r="D119" s="164"/>
      <c r="E119" s="164"/>
      <c r="F119" s="781"/>
      <c r="G119" s="781"/>
      <c r="H119" s="781"/>
      <c r="I119" s="781"/>
      <c r="J119" s="781"/>
    </row>
    <row r="120" spans="1:10" x14ac:dyDescent="0.2">
      <c r="A120" s="721"/>
      <c r="B120" s="1259"/>
      <c r="C120" s="164"/>
      <c r="D120" s="164"/>
      <c r="E120" s="164"/>
      <c r="F120" s="781"/>
      <c r="G120" s="781"/>
      <c r="H120" s="781"/>
      <c r="I120" s="781"/>
      <c r="J120" s="781"/>
    </row>
    <row r="121" spans="1:10" x14ac:dyDescent="0.2">
      <c r="A121" s="721"/>
      <c r="B121" s="1259"/>
      <c r="C121" s="164"/>
      <c r="D121" s="164"/>
      <c r="E121" s="164"/>
      <c r="F121" s="781"/>
      <c r="G121" s="781"/>
      <c r="H121" s="781"/>
      <c r="I121" s="781"/>
      <c r="J121" s="781"/>
    </row>
    <row r="122" spans="1:10" x14ac:dyDescent="0.2">
      <c r="A122" s="721"/>
      <c r="B122" s="1259"/>
      <c r="C122" s="164"/>
      <c r="D122" s="164"/>
      <c r="E122" s="164"/>
      <c r="F122" s="781"/>
      <c r="G122" s="781"/>
      <c r="H122" s="781"/>
      <c r="I122" s="781"/>
      <c r="J122" s="781"/>
    </row>
    <row r="123" spans="1:10" x14ac:dyDescent="0.2">
      <c r="A123" s="721"/>
      <c r="B123" s="1259"/>
      <c r="C123" s="164"/>
      <c r="D123" s="164"/>
      <c r="E123" s="164"/>
      <c r="F123" s="781"/>
      <c r="G123" s="781"/>
      <c r="H123" s="781"/>
      <c r="I123" s="781"/>
      <c r="J123" s="781"/>
    </row>
    <row r="124" spans="1:10" x14ac:dyDescent="0.2">
      <c r="A124" s="721"/>
      <c r="B124" s="1259"/>
      <c r="C124" s="164"/>
      <c r="D124" s="164"/>
      <c r="E124" s="164"/>
      <c r="F124" s="781"/>
      <c r="G124" s="781"/>
      <c r="H124" s="781"/>
      <c r="I124" s="781"/>
      <c r="J124" s="781"/>
    </row>
    <row r="125" spans="1:10" x14ac:dyDescent="0.2">
      <c r="A125" s="721"/>
      <c r="B125" s="1259"/>
      <c r="C125" s="164"/>
      <c r="D125" s="164"/>
      <c r="E125" s="164"/>
      <c r="F125" s="781"/>
      <c r="G125" s="781"/>
      <c r="H125" s="781"/>
      <c r="I125" s="781"/>
      <c r="J125" s="781"/>
    </row>
    <row r="126" spans="1:10" x14ac:dyDescent="0.2">
      <c r="A126" s="721"/>
      <c r="B126" s="1259"/>
      <c r="C126" s="164"/>
      <c r="D126" s="164"/>
      <c r="E126" s="164"/>
      <c r="F126" s="781"/>
      <c r="G126" s="781"/>
      <c r="H126" s="781"/>
      <c r="I126" s="781"/>
      <c r="J126" s="781"/>
    </row>
    <row r="127" spans="1:10" x14ac:dyDescent="0.2">
      <c r="A127" s="721"/>
      <c r="B127" s="1259"/>
      <c r="C127" s="164"/>
      <c r="D127" s="164"/>
      <c r="E127" s="164"/>
      <c r="F127" s="781"/>
      <c r="G127" s="781"/>
      <c r="H127" s="781"/>
      <c r="I127" s="781"/>
      <c r="J127" s="781"/>
    </row>
    <row r="128" spans="1:10" x14ac:dyDescent="0.2">
      <c r="A128" s="721"/>
      <c r="B128" s="1259"/>
      <c r="C128" s="164"/>
      <c r="D128" s="164"/>
      <c r="E128" s="164"/>
      <c r="F128" s="781"/>
      <c r="G128" s="781"/>
      <c r="H128" s="781"/>
      <c r="I128" s="781"/>
      <c r="J128" s="781"/>
    </row>
    <row r="129" spans="1:10" x14ac:dyDescent="0.2">
      <c r="A129" s="721"/>
      <c r="B129" s="1259"/>
      <c r="C129" s="164"/>
      <c r="D129" s="164"/>
      <c r="E129" s="164"/>
      <c r="F129" s="781"/>
      <c r="G129" s="781"/>
      <c r="H129" s="781"/>
      <c r="I129" s="781"/>
      <c r="J129" s="781"/>
    </row>
    <row r="130" spans="1:10" x14ac:dyDescent="0.2">
      <c r="A130" s="721"/>
      <c r="B130" s="1259"/>
      <c r="C130" s="164"/>
      <c r="D130" s="164"/>
      <c r="E130" s="164"/>
      <c r="F130" s="781"/>
      <c r="G130" s="781"/>
      <c r="H130" s="781"/>
      <c r="I130" s="781"/>
      <c r="J130" s="781"/>
    </row>
    <row r="131" spans="1:10" x14ac:dyDescent="0.2">
      <c r="A131" s="721"/>
      <c r="B131" s="1259"/>
      <c r="C131" s="164"/>
      <c r="D131" s="164"/>
      <c r="E131" s="164"/>
      <c r="F131" s="781"/>
      <c r="G131" s="781"/>
      <c r="H131" s="781"/>
      <c r="I131" s="781"/>
      <c r="J131" s="781"/>
    </row>
    <row r="132" spans="1:10" x14ac:dyDescent="0.2">
      <c r="A132" s="721"/>
      <c r="B132" s="1259"/>
      <c r="C132" s="164"/>
      <c r="D132" s="164"/>
      <c r="E132" s="164"/>
      <c r="F132" s="781"/>
      <c r="G132" s="781"/>
      <c r="H132" s="781"/>
      <c r="I132" s="781"/>
      <c r="J132" s="781"/>
    </row>
    <row r="133" spans="1:10" x14ac:dyDescent="0.2">
      <c r="A133" s="721"/>
      <c r="B133" s="1259"/>
      <c r="C133" s="164"/>
      <c r="D133" s="164"/>
      <c r="E133" s="164"/>
      <c r="F133" s="781"/>
      <c r="G133" s="781"/>
      <c r="H133" s="781"/>
      <c r="I133" s="781"/>
      <c r="J133" s="781"/>
    </row>
    <row r="134" spans="1:10" x14ac:dyDescent="0.2">
      <c r="A134" s="721"/>
      <c r="B134" s="1259"/>
      <c r="C134" s="164"/>
      <c r="D134" s="164"/>
      <c r="E134" s="164"/>
      <c r="F134" s="781"/>
      <c r="G134" s="781"/>
      <c r="H134" s="781"/>
      <c r="I134" s="781"/>
      <c r="J134" s="781"/>
    </row>
    <row r="135" spans="1:10" x14ac:dyDescent="0.2">
      <c r="A135" s="721"/>
      <c r="B135" s="1259"/>
      <c r="C135" s="164"/>
      <c r="D135" s="164"/>
      <c r="E135" s="164"/>
      <c r="F135" s="781"/>
      <c r="G135" s="781"/>
      <c r="H135" s="781"/>
      <c r="I135" s="781"/>
      <c r="J135" s="781"/>
    </row>
    <row r="136" spans="1:10" x14ac:dyDescent="0.2">
      <c r="A136" s="721"/>
      <c r="B136" s="1259"/>
      <c r="C136" s="164"/>
      <c r="D136" s="164"/>
      <c r="E136" s="164"/>
      <c r="F136" s="781"/>
      <c r="G136" s="781"/>
      <c r="H136" s="781"/>
      <c r="I136" s="781"/>
      <c r="J136" s="781"/>
    </row>
    <row r="137" spans="1:10" x14ac:dyDescent="0.2">
      <c r="A137" s="721"/>
      <c r="B137" s="1259"/>
      <c r="C137" s="164"/>
      <c r="D137" s="164"/>
      <c r="E137" s="164"/>
      <c r="F137" s="781"/>
      <c r="G137" s="781"/>
      <c r="H137" s="781"/>
      <c r="I137" s="781"/>
      <c r="J137" s="781"/>
    </row>
    <row r="138" spans="1:10" x14ac:dyDescent="0.2">
      <c r="A138" s="721"/>
      <c r="B138" s="1259"/>
      <c r="C138" s="164"/>
      <c r="D138" s="164"/>
      <c r="E138" s="164"/>
      <c r="F138" s="781"/>
      <c r="G138" s="781"/>
      <c r="H138" s="781"/>
      <c r="I138" s="781"/>
      <c r="J138" s="781"/>
    </row>
    <row r="139" spans="1:10" x14ac:dyDescent="0.2">
      <c r="A139" s="721"/>
      <c r="B139" s="1259"/>
      <c r="C139" s="164"/>
      <c r="D139" s="164"/>
      <c r="E139" s="164"/>
      <c r="F139" s="781"/>
      <c r="G139" s="781"/>
      <c r="H139" s="781"/>
      <c r="I139" s="781"/>
      <c r="J139" s="781"/>
    </row>
    <row r="140" spans="1:10" x14ac:dyDescent="0.2">
      <c r="A140" s="721"/>
      <c r="B140" s="1259"/>
      <c r="C140" s="164"/>
      <c r="D140" s="164"/>
      <c r="E140" s="164"/>
      <c r="F140" s="781"/>
      <c r="G140" s="781"/>
      <c r="H140" s="781"/>
      <c r="I140" s="781"/>
      <c r="J140" s="781"/>
    </row>
    <row r="141" spans="1:10" x14ac:dyDescent="0.2">
      <c r="A141" s="721"/>
      <c r="B141" s="1259"/>
      <c r="C141" s="164"/>
      <c r="D141" s="164"/>
      <c r="E141" s="164"/>
      <c r="F141" s="781"/>
      <c r="G141" s="781"/>
      <c r="H141" s="781"/>
      <c r="I141" s="781"/>
      <c r="J141" s="781"/>
    </row>
    <row r="142" spans="1:10" x14ac:dyDescent="0.2">
      <c r="A142" s="721"/>
      <c r="B142" s="1259"/>
      <c r="C142" s="164"/>
      <c r="D142" s="164"/>
      <c r="E142" s="164"/>
      <c r="F142" s="781"/>
      <c r="G142" s="781"/>
      <c r="H142" s="781"/>
      <c r="I142" s="781"/>
      <c r="J142" s="781"/>
    </row>
    <row r="143" spans="1:10" x14ac:dyDescent="0.2">
      <c r="A143" s="721"/>
      <c r="B143" s="1259"/>
      <c r="C143" s="164"/>
      <c r="D143" s="164"/>
      <c r="E143" s="164"/>
      <c r="F143" s="781"/>
      <c r="G143" s="781"/>
      <c r="H143" s="781"/>
      <c r="I143" s="781"/>
      <c r="J143" s="781"/>
    </row>
    <row r="144" spans="1:10" x14ac:dyDescent="0.2">
      <c r="A144" s="721"/>
      <c r="B144" s="1259"/>
      <c r="C144" s="164"/>
      <c r="D144" s="164"/>
      <c r="E144" s="164"/>
      <c r="F144" s="781"/>
      <c r="G144" s="781"/>
      <c r="H144" s="781"/>
      <c r="I144" s="781"/>
      <c r="J144" s="781"/>
    </row>
    <row r="145" spans="1:10" x14ac:dyDescent="0.2">
      <c r="A145" s="721"/>
      <c r="B145" s="1259"/>
      <c r="C145" s="164"/>
      <c r="D145" s="164"/>
      <c r="E145" s="164"/>
      <c r="F145" s="781"/>
      <c r="G145" s="781"/>
      <c r="H145" s="781"/>
      <c r="I145" s="781"/>
      <c r="J145" s="781"/>
    </row>
    <row r="146" spans="1:10" x14ac:dyDescent="0.2">
      <c r="A146" s="721"/>
      <c r="B146" s="1259"/>
      <c r="C146" s="164"/>
      <c r="D146" s="164"/>
      <c r="E146" s="164"/>
      <c r="F146" s="781"/>
      <c r="G146" s="781"/>
      <c r="H146" s="781"/>
      <c r="I146" s="781"/>
      <c r="J146" s="781"/>
    </row>
    <row r="147" spans="1:10" x14ac:dyDescent="0.2">
      <c r="A147" s="721"/>
      <c r="B147" s="1259"/>
      <c r="C147" s="164"/>
      <c r="D147" s="164"/>
      <c r="E147" s="164"/>
      <c r="F147" s="781"/>
      <c r="G147" s="781"/>
      <c r="H147" s="781"/>
      <c r="I147" s="781"/>
      <c r="J147" s="781"/>
    </row>
    <row r="148" spans="1:10" x14ac:dyDescent="0.2">
      <c r="A148" s="721"/>
      <c r="B148" s="1259"/>
      <c r="C148" s="164"/>
      <c r="D148" s="164"/>
      <c r="E148" s="164"/>
      <c r="F148" s="781"/>
      <c r="G148" s="781"/>
      <c r="H148" s="781"/>
      <c r="I148" s="781"/>
      <c r="J148" s="781"/>
    </row>
    <row r="149" spans="1:10" x14ac:dyDescent="0.2">
      <c r="A149" s="721"/>
      <c r="B149" s="1259"/>
      <c r="C149" s="164"/>
      <c r="D149" s="164"/>
      <c r="E149" s="164"/>
      <c r="F149" s="781"/>
      <c r="G149" s="781"/>
      <c r="H149" s="781"/>
      <c r="I149" s="781"/>
      <c r="J149" s="781"/>
    </row>
    <row r="150" spans="1:10" x14ac:dyDescent="0.2">
      <c r="A150" s="721"/>
      <c r="B150" s="1259"/>
      <c r="C150" s="164"/>
      <c r="D150" s="164"/>
      <c r="E150" s="164"/>
      <c r="F150" s="781"/>
      <c r="G150" s="781"/>
      <c r="H150" s="781"/>
      <c r="I150" s="781"/>
      <c r="J150" s="781"/>
    </row>
    <row r="151" spans="1:10" x14ac:dyDescent="0.2">
      <c r="A151" s="721"/>
      <c r="B151" s="1259"/>
      <c r="C151" s="164"/>
      <c r="D151" s="164"/>
      <c r="E151" s="164"/>
      <c r="F151" s="781"/>
      <c r="G151" s="781"/>
      <c r="H151" s="781"/>
      <c r="I151" s="781"/>
      <c r="J151" s="781"/>
    </row>
    <row r="152" spans="1:10" x14ac:dyDescent="0.2">
      <c r="A152" s="721"/>
      <c r="B152" s="1259"/>
      <c r="C152" s="164"/>
      <c r="D152" s="164"/>
      <c r="E152" s="164"/>
      <c r="F152" s="781"/>
      <c r="G152" s="781"/>
      <c r="H152" s="781"/>
      <c r="I152" s="781"/>
      <c r="J152" s="781"/>
    </row>
    <row r="153" spans="1:10" x14ac:dyDescent="0.2">
      <c r="A153" s="721"/>
      <c r="B153" s="1259"/>
      <c r="C153" s="164"/>
      <c r="D153" s="164"/>
      <c r="E153" s="164"/>
      <c r="F153" s="781"/>
      <c r="G153" s="781"/>
      <c r="H153" s="781"/>
      <c r="I153" s="781"/>
      <c r="J153" s="781"/>
    </row>
    <row r="154" spans="1:10" x14ac:dyDescent="0.2">
      <c r="A154" s="721"/>
      <c r="B154" s="1259"/>
      <c r="C154" s="164"/>
      <c r="D154" s="164"/>
      <c r="E154" s="164"/>
      <c r="F154" s="781"/>
      <c r="G154" s="781"/>
      <c r="H154" s="781"/>
      <c r="I154" s="781"/>
      <c r="J154" s="781"/>
    </row>
    <row r="155" spans="1:10" x14ac:dyDescent="0.2">
      <c r="A155" s="721"/>
      <c r="B155" s="1259"/>
      <c r="C155" s="164"/>
      <c r="D155" s="164"/>
      <c r="E155" s="164"/>
      <c r="F155" s="781"/>
      <c r="G155" s="781"/>
      <c r="H155" s="781"/>
      <c r="I155" s="781"/>
      <c r="J155" s="781"/>
    </row>
    <row r="156" spans="1:10" x14ac:dyDescent="0.2">
      <c r="A156" s="721"/>
      <c r="B156" s="1259"/>
      <c r="C156" s="164"/>
      <c r="D156" s="164"/>
      <c r="E156" s="164"/>
      <c r="F156" s="781"/>
      <c r="G156" s="781"/>
      <c r="H156" s="781"/>
      <c r="I156" s="781"/>
      <c r="J156" s="781"/>
    </row>
    <row r="157" spans="1:10" x14ac:dyDescent="0.2">
      <c r="A157" s="721"/>
      <c r="B157" s="1259"/>
      <c r="C157" s="164"/>
      <c r="D157" s="164"/>
      <c r="E157" s="164"/>
      <c r="F157" s="781"/>
      <c r="G157" s="781"/>
      <c r="H157" s="781"/>
      <c r="I157" s="781"/>
      <c r="J157" s="781"/>
    </row>
    <row r="158" spans="1:10" x14ac:dyDescent="0.2">
      <c r="A158" s="721"/>
      <c r="B158" s="1259"/>
      <c r="C158" s="164"/>
      <c r="D158" s="164"/>
      <c r="E158" s="164"/>
      <c r="F158" s="781"/>
      <c r="G158" s="781"/>
      <c r="H158" s="781"/>
      <c r="I158" s="781"/>
      <c r="J158" s="781"/>
    </row>
    <row r="159" spans="1:10" x14ac:dyDescent="0.2">
      <c r="A159" s="721"/>
      <c r="B159" s="1259"/>
      <c r="C159" s="164"/>
      <c r="D159" s="164"/>
      <c r="E159" s="164"/>
      <c r="F159" s="781"/>
      <c r="G159" s="781"/>
      <c r="H159" s="781"/>
      <c r="I159" s="781"/>
      <c r="J159" s="781"/>
    </row>
    <row r="160" spans="1:10" x14ac:dyDescent="0.2">
      <c r="A160" s="721"/>
      <c r="B160" s="1259"/>
      <c r="C160" s="164"/>
      <c r="D160" s="164"/>
      <c r="E160" s="164"/>
      <c r="F160" s="781"/>
      <c r="G160" s="781"/>
      <c r="H160" s="781"/>
      <c r="I160" s="781"/>
      <c r="J160" s="781"/>
    </row>
    <row r="161" spans="1:10" x14ac:dyDescent="0.2">
      <c r="A161" s="721"/>
      <c r="B161" s="1259"/>
      <c r="C161" s="164"/>
      <c r="D161" s="164"/>
      <c r="E161" s="164"/>
      <c r="F161" s="781"/>
      <c r="G161" s="781"/>
      <c r="H161" s="781"/>
      <c r="I161" s="781"/>
      <c r="J161" s="781"/>
    </row>
    <row r="162" spans="1:10" x14ac:dyDescent="0.2">
      <c r="A162" s="721"/>
      <c r="B162" s="1259"/>
      <c r="C162" s="164"/>
      <c r="D162" s="164"/>
      <c r="E162" s="164"/>
      <c r="F162" s="781"/>
      <c r="G162" s="781"/>
      <c r="H162" s="781"/>
      <c r="I162" s="781"/>
      <c r="J162" s="781"/>
    </row>
    <row r="163" spans="1:10" x14ac:dyDescent="0.2">
      <c r="A163" s="721"/>
      <c r="B163" s="1259"/>
      <c r="C163" s="164"/>
      <c r="D163" s="164"/>
      <c r="E163" s="164"/>
      <c r="F163" s="781"/>
      <c r="G163" s="781"/>
      <c r="H163" s="781"/>
      <c r="I163" s="781"/>
      <c r="J163" s="781"/>
    </row>
    <row r="164" spans="1:10" x14ac:dyDescent="0.2">
      <c r="A164" s="721"/>
      <c r="B164" s="1259"/>
      <c r="C164" s="164"/>
      <c r="D164" s="164"/>
      <c r="E164" s="164"/>
      <c r="F164" s="781"/>
      <c r="G164" s="781"/>
      <c r="H164" s="781"/>
      <c r="I164" s="781"/>
      <c r="J164" s="781"/>
    </row>
    <row r="165" spans="1:10" x14ac:dyDescent="0.2">
      <c r="A165" s="721"/>
      <c r="B165" s="1259"/>
      <c r="C165" s="164"/>
      <c r="D165" s="164"/>
      <c r="E165" s="164"/>
      <c r="F165" s="781"/>
      <c r="G165" s="781"/>
      <c r="H165" s="781"/>
      <c r="I165" s="781"/>
      <c r="J165" s="781"/>
    </row>
    <row r="166" spans="1:10" x14ac:dyDescent="0.2">
      <c r="A166" s="721"/>
      <c r="B166" s="1259"/>
      <c r="C166" s="164"/>
      <c r="D166" s="164"/>
      <c r="E166" s="164"/>
      <c r="F166" s="781"/>
      <c r="G166" s="781"/>
      <c r="H166" s="781"/>
      <c r="I166" s="781"/>
      <c r="J166" s="781"/>
    </row>
    <row r="167" spans="1:10" x14ac:dyDescent="0.2">
      <c r="A167" s="721"/>
      <c r="B167" s="1259"/>
      <c r="C167" s="164"/>
      <c r="D167" s="164"/>
      <c r="E167" s="164"/>
      <c r="F167" s="781"/>
      <c r="G167" s="781"/>
      <c r="H167" s="781"/>
      <c r="I167" s="781"/>
      <c r="J167" s="781"/>
    </row>
    <row r="168" spans="1:10" x14ac:dyDescent="0.2">
      <c r="A168" s="721"/>
      <c r="B168" s="1259"/>
      <c r="C168" s="164"/>
      <c r="D168" s="164"/>
      <c r="E168" s="164"/>
      <c r="F168" s="781"/>
      <c r="G168" s="781"/>
      <c r="H168" s="781"/>
      <c r="I168" s="781"/>
      <c r="J168" s="781"/>
    </row>
    <row r="169" spans="1:10" x14ac:dyDescent="0.2">
      <c r="A169" s="721"/>
      <c r="B169" s="1259"/>
      <c r="C169" s="164"/>
      <c r="D169" s="164"/>
      <c r="E169" s="164"/>
      <c r="F169" s="781"/>
      <c r="G169" s="781"/>
      <c r="H169" s="781"/>
      <c r="I169" s="781"/>
      <c r="J169" s="781"/>
    </row>
    <row r="170" spans="1:10" x14ac:dyDescent="0.2">
      <c r="A170" s="721"/>
      <c r="B170" s="1259"/>
      <c r="C170" s="164"/>
      <c r="D170" s="164"/>
      <c r="E170" s="164"/>
      <c r="F170" s="781"/>
      <c r="G170" s="781"/>
      <c r="H170" s="781"/>
      <c r="I170" s="781"/>
      <c r="J170" s="781"/>
    </row>
    <row r="171" spans="1:10" x14ac:dyDescent="0.2">
      <c r="A171" s="721"/>
      <c r="B171" s="1259"/>
      <c r="C171" s="164"/>
      <c r="D171" s="164"/>
      <c r="E171" s="164"/>
      <c r="F171" s="781"/>
      <c r="G171" s="781"/>
      <c r="H171" s="781"/>
      <c r="I171" s="781"/>
      <c r="J171" s="781"/>
    </row>
    <row r="172" spans="1:10" x14ac:dyDescent="0.2">
      <c r="A172" s="721"/>
      <c r="B172" s="1259"/>
      <c r="C172" s="164"/>
      <c r="D172" s="164"/>
      <c r="E172" s="164"/>
      <c r="F172" s="781"/>
      <c r="G172" s="781"/>
      <c r="H172" s="781"/>
      <c r="I172" s="781"/>
      <c r="J172" s="781"/>
    </row>
    <row r="173" spans="1:10" x14ac:dyDescent="0.2">
      <c r="A173" s="721"/>
      <c r="B173" s="1259"/>
      <c r="C173" s="164"/>
      <c r="D173" s="164"/>
      <c r="E173" s="164"/>
      <c r="F173" s="781"/>
      <c r="G173" s="781"/>
      <c r="H173" s="781"/>
      <c r="I173" s="781"/>
      <c r="J173" s="781"/>
    </row>
    <row r="174" spans="1:10" x14ac:dyDescent="0.2">
      <c r="A174" s="721"/>
      <c r="B174" s="1259"/>
      <c r="C174" s="164"/>
      <c r="D174" s="164"/>
      <c r="E174" s="164"/>
      <c r="F174" s="781"/>
      <c r="G174" s="781"/>
      <c r="H174" s="781"/>
      <c r="I174" s="781"/>
      <c r="J174" s="781"/>
    </row>
    <row r="175" spans="1:10" x14ac:dyDescent="0.2">
      <c r="A175" s="721"/>
      <c r="B175" s="1259"/>
      <c r="C175" s="164"/>
      <c r="D175" s="164"/>
      <c r="E175" s="164"/>
      <c r="F175" s="781"/>
      <c r="G175" s="781"/>
      <c r="H175" s="781"/>
      <c r="I175" s="781"/>
      <c r="J175" s="781"/>
    </row>
    <row r="176" spans="1:10" x14ac:dyDescent="0.2">
      <c r="A176" s="721"/>
      <c r="B176" s="1259"/>
      <c r="C176" s="164"/>
      <c r="D176" s="164"/>
      <c r="E176" s="164"/>
      <c r="F176" s="781"/>
      <c r="G176" s="781"/>
      <c r="H176" s="781"/>
      <c r="I176" s="781"/>
      <c r="J176" s="781"/>
    </row>
    <row r="177" spans="1:10" x14ac:dyDescent="0.2">
      <c r="A177" s="721"/>
      <c r="B177" s="1259"/>
      <c r="C177" s="164"/>
      <c r="D177" s="164"/>
      <c r="E177" s="164"/>
      <c r="F177" s="781"/>
      <c r="G177" s="781"/>
      <c r="H177" s="781"/>
      <c r="I177" s="781"/>
      <c r="J177" s="781"/>
    </row>
    <row r="178" spans="1:10" x14ac:dyDescent="0.2">
      <c r="A178" s="721"/>
      <c r="B178" s="1259"/>
      <c r="C178" s="164"/>
      <c r="D178" s="164"/>
      <c r="E178" s="164"/>
      <c r="F178" s="781"/>
      <c r="G178" s="781"/>
      <c r="H178" s="781"/>
      <c r="I178" s="781"/>
      <c r="J178" s="781"/>
    </row>
    <row r="179" spans="1:10" x14ac:dyDescent="0.2">
      <c r="A179" s="721"/>
      <c r="B179" s="1259"/>
      <c r="C179" s="164"/>
      <c r="D179" s="164"/>
      <c r="E179" s="164"/>
      <c r="F179" s="781"/>
      <c r="G179" s="781"/>
      <c r="H179" s="781"/>
      <c r="I179" s="781"/>
      <c r="J179" s="781"/>
    </row>
    <row r="180" spans="1:10" x14ac:dyDescent="0.2">
      <c r="A180" s="721"/>
      <c r="B180" s="1259"/>
      <c r="C180" s="164"/>
      <c r="D180" s="164"/>
      <c r="E180" s="164"/>
      <c r="F180" s="781"/>
      <c r="G180" s="781"/>
      <c r="H180" s="781"/>
      <c r="I180" s="781"/>
      <c r="J180" s="781"/>
    </row>
    <row r="181" spans="1:10" x14ac:dyDescent="0.2">
      <c r="A181" s="721"/>
      <c r="B181" s="1259"/>
      <c r="C181" s="164"/>
      <c r="D181" s="164"/>
      <c r="E181" s="164"/>
      <c r="F181" s="781"/>
      <c r="G181" s="781"/>
      <c r="H181" s="781"/>
      <c r="I181" s="781"/>
      <c r="J181" s="781"/>
    </row>
    <row r="182" spans="1:10" x14ac:dyDescent="0.2">
      <c r="A182" s="721"/>
      <c r="B182" s="1259"/>
      <c r="C182" s="164"/>
      <c r="D182" s="164"/>
      <c r="E182" s="164"/>
      <c r="F182" s="781"/>
      <c r="G182" s="781"/>
      <c r="H182" s="781"/>
      <c r="I182" s="781"/>
      <c r="J182" s="781"/>
    </row>
    <row r="183" spans="1:10" x14ac:dyDescent="0.2">
      <c r="A183" s="721"/>
      <c r="B183" s="1259"/>
      <c r="C183" s="164"/>
      <c r="D183" s="164"/>
      <c r="E183" s="164"/>
      <c r="F183" s="781"/>
      <c r="G183" s="781"/>
      <c r="H183" s="781"/>
      <c r="I183" s="781"/>
      <c r="J183" s="781"/>
    </row>
    <row r="184" spans="1:10" x14ac:dyDescent="0.2">
      <c r="A184" s="721"/>
      <c r="B184" s="1259"/>
      <c r="C184" s="164"/>
      <c r="D184" s="164"/>
      <c r="E184" s="164"/>
      <c r="F184" s="781"/>
      <c r="G184" s="781"/>
      <c r="H184" s="781"/>
      <c r="I184" s="781"/>
      <c r="J184" s="781"/>
    </row>
    <row r="185" spans="1:10" x14ac:dyDescent="0.2">
      <c r="A185" s="721"/>
      <c r="B185" s="1259"/>
      <c r="C185" s="164"/>
      <c r="D185" s="164"/>
      <c r="E185" s="164"/>
      <c r="F185" s="781"/>
      <c r="G185" s="781"/>
      <c r="H185" s="781"/>
      <c r="I185" s="781"/>
      <c r="J185" s="781"/>
    </row>
    <row r="186" spans="1:10" x14ac:dyDescent="0.2">
      <c r="A186" s="721"/>
      <c r="B186" s="1259"/>
      <c r="C186" s="164"/>
      <c r="D186" s="164"/>
      <c r="E186" s="164"/>
      <c r="F186" s="781"/>
      <c r="G186" s="781"/>
      <c r="H186" s="781"/>
      <c r="I186" s="781"/>
      <c r="J186" s="781"/>
    </row>
  </sheetData>
  <sheetProtection selectLockedCells="1" selectUnlockedCells="1"/>
  <mergeCells count="10">
    <mergeCell ref="B1:I1"/>
    <mergeCell ref="F7:H7"/>
    <mergeCell ref="I7:I8"/>
    <mergeCell ref="B6:I6"/>
    <mergeCell ref="A3:I3"/>
    <mergeCell ref="A4:I4"/>
    <mergeCell ref="A5:I5"/>
    <mergeCell ref="B7:B8"/>
    <mergeCell ref="C7:E7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0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86" customWidth="1"/>
    <col min="2" max="2" width="9.85546875" style="186" hidden="1" customWidth="1"/>
    <col min="3" max="3" width="11.7109375" style="186" hidden="1" customWidth="1"/>
    <col min="4" max="4" width="9.85546875" style="186" hidden="1" customWidth="1"/>
    <col min="5" max="5" width="15.85546875" style="190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868" t="s">
        <v>293</v>
      </c>
      <c r="B1" s="1868"/>
      <c r="C1" s="1868"/>
      <c r="D1" s="1868"/>
      <c r="E1" s="1868"/>
      <c r="F1" s="1868"/>
      <c r="G1" s="1868"/>
      <c r="H1" s="1868"/>
      <c r="I1" s="1868"/>
    </row>
    <row r="2" spans="1:256" x14ac:dyDescent="0.2">
      <c r="F2" s="1899"/>
      <c r="G2" s="1899"/>
      <c r="H2" s="1899"/>
      <c r="I2" s="1899"/>
    </row>
    <row r="4" spans="1:256" ht="30" customHeight="1" x14ac:dyDescent="0.2">
      <c r="A4" s="1869" t="s">
        <v>77</v>
      </c>
      <c r="B4" s="1869"/>
      <c r="C4" s="1869"/>
      <c r="D4" s="1869"/>
      <c r="E4" s="1869"/>
      <c r="F4" s="1870"/>
      <c r="G4" s="1870"/>
      <c r="H4" s="1870"/>
      <c r="I4" s="1870"/>
    </row>
    <row r="5" spans="1:256" ht="33" customHeight="1" x14ac:dyDescent="0.2">
      <c r="A5" s="1869" t="s">
        <v>1008</v>
      </c>
      <c r="B5" s="1869"/>
      <c r="C5" s="1869"/>
      <c r="D5" s="1869"/>
      <c r="E5" s="1869"/>
      <c r="F5" s="1870"/>
      <c r="G5" s="1870"/>
      <c r="H5" s="1870"/>
      <c r="I5" s="1870"/>
    </row>
    <row r="7" spans="1:256" ht="13.5" thickBot="1" x14ac:dyDescent="0.25">
      <c r="E7" s="503" t="s">
        <v>20</v>
      </c>
      <c r="F7" s="854"/>
    </row>
    <row r="8" spans="1:256" ht="30.75" customHeight="1" thickBot="1" x14ac:dyDescent="0.25">
      <c r="A8" s="1871" t="s">
        <v>78</v>
      </c>
      <c r="B8" s="1873" t="s">
        <v>106</v>
      </c>
      <c r="C8" s="1874"/>
      <c r="D8" s="1874"/>
      <c r="E8" s="1874"/>
      <c r="F8" s="1900" t="s">
        <v>978</v>
      </c>
      <c r="G8" s="1901"/>
      <c r="H8" s="1901"/>
      <c r="I8" s="1902"/>
    </row>
    <row r="9" spans="1:256" ht="36.75" thickBot="1" x14ac:dyDescent="0.25">
      <c r="A9" s="1872"/>
      <c r="B9" s="276" t="s">
        <v>79</v>
      </c>
      <c r="C9" s="187" t="s">
        <v>80</v>
      </c>
      <c r="D9" s="187" t="s">
        <v>677</v>
      </c>
      <c r="E9" s="277" t="s">
        <v>81</v>
      </c>
      <c r="F9" s="276" t="s">
        <v>79</v>
      </c>
      <c r="G9" s="187" t="s">
        <v>80</v>
      </c>
      <c r="H9" s="187" t="s">
        <v>677</v>
      </c>
      <c r="I9" s="277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15" t="s">
        <v>82</v>
      </c>
      <c r="B10" s="516"/>
      <c r="C10" s="516"/>
      <c r="D10" s="516"/>
      <c r="E10" s="516"/>
      <c r="F10" s="517"/>
      <c r="G10" s="517"/>
      <c r="H10" s="517"/>
      <c r="I10" s="517"/>
      <c r="J10" s="543"/>
    </row>
    <row r="11" spans="1:256" ht="12.75" x14ac:dyDescent="0.2">
      <c r="A11" s="510" t="s">
        <v>796</v>
      </c>
      <c r="B11" s="629"/>
      <c r="C11" s="629"/>
      <c r="D11" s="629"/>
      <c r="E11" s="629"/>
      <c r="F11" s="690"/>
      <c r="G11" s="690"/>
      <c r="H11" s="690"/>
      <c r="I11" s="690"/>
      <c r="J11" s="543"/>
    </row>
    <row r="12" spans="1:256" ht="36" x14ac:dyDescent="0.2">
      <c r="A12" s="626" t="s">
        <v>797</v>
      </c>
      <c r="B12" s="629">
        <v>4865</v>
      </c>
      <c r="C12" s="691">
        <v>18.690000000000001</v>
      </c>
      <c r="D12" s="629">
        <v>4580000</v>
      </c>
      <c r="E12" s="629">
        <f>C12*D12</f>
        <v>85600200</v>
      </c>
      <c r="F12" s="737" t="s">
        <v>979</v>
      </c>
      <c r="G12" s="505">
        <v>18.32</v>
      </c>
      <c r="H12" s="505">
        <v>4580000</v>
      </c>
      <c r="I12" s="506">
        <f>G12*H12</f>
        <v>83905600</v>
      </c>
      <c r="J12" s="543"/>
    </row>
    <row r="13" spans="1:256" ht="12.75" x14ac:dyDescent="0.2">
      <c r="A13" s="510" t="s">
        <v>798</v>
      </c>
      <c r="B13" s="629"/>
      <c r="C13" s="629"/>
      <c r="D13" s="629"/>
      <c r="E13" s="629"/>
      <c r="F13" s="586"/>
      <c r="G13" s="634"/>
      <c r="H13" s="634"/>
      <c r="I13" s="586"/>
      <c r="J13" s="543"/>
    </row>
    <row r="14" spans="1:256" ht="12.75" x14ac:dyDescent="0.2">
      <c r="A14" s="626" t="s">
        <v>799</v>
      </c>
      <c r="B14" s="629"/>
      <c r="C14" s="638"/>
      <c r="D14" s="629" t="s">
        <v>294</v>
      </c>
      <c r="E14" s="629">
        <v>8328800</v>
      </c>
      <c r="F14" s="586"/>
      <c r="G14" s="634"/>
      <c r="H14" s="505" t="s">
        <v>294</v>
      </c>
      <c r="I14" s="506">
        <v>8329050</v>
      </c>
      <c r="J14" s="543"/>
    </row>
    <row r="15" spans="1:256" ht="12.75" x14ac:dyDescent="0.2">
      <c r="A15" s="626" t="s">
        <v>800</v>
      </c>
      <c r="B15" s="507"/>
      <c r="C15" s="508"/>
      <c r="D15" s="507"/>
      <c r="E15" s="507"/>
      <c r="F15" s="506"/>
      <c r="G15" s="505"/>
      <c r="H15" s="505"/>
      <c r="I15" s="506">
        <v>-8329050</v>
      </c>
      <c r="J15" s="543"/>
    </row>
    <row r="16" spans="1:256" ht="24" x14ac:dyDescent="0.2">
      <c r="A16" s="626" t="s">
        <v>801</v>
      </c>
      <c r="B16" s="507"/>
      <c r="C16" s="508"/>
      <c r="D16" s="507"/>
      <c r="E16" s="507"/>
      <c r="F16" s="506"/>
      <c r="G16" s="505"/>
      <c r="H16" s="505"/>
      <c r="I16" s="506">
        <f>I14+I15</f>
        <v>0</v>
      </c>
      <c r="J16" s="543"/>
    </row>
    <row r="17" spans="1:10" ht="12.75" x14ac:dyDescent="0.2">
      <c r="A17" s="510" t="s">
        <v>802</v>
      </c>
      <c r="B17" s="629"/>
      <c r="C17" s="629"/>
      <c r="D17" s="694" t="s">
        <v>295</v>
      </c>
      <c r="E17" s="629">
        <v>18272000</v>
      </c>
      <c r="F17" s="586"/>
      <c r="G17" s="634"/>
      <c r="H17" s="505" t="s">
        <v>296</v>
      </c>
      <c r="I17" s="506">
        <v>18304000</v>
      </c>
      <c r="J17" s="543"/>
    </row>
    <row r="18" spans="1:10" ht="12.75" x14ac:dyDescent="0.2">
      <c r="A18" s="510" t="s">
        <v>800</v>
      </c>
      <c r="B18" s="507"/>
      <c r="C18" s="507"/>
      <c r="D18" s="628"/>
      <c r="E18" s="507"/>
      <c r="F18" s="506"/>
      <c r="G18" s="505"/>
      <c r="H18" s="505"/>
      <c r="I18" s="506">
        <v>-18304000</v>
      </c>
      <c r="J18" s="543"/>
    </row>
    <row r="19" spans="1:10" ht="12.75" x14ac:dyDescent="0.2">
      <c r="A19" s="510" t="s">
        <v>803</v>
      </c>
      <c r="B19" s="507"/>
      <c r="C19" s="507"/>
      <c r="D19" s="628"/>
      <c r="E19" s="507"/>
      <c r="F19" s="506"/>
      <c r="G19" s="505"/>
      <c r="H19" s="505"/>
      <c r="I19" s="506">
        <f>I17+I18</f>
        <v>0</v>
      </c>
      <c r="J19" s="543"/>
    </row>
    <row r="20" spans="1:10" ht="12.75" x14ac:dyDescent="0.2">
      <c r="A20" s="510" t="s">
        <v>804</v>
      </c>
      <c r="B20" s="629"/>
      <c r="C20" s="629" t="s">
        <v>805</v>
      </c>
      <c r="D20" s="630" t="s">
        <v>678</v>
      </c>
      <c r="E20" s="629">
        <v>1355022</v>
      </c>
      <c r="F20" s="586"/>
      <c r="G20" s="629"/>
      <c r="H20" s="631" t="s">
        <v>678</v>
      </c>
      <c r="I20" s="506">
        <v>1355022</v>
      </c>
      <c r="J20" s="543"/>
    </row>
    <row r="21" spans="1:10" ht="12.75" x14ac:dyDescent="0.2">
      <c r="A21" s="510" t="s">
        <v>806</v>
      </c>
      <c r="B21" s="507"/>
      <c r="C21" s="507"/>
      <c r="D21" s="631"/>
      <c r="E21" s="507"/>
      <c r="F21" s="506"/>
      <c r="G21" s="507"/>
      <c r="H21" s="631"/>
      <c r="I21" s="506">
        <v>-1355022</v>
      </c>
      <c r="J21" s="543"/>
    </row>
    <row r="22" spans="1:10" ht="12.75" x14ac:dyDescent="0.2">
      <c r="A22" s="510" t="s">
        <v>807</v>
      </c>
      <c r="B22" s="507"/>
      <c r="C22" s="507"/>
      <c r="D22" s="631"/>
      <c r="E22" s="507"/>
      <c r="F22" s="506"/>
      <c r="G22" s="507"/>
      <c r="H22" s="631"/>
      <c r="I22" s="506">
        <f>I20+I21</f>
        <v>0</v>
      </c>
      <c r="J22" s="543"/>
    </row>
    <row r="23" spans="1:10" ht="12.75" x14ac:dyDescent="0.2">
      <c r="A23" s="510" t="s">
        <v>808</v>
      </c>
      <c r="B23" s="629"/>
      <c r="C23" s="638"/>
      <c r="D23" s="694" t="s">
        <v>679</v>
      </c>
      <c r="E23" s="629">
        <v>6369620</v>
      </c>
      <c r="F23" s="586"/>
      <c r="G23" s="634"/>
      <c r="H23" s="628" t="s">
        <v>679</v>
      </c>
      <c r="I23" s="506">
        <v>6369620</v>
      </c>
      <c r="J23" s="543"/>
    </row>
    <row r="24" spans="1:10" ht="12.75" x14ac:dyDescent="0.2">
      <c r="A24" s="510" t="s">
        <v>806</v>
      </c>
      <c r="B24" s="507"/>
      <c r="C24" s="508"/>
      <c r="D24" s="628"/>
      <c r="E24" s="507"/>
      <c r="F24" s="506"/>
      <c r="G24" s="505"/>
      <c r="H24" s="628"/>
      <c r="I24" s="506">
        <v>-6369620</v>
      </c>
      <c r="J24" s="543"/>
    </row>
    <row r="25" spans="1:10" ht="12.75" x14ac:dyDescent="0.2">
      <c r="A25" s="510" t="s">
        <v>809</v>
      </c>
      <c r="B25" s="507"/>
      <c r="C25" s="508"/>
      <c r="D25" s="628"/>
      <c r="E25" s="507"/>
      <c r="F25" s="506"/>
      <c r="G25" s="505"/>
      <c r="H25" s="628"/>
      <c r="I25" s="506">
        <f>I23+I24</f>
        <v>0</v>
      </c>
      <c r="J25" s="543"/>
    </row>
    <row r="26" spans="1:10" ht="12.75" x14ac:dyDescent="0.2">
      <c r="A26" s="510" t="s">
        <v>810</v>
      </c>
      <c r="B26" s="629">
        <v>4865</v>
      </c>
      <c r="C26" s="629"/>
      <c r="D26" s="629">
        <v>2700</v>
      </c>
      <c r="E26" s="629">
        <f>B26*D26</f>
        <v>13135500</v>
      </c>
      <c r="F26" s="506">
        <v>4705</v>
      </c>
      <c r="G26" s="634"/>
      <c r="H26" s="507">
        <v>2700</v>
      </c>
      <c r="I26" s="506">
        <f>F26*H26</f>
        <v>12703500</v>
      </c>
      <c r="J26" s="543"/>
    </row>
    <row r="27" spans="1:10" ht="12.75" x14ac:dyDescent="0.2">
      <c r="A27" s="510" t="s">
        <v>811</v>
      </c>
      <c r="B27" s="507"/>
      <c r="C27" s="507"/>
      <c r="D27" s="507"/>
      <c r="E27" s="507">
        <v>-13135500</v>
      </c>
      <c r="F27" s="506"/>
      <c r="G27" s="505"/>
      <c r="H27" s="505"/>
      <c r="I27" s="506">
        <v>-12703500</v>
      </c>
      <c r="J27" s="543"/>
    </row>
    <row r="28" spans="1:10" ht="12.75" x14ac:dyDescent="0.2">
      <c r="A28" s="510" t="s">
        <v>812</v>
      </c>
      <c r="B28" s="507"/>
      <c r="C28" s="507"/>
      <c r="D28" s="507"/>
      <c r="E28" s="507">
        <f>E26+E27</f>
        <v>0</v>
      </c>
      <c r="F28" s="506"/>
      <c r="G28" s="505"/>
      <c r="H28" s="505"/>
      <c r="I28" s="506">
        <f>I26+I27</f>
        <v>0</v>
      </c>
      <c r="J28" s="543"/>
    </row>
    <row r="29" spans="1:10" ht="12.75" x14ac:dyDescent="0.2">
      <c r="A29" s="510" t="s">
        <v>813</v>
      </c>
      <c r="B29" s="629">
        <v>10</v>
      </c>
      <c r="C29" s="629"/>
      <c r="D29" s="629" t="s">
        <v>297</v>
      </c>
      <c r="E29" s="632">
        <v>25500</v>
      </c>
      <c r="F29" s="855">
        <v>21</v>
      </c>
      <c r="G29" s="634"/>
      <c r="H29" s="507" t="s">
        <v>297</v>
      </c>
      <c r="I29" s="855">
        <v>53550</v>
      </c>
      <c r="J29" s="543"/>
    </row>
    <row r="30" spans="1:10" ht="12.75" x14ac:dyDescent="0.2">
      <c r="A30" s="510" t="s">
        <v>814</v>
      </c>
      <c r="B30" s="507"/>
      <c r="C30" s="507"/>
      <c r="D30" s="507"/>
      <c r="E30" s="507">
        <v>-25500</v>
      </c>
      <c r="F30" s="506"/>
      <c r="G30" s="505"/>
      <c r="H30" s="505"/>
      <c r="I30" s="855">
        <v>-53550</v>
      </c>
      <c r="J30" s="543"/>
    </row>
    <row r="31" spans="1:10" ht="12.75" x14ac:dyDescent="0.2">
      <c r="A31" s="510" t="s">
        <v>815</v>
      </c>
      <c r="B31" s="629"/>
      <c r="C31" s="629"/>
      <c r="D31" s="629"/>
      <c r="E31" s="632">
        <v>0</v>
      </c>
      <c r="F31" s="586"/>
      <c r="G31" s="634"/>
      <c r="H31" s="634"/>
      <c r="I31" s="855">
        <f>I29+I30</f>
        <v>0</v>
      </c>
      <c r="J31" s="543"/>
    </row>
    <row r="32" spans="1:10" ht="12.75" x14ac:dyDescent="0.2">
      <c r="A32" s="693" t="s">
        <v>917</v>
      </c>
      <c r="B32" s="629"/>
      <c r="C32" s="629">
        <v>487729000</v>
      </c>
      <c r="D32" s="638">
        <v>1.55</v>
      </c>
      <c r="E32" s="629">
        <f>C32*D32</f>
        <v>755979950</v>
      </c>
      <c r="F32" s="586"/>
      <c r="G32" s="506">
        <v>540752027</v>
      </c>
      <c r="H32" s="508">
        <v>1</v>
      </c>
      <c r="I32" s="506">
        <f>G32*H32</f>
        <v>540752027</v>
      </c>
      <c r="J32" s="543"/>
    </row>
    <row r="33" spans="1:18" ht="12.75" x14ac:dyDescent="0.2">
      <c r="A33" s="510" t="s">
        <v>811</v>
      </c>
      <c r="B33" s="507"/>
      <c r="C33" s="507"/>
      <c r="D33" s="511"/>
      <c r="E33" s="507">
        <v>-98054262</v>
      </c>
      <c r="F33" s="506"/>
      <c r="G33" s="505"/>
      <c r="H33" s="505"/>
      <c r="I33" s="855">
        <v>-76318159</v>
      </c>
      <c r="J33" s="543"/>
    </row>
    <row r="34" spans="1:18" ht="12.75" x14ac:dyDescent="0.2">
      <c r="A34" s="510" t="s">
        <v>817</v>
      </c>
      <c r="B34" s="629"/>
      <c r="C34" s="629"/>
      <c r="D34" s="643"/>
      <c r="E34" s="629">
        <f>E32+E33</f>
        <v>657925688</v>
      </c>
      <c r="F34" s="586"/>
      <c r="G34" s="634"/>
      <c r="H34" s="634"/>
      <c r="I34" s="855">
        <f>I32+I33</f>
        <v>464433868</v>
      </c>
      <c r="J34" s="543"/>
    </row>
    <row r="35" spans="1:18" ht="12.75" x14ac:dyDescent="0.2">
      <c r="A35" s="633" t="s">
        <v>980</v>
      </c>
      <c r="B35" s="629"/>
      <c r="C35" s="629"/>
      <c r="D35" s="629"/>
      <c r="E35" s="629">
        <v>0</v>
      </c>
      <c r="F35" s="586"/>
      <c r="G35" s="634"/>
      <c r="H35" s="634"/>
      <c r="I35" s="506">
        <v>0</v>
      </c>
      <c r="J35" s="543"/>
      <c r="K35" s="856">
        <f>I12+I16+I19+I25+I28+I31+I34+I35</f>
        <v>548339468</v>
      </c>
      <c r="L35" s="6" t="s">
        <v>888</v>
      </c>
    </row>
    <row r="36" spans="1:18" ht="24" x14ac:dyDescent="0.2">
      <c r="A36" s="626" t="s">
        <v>981</v>
      </c>
      <c r="B36" s="629"/>
      <c r="C36" s="629"/>
      <c r="D36" s="629"/>
      <c r="E36" s="629"/>
      <c r="F36" s="586"/>
      <c r="G36" s="634"/>
      <c r="H36" s="634"/>
      <c r="I36" s="506">
        <v>0</v>
      </c>
      <c r="J36" s="543"/>
      <c r="K36" s="635"/>
    </row>
    <row r="37" spans="1:18" ht="12.75" x14ac:dyDescent="0.2">
      <c r="A37" s="633"/>
      <c r="B37" s="629"/>
      <c r="C37" s="629"/>
      <c r="D37" s="629"/>
      <c r="E37" s="629"/>
      <c r="F37" s="586"/>
      <c r="G37" s="634"/>
      <c r="H37" s="634"/>
      <c r="I37" s="586"/>
      <c r="J37" s="543"/>
      <c r="K37" s="635"/>
    </row>
    <row r="38" spans="1:18" ht="12.75" x14ac:dyDescent="0.2">
      <c r="A38" s="636" t="s">
        <v>83</v>
      </c>
      <c r="B38" s="629"/>
      <c r="C38" s="629"/>
      <c r="D38" s="629"/>
      <c r="E38" s="629"/>
      <c r="F38" s="586"/>
      <c r="G38" s="634"/>
      <c r="H38" s="634"/>
      <c r="I38" s="586"/>
      <c r="J38" s="543"/>
    </row>
    <row r="39" spans="1:18" ht="24" x14ac:dyDescent="0.2">
      <c r="A39" s="626" t="s">
        <v>819</v>
      </c>
      <c r="B39" s="629"/>
      <c r="C39" s="629"/>
      <c r="D39" s="629"/>
      <c r="E39" s="629"/>
      <c r="F39" s="586"/>
      <c r="G39" s="634"/>
      <c r="H39" s="634"/>
      <c r="I39" s="586"/>
      <c r="J39" s="543"/>
    </row>
    <row r="40" spans="1:18" ht="12.75" x14ac:dyDescent="0.2">
      <c r="A40" s="626" t="s">
        <v>820</v>
      </c>
      <c r="B40" s="629"/>
      <c r="C40" s="638">
        <v>13.1</v>
      </c>
      <c r="D40" s="629">
        <v>4152000</v>
      </c>
      <c r="E40" s="629">
        <f>C40*D40*8/12</f>
        <v>36260800</v>
      </c>
      <c r="F40" s="857" t="s">
        <v>1009</v>
      </c>
      <c r="G40" s="858">
        <v>12.5</v>
      </c>
      <c r="H40" s="851">
        <v>4419000</v>
      </c>
      <c r="I40" s="855">
        <f>G40*8/12*4419000</f>
        <v>36825000</v>
      </c>
      <c r="J40" s="543"/>
    </row>
    <row r="41" spans="1:18" ht="12.75" x14ac:dyDescent="0.2">
      <c r="A41" s="626" t="s">
        <v>821</v>
      </c>
      <c r="B41" s="629"/>
      <c r="C41" s="638">
        <v>13.1</v>
      </c>
      <c r="D41" s="639">
        <v>4152000</v>
      </c>
      <c r="E41" s="629">
        <f>C41*D41*4/12</f>
        <v>18130400</v>
      </c>
      <c r="F41" s="857" t="s">
        <v>1009</v>
      </c>
      <c r="G41" s="859">
        <v>12.5</v>
      </c>
      <c r="H41" s="851">
        <v>4419000</v>
      </c>
      <c r="I41" s="855">
        <f>G41*4/12*H41</f>
        <v>18412500</v>
      </c>
      <c r="J41" s="543"/>
    </row>
    <row r="42" spans="1:18" ht="24" x14ac:dyDescent="0.2">
      <c r="A42" s="626" t="s">
        <v>822</v>
      </c>
      <c r="B42" s="629"/>
      <c r="C42" s="629">
        <v>10</v>
      </c>
      <c r="D42" s="629">
        <v>1800000</v>
      </c>
      <c r="E42" s="632">
        <f>C42*D42*8/12</f>
        <v>12000000</v>
      </c>
      <c r="F42" s="692"/>
      <c r="G42" s="637">
        <v>9</v>
      </c>
      <c r="H42" s="851">
        <v>2205000</v>
      </c>
      <c r="I42" s="506">
        <f>G42*H42*8/12</f>
        <v>13230000</v>
      </c>
      <c r="J42" s="543"/>
    </row>
    <row r="43" spans="1:18" ht="24" x14ac:dyDescent="0.2">
      <c r="A43" s="626" t="s">
        <v>918</v>
      </c>
      <c r="B43" s="629"/>
      <c r="C43" s="629"/>
      <c r="D43" s="629"/>
      <c r="E43" s="632"/>
      <c r="F43" s="586"/>
      <c r="G43" s="637">
        <v>0</v>
      </c>
      <c r="H43" s="851">
        <v>4419000</v>
      </c>
      <c r="I43" s="506">
        <f>G43*H43*8/12</f>
        <v>0</v>
      </c>
      <c r="J43" s="543"/>
    </row>
    <row r="44" spans="1:18" ht="24" x14ac:dyDescent="0.2">
      <c r="A44" s="626" t="s">
        <v>824</v>
      </c>
      <c r="B44" s="629"/>
      <c r="C44" s="629">
        <v>10</v>
      </c>
      <c r="D44" s="629">
        <v>1800000</v>
      </c>
      <c r="E44" s="629">
        <f>C44*D44*4/12</f>
        <v>6000000</v>
      </c>
      <c r="F44" s="586"/>
      <c r="G44" s="637">
        <v>9</v>
      </c>
      <c r="H44" s="851">
        <v>2205000</v>
      </c>
      <c r="I44" s="506">
        <f>G44*H44*4/12</f>
        <v>6615000</v>
      </c>
      <c r="J44" s="544"/>
    </row>
    <row r="45" spans="1:18" ht="39" x14ac:dyDescent="0.2">
      <c r="A45" s="626" t="s">
        <v>919</v>
      </c>
      <c r="B45" s="629"/>
      <c r="C45" s="629"/>
      <c r="D45" s="629"/>
      <c r="E45" s="629"/>
      <c r="F45" s="586"/>
      <c r="G45" s="637">
        <v>0</v>
      </c>
      <c r="H45" s="851">
        <v>4419000</v>
      </c>
      <c r="I45" s="506">
        <f>G45*H45*4/12</f>
        <v>0</v>
      </c>
      <c r="J45" s="544"/>
      <c r="K45" s="787" t="s">
        <v>889</v>
      </c>
      <c r="L45" s="635">
        <f>I12+I14+I17+I20+I23+I26+I29+I32</f>
        <v>671772369</v>
      </c>
      <c r="N45" s="788" t="s">
        <v>1010</v>
      </c>
      <c r="O45" s="635">
        <v>123432901</v>
      </c>
      <c r="P45" s="635">
        <f>I15+I18+I21+I24+I27+I30</f>
        <v>-47114742</v>
      </c>
      <c r="Q45" s="635">
        <f>O45+P45</f>
        <v>76318159</v>
      </c>
      <c r="R45" s="788" t="s">
        <v>890</v>
      </c>
    </row>
    <row r="46" spans="1:18" ht="12.75" x14ac:dyDescent="0.2">
      <c r="A46" s="510" t="s">
        <v>827</v>
      </c>
      <c r="B46" s="629"/>
      <c r="C46" s="629"/>
      <c r="D46" s="629"/>
      <c r="E46" s="629"/>
      <c r="F46" s="586"/>
      <c r="G46" s="634"/>
      <c r="H46" s="634"/>
      <c r="I46" s="586"/>
      <c r="J46" s="543"/>
    </row>
    <row r="47" spans="1:18" ht="24" x14ac:dyDescent="0.2">
      <c r="A47" s="626" t="s">
        <v>920</v>
      </c>
      <c r="B47" s="629"/>
      <c r="C47" s="629">
        <v>142</v>
      </c>
      <c r="D47" s="629">
        <v>70000</v>
      </c>
      <c r="E47" s="629">
        <f>C47*D47*8/12</f>
        <v>6626666.666666667</v>
      </c>
      <c r="F47" s="737"/>
      <c r="G47" s="855">
        <v>138</v>
      </c>
      <c r="H47" s="507">
        <v>81700</v>
      </c>
      <c r="I47" s="855">
        <f>G47*H47*8/12</f>
        <v>7516400</v>
      </c>
      <c r="J47" s="543"/>
    </row>
    <row r="48" spans="1:18" ht="24" x14ac:dyDescent="0.2">
      <c r="A48" s="626" t="s">
        <v>921</v>
      </c>
      <c r="B48" s="629"/>
      <c r="C48" s="629"/>
      <c r="D48" s="629"/>
      <c r="E48" s="629"/>
      <c r="F48" s="737"/>
      <c r="G48" s="506">
        <v>0</v>
      </c>
      <c r="H48" s="507">
        <v>80000</v>
      </c>
      <c r="I48" s="506">
        <v>0</v>
      </c>
      <c r="J48" s="543"/>
    </row>
    <row r="49" spans="1:12" ht="24" x14ac:dyDescent="0.2">
      <c r="A49" s="626" t="s">
        <v>875</v>
      </c>
      <c r="B49" s="629"/>
      <c r="C49" s="629">
        <v>142</v>
      </c>
      <c r="D49" s="629">
        <v>70000</v>
      </c>
      <c r="E49" s="629">
        <f>C49*D49*4/12</f>
        <v>3313333.3333333335</v>
      </c>
      <c r="F49" s="692"/>
      <c r="G49" s="506">
        <v>138</v>
      </c>
      <c r="H49" s="507">
        <v>81700</v>
      </c>
      <c r="I49" s="855">
        <f>G49*H49*4/12</f>
        <v>3758200</v>
      </c>
      <c r="J49" s="543"/>
    </row>
    <row r="50" spans="1:12" ht="24" x14ac:dyDescent="0.2">
      <c r="A50" s="626" t="s">
        <v>922</v>
      </c>
      <c r="B50" s="629"/>
      <c r="C50" s="629"/>
      <c r="D50" s="629"/>
      <c r="E50" s="629"/>
      <c r="F50" s="692"/>
      <c r="G50" s="506">
        <v>0</v>
      </c>
      <c r="H50" s="507">
        <v>80000</v>
      </c>
      <c r="I50" s="506">
        <v>0</v>
      </c>
      <c r="J50" s="543"/>
    </row>
    <row r="51" spans="1:12" ht="12.75" x14ac:dyDescent="0.2">
      <c r="A51" s="510" t="s">
        <v>876</v>
      </c>
      <c r="B51" s="629"/>
      <c r="C51" s="629"/>
      <c r="D51" s="629"/>
      <c r="E51" s="629"/>
      <c r="F51" s="586"/>
      <c r="G51" s="634"/>
      <c r="H51" s="634"/>
      <c r="I51" s="586"/>
      <c r="J51" s="543"/>
    </row>
    <row r="52" spans="1:12" ht="48" x14ac:dyDescent="0.2">
      <c r="A52" s="626" t="s">
        <v>982</v>
      </c>
      <c r="B52" s="629"/>
      <c r="C52" s="629">
        <v>5</v>
      </c>
      <c r="D52" s="696" t="s">
        <v>298</v>
      </c>
      <c r="E52" s="629">
        <v>1760000</v>
      </c>
      <c r="F52" s="586"/>
      <c r="G52" s="860">
        <v>4</v>
      </c>
      <c r="H52" s="506">
        <v>401000</v>
      </c>
      <c r="I52" s="855">
        <f>G52*H52</f>
        <v>1604000</v>
      </c>
      <c r="J52" s="543"/>
    </row>
    <row r="53" spans="1:12" ht="48" x14ac:dyDescent="0.2">
      <c r="A53" s="626" t="s">
        <v>983</v>
      </c>
      <c r="B53" s="629"/>
      <c r="C53" s="629"/>
      <c r="D53" s="629"/>
      <c r="E53" s="629"/>
      <c r="F53" s="586"/>
      <c r="G53" s="505">
        <v>0</v>
      </c>
      <c r="H53" s="506">
        <v>367583</v>
      </c>
      <c r="I53" s="506">
        <f>G53*H53</f>
        <v>0</v>
      </c>
      <c r="J53" s="543"/>
      <c r="K53" s="856">
        <f>SUM(I40:I53)</f>
        <v>87961100</v>
      </c>
      <c r="L53" s="6" t="s">
        <v>891</v>
      </c>
    </row>
    <row r="54" spans="1:12" ht="12.75" x14ac:dyDescent="0.2">
      <c r="A54" s="626"/>
      <c r="B54" s="629"/>
      <c r="C54" s="629"/>
      <c r="D54" s="629"/>
      <c r="E54" s="629"/>
      <c r="F54" s="586"/>
      <c r="G54" s="634"/>
      <c r="H54" s="634"/>
      <c r="I54" s="586"/>
      <c r="J54" s="543"/>
      <c r="K54" s="635"/>
    </row>
    <row r="55" spans="1:12" ht="12.75" x14ac:dyDescent="0.2">
      <c r="A55" s="636" t="s">
        <v>84</v>
      </c>
      <c r="B55" s="629"/>
      <c r="C55" s="629"/>
      <c r="D55" s="629"/>
      <c r="E55" s="629"/>
      <c r="F55" s="586"/>
      <c r="G55" s="634"/>
      <c r="H55" s="634"/>
      <c r="I55" s="586"/>
      <c r="J55" s="543"/>
    </row>
    <row r="56" spans="1:12" ht="12.75" x14ac:dyDescent="0.2">
      <c r="A56" s="633" t="s">
        <v>984</v>
      </c>
      <c r="B56" s="629"/>
      <c r="C56" s="629"/>
      <c r="D56" s="629"/>
      <c r="E56" s="629">
        <v>0</v>
      </c>
      <c r="F56" s="586"/>
      <c r="G56" s="634"/>
      <c r="H56" s="634"/>
      <c r="I56" s="506">
        <v>0</v>
      </c>
      <c r="J56" s="545"/>
    </row>
    <row r="57" spans="1:12" ht="24" x14ac:dyDescent="0.2">
      <c r="A57" s="626" t="s">
        <v>837</v>
      </c>
      <c r="B57" s="629"/>
      <c r="C57" s="629"/>
      <c r="D57" s="629"/>
      <c r="E57" s="632">
        <v>0</v>
      </c>
      <c r="F57" s="586"/>
      <c r="G57" s="634"/>
      <c r="H57" s="634"/>
      <c r="I57" s="506">
        <v>0</v>
      </c>
      <c r="J57" s="543"/>
    </row>
    <row r="58" spans="1:12" ht="12.75" x14ac:dyDescent="0.2">
      <c r="A58" s="510" t="s">
        <v>838</v>
      </c>
      <c r="B58" s="629"/>
      <c r="C58" s="629"/>
      <c r="D58" s="629"/>
      <c r="E58" s="629"/>
      <c r="F58" s="586"/>
      <c r="G58" s="634"/>
      <c r="H58" s="634"/>
      <c r="I58" s="586"/>
      <c r="J58" s="543"/>
    </row>
    <row r="59" spans="1:12" ht="12.75" x14ac:dyDescent="0.2">
      <c r="A59" s="510" t="s">
        <v>839</v>
      </c>
      <c r="B59" s="629"/>
      <c r="C59" s="629"/>
      <c r="D59" s="629"/>
      <c r="E59" s="629"/>
      <c r="F59" s="586"/>
      <c r="G59" s="634"/>
      <c r="H59" s="634"/>
      <c r="I59" s="586"/>
      <c r="J59" s="543"/>
    </row>
    <row r="60" spans="1:12" ht="12.75" x14ac:dyDescent="0.2">
      <c r="A60" s="510" t="s">
        <v>840</v>
      </c>
      <c r="B60" s="629"/>
      <c r="C60" s="629"/>
      <c r="D60" s="629"/>
      <c r="E60" s="629"/>
      <c r="F60" s="586"/>
      <c r="G60" s="634"/>
      <c r="H60" s="634"/>
      <c r="I60" s="586"/>
      <c r="J60" s="543"/>
    </row>
    <row r="61" spans="1:12" ht="36" x14ac:dyDescent="0.2">
      <c r="A61" s="640" t="s">
        <v>985</v>
      </c>
      <c r="B61" s="633"/>
      <c r="C61" s="642"/>
      <c r="D61" s="629"/>
      <c r="E61" s="629">
        <f>C61*D61/2</f>
        <v>0</v>
      </c>
      <c r="F61" s="507">
        <v>7822</v>
      </c>
      <c r="G61" s="643"/>
      <c r="H61" s="634"/>
      <c r="I61" s="586"/>
      <c r="J61" s="545"/>
    </row>
    <row r="62" spans="1:12" ht="24" x14ac:dyDescent="0.2">
      <c r="A62" s="626" t="s">
        <v>877</v>
      </c>
      <c r="B62" s="629"/>
      <c r="C62" s="633"/>
      <c r="D62" s="629"/>
      <c r="E62" s="629"/>
      <c r="F62" s="586"/>
      <c r="G62" s="512">
        <v>0</v>
      </c>
      <c r="H62" s="634"/>
      <c r="I62" s="586"/>
      <c r="J62" s="545"/>
    </row>
    <row r="63" spans="1:12" ht="12.75" x14ac:dyDescent="0.2">
      <c r="A63" s="510" t="s">
        <v>878</v>
      </c>
      <c r="B63" s="629"/>
      <c r="C63" s="633"/>
      <c r="D63" s="629"/>
      <c r="E63" s="629"/>
      <c r="F63" s="586"/>
      <c r="G63" s="511">
        <v>1</v>
      </c>
      <c r="H63" s="634"/>
      <c r="I63" s="586"/>
      <c r="J63" s="543"/>
    </row>
    <row r="64" spans="1:12" ht="12.75" x14ac:dyDescent="0.2">
      <c r="A64" s="510" t="s">
        <v>844</v>
      </c>
      <c r="B64" s="629"/>
      <c r="C64" s="644">
        <v>0.97299999999999998</v>
      </c>
      <c r="D64" s="629">
        <v>3000000</v>
      </c>
      <c r="E64" s="629"/>
      <c r="F64" s="586"/>
      <c r="G64" s="511">
        <v>2</v>
      </c>
      <c r="H64" s="507">
        <v>3000000</v>
      </c>
      <c r="I64" s="506">
        <f>(2*1+0)*3000000</f>
        <v>6000000</v>
      </c>
      <c r="J64" s="543"/>
    </row>
    <row r="65" spans="1:12" ht="12.75" x14ac:dyDescent="0.2">
      <c r="A65" s="510" t="s">
        <v>845</v>
      </c>
      <c r="B65" s="645"/>
      <c r="C65" s="629">
        <v>80</v>
      </c>
      <c r="D65" s="629">
        <v>55360</v>
      </c>
      <c r="E65" s="629">
        <f>C65*D65</f>
        <v>4428800</v>
      </c>
      <c r="F65" s="692"/>
      <c r="G65" s="507">
        <v>80</v>
      </c>
      <c r="H65" s="507">
        <v>55360</v>
      </c>
      <c r="I65" s="507">
        <f>G65*H65</f>
        <v>4428800</v>
      </c>
      <c r="J65" s="543"/>
    </row>
    <row r="66" spans="1:12" ht="12.75" x14ac:dyDescent="0.2">
      <c r="A66" s="510" t="s">
        <v>846</v>
      </c>
      <c r="B66" s="645"/>
      <c r="C66" s="629">
        <v>55</v>
      </c>
      <c r="D66" s="629">
        <v>145000</v>
      </c>
      <c r="E66" s="629">
        <f>C66*D66</f>
        <v>7975000</v>
      </c>
      <c r="F66" s="586"/>
      <c r="G66" s="629"/>
      <c r="H66" s="629"/>
      <c r="I66" s="629"/>
      <c r="J66" s="543"/>
    </row>
    <row r="67" spans="1:12" ht="12.75" x14ac:dyDescent="0.2">
      <c r="A67" s="510" t="s">
        <v>879</v>
      </c>
      <c r="B67" s="645"/>
      <c r="C67" s="629"/>
      <c r="D67" s="629"/>
      <c r="E67" s="629"/>
      <c r="F67" s="692"/>
      <c r="G67" s="861">
        <v>5</v>
      </c>
      <c r="H67" s="507">
        <v>25000</v>
      </c>
      <c r="I67" s="861">
        <f>G67*H67</f>
        <v>125000</v>
      </c>
      <c r="J67" s="543"/>
    </row>
    <row r="68" spans="1:12" ht="12.75" x14ac:dyDescent="0.2">
      <c r="A68" s="510" t="s">
        <v>880</v>
      </c>
      <c r="B68" s="645"/>
      <c r="C68" s="629"/>
      <c r="D68" s="629"/>
      <c r="E68" s="629"/>
      <c r="F68" s="692"/>
      <c r="G68" s="861">
        <v>49</v>
      </c>
      <c r="H68" s="507">
        <v>210000</v>
      </c>
      <c r="I68" s="861">
        <f>G68*H68</f>
        <v>10290000</v>
      </c>
      <c r="J68" s="543"/>
    </row>
    <row r="69" spans="1:12" ht="12.75" x14ac:dyDescent="0.2">
      <c r="A69" s="626" t="s">
        <v>881</v>
      </c>
      <c r="B69" s="697"/>
      <c r="C69" s="507">
        <v>23</v>
      </c>
      <c r="D69" s="507">
        <v>109000</v>
      </c>
      <c r="E69" s="507">
        <f>C69*D69</f>
        <v>2507000</v>
      </c>
      <c r="F69" s="506"/>
      <c r="G69" s="861">
        <v>25</v>
      </c>
      <c r="H69" s="507">
        <v>109000</v>
      </c>
      <c r="I69" s="861">
        <f>G69*H69</f>
        <v>2725000</v>
      </c>
      <c r="J69" s="543"/>
    </row>
    <row r="70" spans="1:12" ht="12.75" x14ac:dyDescent="0.2">
      <c r="A70" s="626" t="s">
        <v>848</v>
      </c>
      <c r="B70" s="697"/>
      <c r="C70" s="507"/>
      <c r="D70" s="507"/>
      <c r="E70" s="507"/>
      <c r="F70" s="506"/>
      <c r="G70" s="505"/>
      <c r="H70" s="505"/>
      <c r="I70" s="506"/>
      <c r="J70" s="543"/>
    </row>
    <row r="71" spans="1:12" ht="24" x14ac:dyDescent="0.2">
      <c r="A71" s="626" t="s">
        <v>986</v>
      </c>
      <c r="B71" s="645"/>
      <c r="C71" s="629"/>
      <c r="D71" s="629"/>
      <c r="E71" s="629"/>
      <c r="F71" s="586"/>
      <c r="G71" s="634"/>
      <c r="H71" s="634"/>
      <c r="I71" s="586"/>
      <c r="J71" s="543"/>
    </row>
    <row r="72" spans="1:12" ht="24" x14ac:dyDescent="0.2">
      <c r="A72" s="640" t="s">
        <v>892</v>
      </c>
      <c r="B72" s="645"/>
      <c r="C72" s="629">
        <v>15</v>
      </c>
      <c r="D72" s="629">
        <v>2606040</v>
      </c>
      <c r="E72" s="629">
        <f>C72*D72</f>
        <v>39090600</v>
      </c>
      <c r="F72" s="692"/>
      <c r="G72" s="507">
        <v>15</v>
      </c>
      <c r="H72" s="507">
        <v>2606040</v>
      </c>
      <c r="I72" s="507">
        <f>G72*H72</f>
        <v>39090600</v>
      </c>
      <c r="J72" s="543"/>
    </row>
    <row r="73" spans="1:12" ht="36" x14ac:dyDescent="0.2">
      <c r="A73" s="510" t="s">
        <v>853</v>
      </c>
      <c r="B73" s="645"/>
      <c r="C73" s="629"/>
      <c r="D73" s="629"/>
      <c r="E73" s="632">
        <v>37834000</v>
      </c>
      <c r="F73" s="692" t="s">
        <v>987</v>
      </c>
      <c r="G73" s="634"/>
      <c r="H73" s="634"/>
      <c r="I73" s="586">
        <v>30040000</v>
      </c>
      <c r="J73" s="547"/>
    </row>
    <row r="74" spans="1:12" ht="12.75" x14ac:dyDescent="0.2">
      <c r="A74" s="510" t="s">
        <v>988</v>
      </c>
      <c r="B74" s="645"/>
      <c r="C74" s="629"/>
      <c r="D74" s="629"/>
      <c r="E74" s="629"/>
      <c r="F74" s="586"/>
      <c r="G74" s="634"/>
      <c r="H74" s="634"/>
      <c r="I74" s="586"/>
      <c r="J74" s="543"/>
    </row>
    <row r="75" spans="1:12" ht="12.75" x14ac:dyDescent="0.2">
      <c r="A75" s="510" t="s">
        <v>989</v>
      </c>
      <c r="B75" s="629"/>
      <c r="C75" s="638">
        <v>12.33</v>
      </c>
      <c r="D75" s="629">
        <v>1632000</v>
      </c>
      <c r="E75" s="629">
        <f>C75*D75</f>
        <v>20122560</v>
      </c>
      <c r="F75" s="862" t="s">
        <v>1011</v>
      </c>
      <c r="G75" s="508">
        <v>14.4</v>
      </c>
      <c r="H75" s="852">
        <v>1900000</v>
      </c>
      <c r="I75" s="507">
        <f>G75*H75</f>
        <v>27360000</v>
      </c>
      <c r="J75" s="548"/>
    </row>
    <row r="76" spans="1:12" ht="36" x14ac:dyDescent="0.2">
      <c r="A76" s="510" t="s">
        <v>990</v>
      </c>
      <c r="B76" s="629"/>
      <c r="C76" s="629"/>
      <c r="D76" s="629"/>
      <c r="E76" s="632">
        <v>7038795</v>
      </c>
      <c r="F76" s="692" t="s">
        <v>987</v>
      </c>
      <c r="G76" s="634"/>
      <c r="H76" s="634"/>
      <c r="I76" s="586">
        <v>13278900</v>
      </c>
      <c r="J76" s="549"/>
    </row>
    <row r="77" spans="1:12" ht="24" x14ac:dyDescent="0.2">
      <c r="A77" s="626" t="s">
        <v>991</v>
      </c>
      <c r="B77" s="629"/>
      <c r="C77" s="629"/>
      <c r="D77" s="629"/>
      <c r="E77" s="632"/>
      <c r="F77" s="692"/>
      <c r="G77" s="855">
        <v>0</v>
      </c>
      <c r="H77" s="506">
        <v>285</v>
      </c>
      <c r="I77" s="855">
        <f>G77*H77</f>
        <v>0</v>
      </c>
      <c r="J77" s="543"/>
    </row>
    <row r="78" spans="1:12" ht="12.75" x14ac:dyDescent="0.2">
      <c r="A78" s="626" t="s">
        <v>992</v>
      </c>
      <c r="B78" s="629"/>
      <c r="C78" s="629"/>
      <c r="D78" s="629"/>
      <c r="E78" s="648"/>
      <c r="F78" s="692"/>
      <c r="G78" s="695"/>
      <c r="H78" s="506"/>
      <c r="I78" s="506"/>
      <c r="J78" s="543"/>
      <c r="K78" s="635">
        <f>SUM(I56:I82)</f>
        <v>147563700</v>
      </c>
      <c r="L78" s="6" t="s">
        <v>893</v>
      </c>
    </row>
    <row r="79" spans="1:12" ht="12.75" x14ac:dyDescent="0.2">
      <c r="A79" s="626" t="s">
        <v>993</v>
      </c>
      <c r="B79" s="629"/>
      <c r="C79" s="629"/>
      <c r="D79" s="629"/>
      <c r="E79" s="648"/>
      <c r="F79" s="692"/>
      <c r="G79" s="695"/>
      <c r="H79" s="506"/>
      <c r="I79" s="506"/>
      <c r="J79" s="543"/>
      <c r="K79" s="635"/>
    </row>
    <row r="80" spans="1:12" ht="36" x14ac:dyDescent="0.2">
      <c r="A80" s="626" t="s">
        <v>994</v>
      </c>
      <c r="B80" s="629"/>
      <c r="C80" s="629"/>
      <c r="D80" s="629"/>
      <c r="E80" s="648"/>
      <c r="F80" s="737" t="s">
        <v>995</v>
      </c>
      <c r="G80" s="695">
        <v>1.8</v>
      </c>
      <c r="H80" s="506">
        <v>2993000</v>
      </c>
      <c r="I80" s="506">
        <f>G80*H80</f>
        <v>5387400</v>
      </c>
      <c r="J80" s="543"/>
      <c r="K80" s="635"/>
    </row>
    <row r="81" spans="1:14" ht="36" x14ac:dyDescent="0.2">
      <c r="A81" s="626" t="s">
        <v>996</v>
      </c>
      <c r="B81" s="629"/>
      <c r="C81" s="629"/>
      <c r="D81" s="629"/>
      <c r="E81" s="648"/>
      <c r="F81" s="737" t="s">
        <v>997</v>
      </c>
      <c r="G81" s="695">
        <v>2</v>
      </c>
      <c r="H81" s="506">
        <v>4419000</v>
      </c>
      <c r="I81" s="506">
        <f>G81*H81</f>
        <v>8838000</v>
      </c>
      <c r="J81" s="543"/>
      <c r="K81" s="635"/>
    </row>
    <row r="82" spans="1:14" ht="24" x14ac:dyDescent="0.2">
      <c r="A82" s="626" t="s">
        <v>998</v>
      </c>
      <c r="B82" s="629"/>
      <c r="C82" s="629"/>
      <c r="D82" s="629"/>
      <c r="E82" s="648"/>
      <c r="F82" s="692"/>
      <c r="G82" s="695"/>
      <c r="H82" s="506">
        <v>0</v>
      </c>
      <c r="I82" s="506">
        <v>0</v>
      </c>
      <c r="J82" s="543"/>
      <c r="K82" s="635"/>
    </row>
    <row r="83" spans="1:14" ht="12.75" x14ac:dyDescent="0.2">
      <c r="A83" s="626"/>
      <c r="B83" s="629"/>
      <c r="C83" s="629"/>
      <c r="D83" s="629"/>
      <c r="E83" s="648"/>
      <c r="F83" s="692"/>
      <c r="G83" s="695"/>
      <c r="H83" s="506"/>
      <c r="I83" s="506"/>
      <c r="J83" s="543"/>
      <c r="K83" s="635"/>
    </row>
    <row r="84" spans="1:14" ht="12.75" x14ac:dyDescent="0.2">
      <c r="A84" s="510" t="s">
        <v>859</v>
      </c>
      <c r="B84" s="629"/>
      <c r="C84" s="629"/>
      <c r="D84" s="629"/>
      <c r="E84" s="648"/>
      <c r="F84" s="586"/>
      <c r="G84" s="634"/>
      <c r="H84" s="634"/>
      <c r="I84" s="586"/>
      <c r="J84" s="543"/>
    </row>
    <row r="85" spans="1:14" ht="12.75" x14ac:dyDescent="0.2">
      <c r="A85" s="510" t="s">
        <v>860</v>
      </c>
      <c r="B85" s="629"/>
      <c r="C85" s="629"/>
      <c r="D85" s="629"/>
      <c r="E85" s="648"/>
      <c r="F85" s="586"/>
      <c r="G85" s="634"/>
      <c r="H85" s="634"/>
      <c r="I85" s="586"/>
      <c r="J85" s="543"/>
    </row>
    <row r="86" spans="1:14" ht="12.75" x14ac:dyDescent="0.2">
      <c r="A86" s="510" t="s">
        <v>861</v>
      </c>
      <c r="B86" s="629"/>
      <c r="C86" s="629">
        <v>4865</v>
      </c>
      <c r="D86" s="629">
        <v>1140</v>
      </c>
      <c r="E86" s="649"/>
      <c r="F86" s="586"/>
      <c r="G86" s="507">
        <v>4705</v>
      </c>
      <c r="H86" s="852">
        <v>1210</v>
      </c>
      <c r="I86" s="279">
        <f>G86*H86</f>
        <v>5693050</v>
      </c>
      <c r="J86" s="543"/>
    </row>
    <row r="87" spans="1:14" ht="48" x14ac:dyDescent="0.2">
      <c r="A87" s="626" t="s">
        <v>862</v>
      </c>
      <c r="B87" s="629"/>
      <c r="C87" s="629"/>
      <c r="D87" s="629"/>
      <c r="E87" s="649"/>
      <c r="F87" s="737" t="s">
        <v>999</v>
      </c>
      <c r="G87" s="629"/>
      <c r="H87" s="629"/>
      <c r="I87" s="279">
        <v>0</v>
      </c>
      <c r="J87" s="543"/>
    </row>
    <row r="88" spans="1:14" ht="48" x14ac:dyDescent="0.2">
      <c r="A88" s="626" t="s">
        <v>1000</v>
      </c>
      <c r="B88" s="629"/>
      <c r="C88" s="629"/>
      <c r="D88" s="629"/>
      <c r="E88" s="649"/>
      <c r="F88" s="737" t="s">
        <v>1001</v>
      </c>
      <c r="G88" s="629"/>
      <c r="H88" s="629"/>
      <c r="I88" s="279">
        <v>0</v>
      </c>
      <c r="J88" s="543"/>
    </row>
    <row r="89" spans="1:14" ht="12.75" x14ac:dyDescent="0.2">
      <c r="A89" s="640" t="s">
        <v>1002</v>
      </c>
      <c r="B89" s="645"/>
      <c r="C89" s="629"/>
      <c r="D89" s="643"/>
      <c r="E89" s="629"/>
      <c r="F89" s="586"/>
      <c r="G89" s="634"/>
      <c r="H89" s="634"/>
      <c r="I89" s="586"/>
      <c r="J89" s="543"/>
      <c r="K89" s="635">
        <f>SUM(I86+I87)</f>
        <v>5693050</v>
      </c>
      <c r="L89" s="6" t="s">
        <v>894</v>
      </c>
    </row>
    <row r="90" spans="1:14" ht="24" x14ac:dyDescent="0.2">
      <c r="A90" s="650" t="s">
        <v>1003</v>
      </c>
      <c r="B90" s="698"/>
      <c r="C90" s="699"/>
      <c r="D90" s="507"/>
      <c r="E90" s="507"/>
      <c r="F90" s="700"/>
      <c r="G90" s="505"/>
      <c r="H90" s="505"/>
      <c r="I90" s="586"/>
      <c r="J90" s="543"/>
      <c r="K90" s="635"/>
      <c r="L90" s="635">
        <f>I15+I18+I21+I24+I27+I30+I33</f>
        <v>-123432901</v>
      </c>
      <c r="M90" s="701" t="s">
        <v>895</v>
      </c>
      <c r="N90" s="278"/>
    </row>
    <row r="91" spans="1:14" ht="12.75" x14ac:dyDescent="0.2">
      <c r="A91" s="675" t="s">
        <v>1004</v>
      </c>
      <c r="B91" s="702"/>
      <c r="C91" s="703"/>
      <c r="D91" s="704"/>
      <c r="E91" s="704"/>
      <c r="F91" s="705"/>
      <c r="G91" s="706"/>
      <c r="H91" s="706"/>
      <c r="I91" s="707">
        <v>0</v>
      </c>
      <c r="J91" s="543"/>
      <c r="K91" s="635"/>
      <c r="L91" s="635"/>
      <c r="M91" s="701"/>
      <c r="N91" s="278"/>
    </row>
    <row r="92" spans="1:14" ht="12.75" x14ac:dyDescent="0.2">
      <c r="A92" s="675"/>
      <c r="B92" s="702"/>
      <c r="C92" s="703"/>
      <c r="D92" s="704"/>
      <c r="E92" s="704"/>
      <c r="F92" s="702"/>
      <c r="G92" s="706"/>
      <c r="H92" s="706"/>
      <c r="I92" s="656"/>
      <c r="J92" s="543"/>
      <c r="K92" s="635"/>
      <c r="L92" s="635"/>
      <c r="N92" s="278"/>
    </row>
    <row r="93" spans="1:14" ht="12.75" x14ac:dyDescent="0.2">
      <c r="A93" s="675" t="s">
        <v>882</v>
      </c>
      <c r="B93" s="702"/>
      <c r="C93" s="703"/>
      <c r="D93" s="704"/>
      <c r="E93" s="704"/>
      <c r="F93" s="702"/>
      <c r="G93" s="706"/>
      <c r="H93" s="706"/>
      <c r="I93" s="656"/>
      <c r="J93" s="543"/>
      <c r="K93" s="635"/>
      <c r="L93" s="635"/>
      <c r="N93" s="278"/>
    </row>
    <row r="94" spans="1:14" ht="12.75" x14ac:dyDescent="0.2">
      <c r="A94" s="675" t="s">
        <v>883</v>
      </c>
      <c r="B94" s="702"/>
      <c r="C94" s="703"/>
      <c r="D94" s="704"/>
      <c r="E94" s="704"/>
      <c r="F94" s="702"/>
      <c r="G94" s="706"/>
      <c r="H94" s="706"/>
      <c r="I94" s="707">
        <v>0</v>
      </c>
      <c r="J94" s="543"/>
      <c r="K94" s="635"/>
      <c r="L94" s="635"/>
      <c r="N94" s="278"/>
    </row>
    <row r="95" spans="1:14" ht="12.75" x14ac:dyDescent="0.2">
      <c r="A95" s="676" t="s">
        <v>884</v>
      </c>
      <c r="B95" s="702"/>
      <c r="C95" s="703"/>
      <c r="D95" s="704"/>
      <c r="E95" s="704"/>
      <c r="F95" s="702"/>
      <c r="G95" s="706"/>
      <c r="H95" s="706"/>
      <c r="I95" s="707">
        <v>0</v>
      </c>
      <c r="J95" s="543"/>
      <c r="K95" s="635">
        <f>I94+I95</f>
        <v>0</v>
      </c>
      <c r="L95" s="635" t="s">
        <v>896</v>
      </c>
      <c r="N95" s="278"/>
    </row>
    <row r="96" spans="1:14" ht="13.5" thickBot="1" x14ac:dyDescent="0.25">
      <c r="A96" s="652"/>
      <c r="B96" s="653"/>
      <c r="C96" s="654"/>
      <c r="D96" s="655"/>
      <c r="E96" s="654"/>
      <c r="F96" s="656"/>
      <c r="G96" s="657"/>
      <c r="H96" s="657"/>
      <c r="I96" s="656"/>
      <c r="J96" s="543"/>
    </row>
    <row r="97" spans="1:256" ht="12.75" thickBot="1" x14ac:dyDescent="0.25">
      <c r="A97" s="658" t="s">
        <v>864</v>
      </c>
      <c r="B97" s="659"/>
      <c r="C97" s="659"/>
      <c r="D97" s="660"/>
      <c r="E97" s="661" t="e">
        <f>E12+E14+E17+E20+E23+E28+E31+E34+E40+E41+#REF!+E42+E44+E47+E49+E52+E56+E57+E61+E62+E65+E66+E69+#REF!+E72+E73+E75+E76</f>
        <v>#REF!</v>
      </c>
      <c r="F97" s="1897">
        <f>I12+I16+I19+I22+I25+I28+I31+I34+I35+I36+I40+I41+I42+I43+I44+I45+I47+I48+I49+I50+I52+I53+I56+I57+I64+I65+I67+I68+I69+I72+I73+I75+I76+I77+I80+I81+I82+I86+I87+I88+I94+I95+I91</f>
        <v>789557318</v>
      </c>
      <c r="G97" s="1897"/>
      <c r="H97" s="1897"/>
      <c r="I97" s="1898"/>
      <c r="J97" s="7"/>
      <c r="K97" s="662">
        <f>K78+K53+K35+K89</f>
        <v>789557318</v>
      </c>
      <c r="L97" s="708" t="s">
        <v>897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09"/>
      <c r="B99" s="710"/>
      <c r="C99" s="710"/>
      <c r="D99" s="710"/>
      <c r="E99" s="711"/>
      <c r="F99" s="712"/>
      <c r="G99" s="712"/>
      <c r="H99" s="712"/>
      <c r="I99" s="712"/>
    </row>
    <row r="100" spans="1:256" ht="12.75" x14ac:dyDescent="0.2">
      <c r="A100" s="853" t="s">
        <v>1005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6"/>
  <sheetViews>
    <sheetView workbookViewId="0">
      <pane xSplit="2" ySplit="9" topLeftCell="C40" activePane="bottomRight" state="frozen"/>
      <selection pane="topRight" activeCell="C1" sqref="C1"/>
      <selection pane="bottomLeft" activeCell="A10" sqref="A10"/>
      <selection pane="bottomRight" activeCell="C1" sqref="C1:M1"/>
    </sheetView>
  </sheetViews>
  <sheetFormatPr defaultColWidth="9.140625" defaultRowHeight="14.45" customHeight="1" x14ac:dyDescent="0.2"/>
  <cols>
    <col min="1" max="1" width="9.140625" style="10"/>
    <col min="2" max="2" width="5.140625" style="315" customWidth="1"/>
    <col min="3" max="3" width="50.42578125" style="14" customWidth="1"/>
    <col min="4" max="4" width="11.85546875" style="152" customWidth="1"/>
    <col min="5" max="5" width="12.7109375" style="152" customWidth="1"/>
    <col min="6" max="6" width="13.5703125" style="152" customWidth="1"/>
    <col min="7" max="9" width="0" style="153" hidden="1" customWidth="1"/>
    <col min="10" max="11" width="12.140625" style="10" customWidth="1"/>
    <col min="12" max="12" width="13.42578125" style="10" customWidth="1"/>
    <col min="13" max="13" width="8.5703125" style="10" customWidth="1"/>
    <col min="14" max="16384" width="9.140625" style="10"/>
  </cols>
  <sheetData>
    <row r="1" spans="1:13" ht="14.45" customHeight="1" x14ac:dyDescent="0.2">
      <c r="C1" s="1886" t="s">
        <v>2066</v>
      </c>
      <c r="D1" s="1886"/>
      <c r="E1" s="1886"/>
      <c r="F1" s="1886"/>
      <c r="G1" s="1886"/>
      <c r="H1" s="1886"/>
      <c r="I1" s="1886"/>
      <c r="J1" s="1886"/>
      <c r="K1" s="1886"/>
      <c r="L1" s="1886"/>
      <c r="M1" s="1886"/>
    </row>
    <row r="2" spans="1:13" ht="14.45" customHeight="1" x14ac:dyDescent="0.2">
      <c r="C2" s="1261"/>
      <c r="D2" s="1261"/>
      <c r="E2" s="1261"/>
      <c r="F2" s="1261"/>
      <c r="G2" s="1261"/>
      <c r="H2" s="1261"/>
      <c r="I2" s="1261"/>
    </row>
    <row r="3" spans="1:13" ht="14.45" customHeight="1" x14ac:dyDescent="0.2">
      <c r="B3" s="1891" t="s">
        <v>54</v>
      </c>
      <c r="C3" s="1891"/>
      <c r="D3" s="1891"/>
      <c r="E3" s="1891"/>
      <c r="F3" s="1891"/>
      <c r="G3" s="1891"/>
      <c r="H3" s="1891"/>
      <c r="I3" s="1891"/>
      <c r="J3" s="1891"/>
      <c r="K3" s="1891"/>
      <c r="L3" s="1891"/>
      <c r="M3" s="1891"/>
    </row>
    <row r="4" spans="1:13" ht="14.45" customHeight="1" x14ac:dyDescent="0.2">
      <c r="B4" s="1260"/>
      <c r="C4" s="1907" t="s">
        <v>1359</v>
      </c>
      <c r="D4" s="1907"/>
      <c r="E4" s="1907"/>
      <c r="F4" s="1907"/>
      <c r="G4" s="1907"/>
      <c r="H4" s="1907"/>
      <c r="I4" s="1907"/>
      <c r="J4" s="1907"/>
      <c r="K4" s="1907"/>
      <c r="L4" s="1907"/>
      <c r="M4" s="1907"/>
    </row>
    <row r="5" spans="1:13" s="11" customFormat="1" ht="14.45" customHeight="1" x14ac:dyDescent="0.15">
      <c r="B5" s="1908" t="s">
        <v>1111</v>
      </c>
      <c r="C5" s="1908"/>
      <c r="D5" s="1908"/>
      <c r="E5" s="1908"/>
      <c r="F5" s="1908"/>
      <c r="G5" s="1908"/>
      <c r="H5" s="1908"/>
      <c r="I5" s="1908"/>
      <c r="J5" s="1908"/>
      <c r="K5" s="1908"/>
      <c r="L5" s="1908"/>
      <c r="M5" s="1908"/>
    </row>
    <row r="6" spans="1:13" s="11" customFormat="1" ht="14.45" customHeight="1" x14ac:dyDescent="0.15">
      <c r="B6" s="178"/>
    </row>
    <row r="7" spans="1:13" ht="14.45" customHeight="1" thickBot="1" x14ac:dyDescent="0.25">
      <c r="B7" s="1824" t="s">
        <v>433</v>
      </c>
      <c r="C7" s="1824"/>
      <c r="D7" s="1824"/>
      <c r="E7" s="1824"/>
      <c r="F7" s="1824"/>
      <c r="G7" s="1824"/>
      <c r="H7" s="1824"/>
      <c r="I7" s="1824"/>
      <c r="J7" s="1824"/>
      <c r="K7" s="1824"/>
      <c r="L7" s="1824"/>
      <c r="M7" s="1824"/>
    </row>
    <row r="8" spans="1:13" s="12" customFormat="1" ht="36.75" customHeight="1" x14ac:dyDescent="0.2">
      <c r="B8" s="1909" t="s">
        <v>56</v>
      </c>
      <c r="C8" s="1911" t="s">
        <v>85</v>
      </c>
      <c r="D8" s="1913" t="s">
        <v>1110</v>
      </c>
      <c r="E8" s="1913"/>
      <c r="F8" s="1914"/>
      <c r="G8" s="169"/>
      <c r="J8" s="1903" t="s">
        <v>1355</v>
      </c>
      <c r="K8" s="1904"/>
      <c r="L8" s="1904"/>
      <c r="M8" s="1905" t="s">
        <v>1357</v>
      </c>
    </row>
    <row r="9" spans="1:13" s="12" customFormat="1" ht="40.9" customHeight="1" thickBot="1" x14ac:dyDescent="0.25">
      <c r="B9" s="1910"/>
      <c r="C9" s="1912"/>
      <c r="D9" s="1128" t="s">
        <v>62</v>
      </c>
      <c r="E9" s="1128" t="s">
        <v>63</v>
      </c>
      <c r="F9" s="1129" t="s">
        <v>64</v>
      </c>
      <c r="G9" s="169"/>
      <c r="J9" s="1263" t="s">
        <v>62</v>
      </c>
      <c r="K9" s="1264" t="s">
        <v>63</v>
      </c>
      <c r="L9" s="1264" t="s">
        <v>64</v>
      </c>
      <c r="M9" s="1906"/>
    </row>
    <row r="10" spans="1:13" s="12" customFormat="1" ht="10.5" customHeight="1" x14ac:dyDescent="0.2">
      <c r="A10" s="1126"/>
      <c r="B10" s="1144"/>
      <c r="C10" s="196"/>
      <c r="D10" s="197"/>
      <c r="E10" s="197"/>
      <c r="F10" s="418"/>
      <c r="G10" s="169"/>
      <c r="J10" s="499"/>
      <c r="L10" s="1268"/>
      <c r="M10" s="1269"/>
    </row>
    <row r="11" spans="1:13" s="12" customFormat="1" ht="14.45" customHeight="1" x14ac:dyDescent="0.2">
      <c r="A11" s="1126"/>
      <c r="B11" s="1145" t="s">
        <v>478</v>
      </c>
      <c r="C11" s="198" t="s">
        <v>86</v>
      </c>
      <c r="D11" s="197"/>
      <c r="E11" s="197"/>
      <c r="F11" s="418"/>
      <c r="G11" s="169"/>
      <c r="J11" s="499"/>
      <c r="L11" s="1126"/>
      <c r="M11" s="1270"/>
    </row>
    <row r="12" spans="1:13" s="12" customFormat="1" ht="14.45" customHeight="1" x14ac:dyDescent="0.2">
      <c r="A12" s="1126"/>
      <c r="B12" s="1145" t="s">
        <v>486</v>
      </c>
      <c r="C12" s="199" t="s">
        <v>1069</v>
      </c>
      <c r="D12" s="197"/>
      <c r="E12" s="197"/>
      <c r="F12" s="418"/>
      <c r="G12" s="169"/>
      <c r="J12" s="499"/>
      <c r="L12" s="1126"/>
      <c r="M12" s="1270"/>
    </row>
    <row r="13" spans="1:13" s="12" customFormat="1" ht="14.45" customHeight="1" x14ac:dyDescent="0.2">
      <c r="A13" s="1126"/>
      <c r="B13" s="1145" t="s">
        <v>487</v>
      </c>
      <c r="C13" s="200" t="s">
        <v>97</v>
      </c>
      <c r="D13" s="153">
        <v>19447</v>
      </c>
      <c r="E13" s="153">
        <v>40800</v>
      </c>
      <c r="F13" s="419">
        <f>SUM(D13:E13)</f>
        <v>60247</v>
      </c>
      <c r="G13" s="169"/>
      <c r="J13" s="553">
        <v>19447</v>
      </c>
      <c r="K13" s="280">
        <v>40800</v>
      </c>
      <c r="L13" s="437">
        <f>J13+K13</f>
        <v>60247</v>
      </c>
      <c r="M13" s="1271">
        <f>L13/F13*100</f>
        <v>100</v>
      </c>
    </row>
    <row r="14" spans="1:13" s="12" customFormat="1" ht="14.45" customHeight="1" x14ac:dyDescent="0.2">
      <c r="A14" s="1126"/>
      <c r="B14" s="1145" t="s">
        <v>488</v>
      </c>
      <c r="C14" s="200" t="s">
        <v>283</v>
      </c>
      <c r="D14" s="153"/>
      <c r="E14" s="153">
        <v>24</v>
      </c>
      <c r="F14" s="419">
        <f>SUM(D14:E14)</f>
        <v>24</v>
      </c>
      <c r="G14" s="169"/>
      <c r="J14" s="794"/>
      <c r="K14" s="280">
        <v>23</v>
      </c>
      <c r="L14" s="437">
        <f t="shared" ref="L14:L55" si="0">J14+K14</f>
        <v>23</v>
      </c>
      <c r="M14" s="1271">
        <f t="shared" ref="M14:M55" si="1">L14/F14*100</f>
        <v>95.833333333333343</v>
      </c>
    </row>
    <row r="15" spans="1:13" s="12" customFormat="1" ht="14.45" customHeight="1" x14ac:dyDescent="0.2">
      <c r="A15" s="1126"/>
      <c r="B15" s="1145" t="s">
        <v>489</v>
      </c>
      <c r="C15" s="14" t="s">
        <v>98</v>
      </c>
      <c r="D15" s="153"/>
      <c r="E15" s="153">
        <v>0</v>
      </c>
      <c r="F15" s="419">
        <f>SUM(D15:E15)</f>
        <v>0</v>
      </c>
      <c r="G15" s="169"/>
      <c r="J15" s="794"/>
      <c r="K15" s="1265"/>
      <c r="L15" s="437">
        <f t="shared" si="0"/>
        <v>0</v>
      </c>
      <c r="M15" s="1271"/>
    </row>
    <row r="16" spans="1:13" s="12" customFormat="1" ht="14.45" customHeight="1" thickBot="1" x14ac:dyDescent="0.25">
      <c r="A16" s="1126"/>
      <c r="B16" s="1145" t="s">
        <v>490</v>
      </c>
      <c r="C16" s="14" t="s">
        <v>99</v>
      </c>
      <c r="D16" s="153"/>
      <c r="E16" s="153"/>
      <c r="F16" s="419"/>
      <c r="G16" s="169"/>
      <c r="J16" s="794"/>
      <c r="K16" s="1273"/>
      <c r="L16" s="437">
        <f t="shared" si="0"/>
        <v>0</v>
      </c>
      <c r="M16" s="1271"/>
    </row>
    <row r="17" spans="1:13" s="12" customFormat="1" ht="14.45" customHeight="1" thickBot="1" x14ac:dyDescent="0.25">
      <c r="B17" s="1146" t="s">
        <v>491</v>
      </c>
      <c r="C17" s="428" t="s">
        <v>1072</v>
      </c>
      <c r="D17" s="294">
        <f>SUM(D13:D16)</f>
        <v>19447</v>
      </c>
      <c r="E17" s="294">
        <f>SUM(E13:E16)</f>
        <v>40824</v>
      </c>
      <c r="F17" s="843">
        <f>SUM(F13:F16)</f>
        <v>60271</v>
      </c>
      <c r="G17" s="169"/>
      <c r="J17" s="1280">
        <f>SUM(J13:J16)</f>
        <v>19447</v>
      </c>
      <c r="K17" s="1280">
        <f>SUM(K13:K16)</f>
        <v>40823</v>
      </c>
      <c r="L17" s="1256">
        <f t="shared" si="0"/>
        <v>60270</v>
      </c>
      <c r="M17" s="1208">
        <f t="shared" si="1"/>
        <v>99.998340827263519</v>
      </c>
    </row>
    <row r="18" spans="1:13" s="12" customFormat="1" ht="14.45" customHeight="1" x14ac:dyDescent="0.2">
      <c r="A18" s="1126"/>
      <c r="B18" s="1145" t="s">
        <v>492</v>
      </c>
      <c r="C18" s="201"/>
      <c r="D18" s="177"/>
      <c r="E18" s="177"/>
      <c r="F18" s="422"/>
      <c r="G18" s="169"/>
      <c r="J18" s="1274"/>
      <c r="K18" s="1275"/>
      <c r="L18" s="1276"/>
      <c r="M18" s="1277"/>
    </row>
    <row r="19" spans="1:13" s="12" customFormat="1" ht="14.45" customHeight="1" x14ac:dyDescent="0.2">
      <c r="A19" s="1126"/>
      <c r="B19" s="1145" t="s">
        <v>493</v>
      </c>
      <c r="C19" s="498" t="s">
        <v>284</v>
      </c>
      <c r="D19" s="177"/>
      <c r="E19" s="177"/>
      <c r="F19" s="422"/>
      <c r="G19" s="169"/>
      <c r="J19" s="794"/>
      <c r="K19" s="1265"/>
      <c r="L19" s="437"/>
      <c r="M19" s="1271"/>
    </row>
    <row r="20" spans="1:13" s="12" customFormat="1" ht="14.45" customHeight="1" x14ac:dyDescent="0.2">
      <c r="A20" s="1126"/>
      <c r="B20" s="1145" t="s">
        <v>529</v>
      </c>
      <c r="C20" s="14" t="s">
        <v>1089</v>
      </c>
      <c r="D20" s="177"/>
      <c r="E20" s="153">
        <v>180</v>
      </c>
      <c r="F20" s="419">
        <f>D20+E20</f>
        <v>180</v>
      </c>
      <c r="G20" s="169"/>
      <c r="J20" s="794"/>
      <c r="K20" s="280">
        <v>180</v>
      </c>
      <c r="L20" s="437">
        <f t="shared" si="0"/>
        <v>180</v>
      </c>
      <c r="M20" s="1271">
        <f t="shared" si="1"/>
        <v>100</v>
      </c>
    </row>
    <row r="21" spans="1:13" s="12" customFormat="1" ht="14.45" customHeight="1" thickBot="1" x14ac:dyDescent="0.25">
      <c r="A21" s="1126"/>
      <c r="B21" s="1145" t="s">
        <v>530</v>
      </c>
      <c r="C21" s="14" t="s">
        <v>1312</v>
      </c>
      <c r="D21" s="177"/>
      <c r="E21" s="153">
        <v>0</v>
      </c>
      <c r="F21" s="419">
        <f>D21+E21</f>
        <v>0</v>
      </c>
      <c r="G21" s="169"/>
      <c r="J21" s="553">
        <f t="shared" ref="J21" si="2">SUM(E21:I21)</f>
        <v>0</v>
      </c>
      <c r="K21" s="1265"/>
      <c r="L21" s="1278">
        <f t="shared" si="0"/>
        <v>0</v>
      </c>
      <c r="M21" s="1279"/>
    </row>
    <row r="22" spans="1:13" s="12" customFormat="1" ht="14.45" customHeight="1" thickBot="1" x14ac:dyDescent="0.25">
      <c r="B22" s="1146" t="s">
        <v>531</v>
      </c>
      <c r="C22" s="428" t="s">
        <v>285</v>
      </c>
      <c r="D22" s="294">
        <f>D20</f>
        <v>0</v>
      </c>
      <c r="E22" s="294">
        <f>E20+E21</f>
        <v>180</v>
      </c>
      <c r="F22" s="843">
        <f t="shared" ref="F22:I22" si="3">F20+F21</f>
        <v>180</v>
      </c>
      <c r="G22" s="294">
        <f t="shared" si="3"/>
        <v>0</v>
      </c>
      <c r="H22" s="294">
        <f t="shared" si="3"/>
        <v>0</v>
      </c>
      <c r="I22" s="294">
        <f t="shared" si="3"/>
        <v>0</v>
      </c>
      <c r="J22" s="849">
        <f>SUM(J20:J21)</f>
        <v>0</v>
      </c>
      <c r="K22" s="849">
        <f>SUM(K20:K21)</f>
        <v>180</v>
      </c>
      <c r="L22" s="1197">
        <f t="shared" si="0"/>
        <v>180</v>
      </c>
      <c r="M22" s="1007">
        <f t="shared" si="1"/>
        <v>100</v>
      </c>
    </row>
    <row r="23" spans="1:13" s="12" customFormat="1" ht="14.45" customHeight="1" x14ac:dyDescent="0.2">
      <c r="A23" s="1126"/>
      <c r="B23" s="1145" t="s">
        <v>532</v>
      </c>
      <c r="C23" s="201"/>
      <c r="D23" s="177"/>
      <c r="E23" s="177"/>
      <c r="F23" s="177"/>
      <c r="G23" s="169"/>
      <c r="J23" s="794"/>
      <c r="K23" s="1265"/>
      <c r="L23" s="437"/>
      <c r="M23" s="1271"/>
    </row>
    <row r="24" spans="1:13" s="12" customFormat="1" ht="14.45" customHeight="1" thickBot="1" x14ac:dyDescent="0.25">
      <c r="A24" s="1126"/>
      <c r="B24" s="1145" t="s">
        <v>533</v>
      </c>
      <c r="C24" s="203" t="s">
        <v>1070</v>
      </c>
      <c r="D24" s="177"/>
      <c r="E24" s="177"/>
      <c r="F24" s="177"/>
      <c r="G24" s="169"/>
      <c r="J24" s="794"/>
      <c r="K24" s="1265"/>
      <c r="L24" s="1278"/>
      <c r="M24" s="1271"/>
    </row>
    <row r="25" spans="1:13" s="12" customFormat="1" ht="14.45" customHeight="1" thickBot="1" x14ac:dyDescent="0.25">
      <c r="B25" s="1146" t="s">
        <v>534</v>
      </c>
      <c r="C25" s="428" t="s">
        <v>1071</v>
      </c>
      <c r="D25" s="294">
        <f>SUM(D24:D24)</f>
        <v>0</v>
      </c>
      <c r="E25" s="294">
        <f t="shared" ref="E25:F25" si="4">SUM(E24:E24)</f>
        <v>0</v>
      </c>
      <c r="F25" s="843">
        <f t="shared" si="4"/>
        <v>0</v>
      </c>
      <c r="G25" s="169"/>
      <c r="J25" s="1280"/>
      <c r="K25" s="1281"/>
      <c r="L25" s="420">
        <f t="shared" si="0"/>
        <v>0</v>
      </c>
      <c r="M25" s="1007"/>
    </row>
    <row r="26" spans="1:13" s="12" customFormat="1" ht="12" customHeight="1" x14ac:dyDescent="0.2">
      <c r="A26" s="1126"/>
      <c r="B26" s="1145" t="s">
        <v>535</v>
      </c>
      <c r="C26" s="202"/>
      <c r="D26" s="197"/>
      <c r="E26" s="197"/>
      <c r="F26" s="418"/>
      <c r="G26" s="169"/>
      <c r="J26" s="1274"/>
      <c r="K26" s="1275"/>
      <c r="L26" s="1276"/>
      <c r="M26" s="1271"/>
    </row>
    <row r="27" spans="1:13" s="11" customFormat="1" ht="14.45" customHeight="1" x14ac:dyDescent="0.2">
      <c r="A27" s="440"/>
      <c r="B27" s="1145" t="s">
        <v>536</v>
      </c>
      <c r="C27" s="502" t="s">
        <v>942</v>
      </c>
      <c r="D27" s="177"/>
      <c r="E27" s="177"/>
      <c r="F27" s="422"/>
      <c r="G27" s="178"/>
      <c r="J27" s="796"/>
      <c r="K27" s="184"/>
      <c r="L27" s="437"/>
      <c r="M27" s="1271"/>
    </row>
    <row r="28" spans="1:13" s="11" customFormat="1" ht="26.25" customHeight="1" x14ac:dyDescent="0.2">
      <c r="A28" s="440"/>
      <c r="B28" s="1145" t="s">
        <v>538</v>
      </c>
      <c r="C28" s="954" t="s">
        <v>1314</v>
      </c>
      <c r="D28" s="177"/>
      <c r="E28" s="153">
        <v>14540</v>
      </c>
      <c r="F28" s="419">
        <f>SUM(D28:E28)</f>
        <v>14540</v>
      </c>
      <c r="G28" s="178"/>
      <c r="J28" s="796"/>
      <c r="K28" s="280">
        <v>14540</v>
      </c>
      <c r="L28" s="437">
        <f t="shared" si="0"/>
        <v>14540</v>
      </c>
      <c r="M28" s="1271">
        <f t="shared" si="1"/>
        <v>100</v>
      </c>
    </row>
    <row r="29" spans="1:13" s="11" customFormat="1" ht="26.25" customHeight="1" thickBot="1" x14ac:dyDescent="0.25">
      <c r="A29" s="440"/>
      <c r="B29" s="1145" t="s">
        <v>539</v>
      </c>
      <c r="C29" s="954" t="s">
        <v>1313</v>
      </c>
      <c r="D29" s="153">
        <v>621278</v>
      </c>
      <c r="E29" s="153"/>
      <c r="F29" s="419">
        <f>SUM(D29:E29)</f>
        <v>621278</v>
      </c>
      <c r="G29" s="178"/>
      <c r="J29" s="1481">
        <v>621277</v>
      </c>
      <c r="K29" s="1202"/>
      <c r="L29" s="1482">
        <f t="shared" si="0"/>
        <v>621277</v>
      </c>
      <c r="M29" s="1271">
        <f t="shared" si="1"/>
        <v>99.999839041459708</v>
      </c>
    </row>
    <row r="30" spans="1:13" ht="14.45" customHeight="1" thickBot="1" x14ac:dyDescent="0.25">
      <c r="B30" s="1146" t="s">
        <v>540</v>
      </c>
      <c r="C30" s="428" t="s">
        <v>1067</v>
      </c>
      <c r="D30" s="294">
        <f>SUM(D28:D29)</f>
        <v>621278</v>
      </c>
      <c r="E30" s="294">
        <f t="shared" ref="E30:F30" si="5">SUM(E28:E29)</f>
        <v>14540</v>
      </c>
      <c r="F30" s="843">
        <f t="shared" si="5"/>
        <v>635818</v>
      </c>
      <c r="G30" s="152"/>
      <c r="H30" s="10"/>
      <c r="I30" s="10"/>
      <c r="J30" s="1483">
        <f>SUM(J28:J29)</f>
        <v>621277</v>
      </c>
      <c r="K30" s="184">
        <f>SUM(K28:K29)</f>
        <v>14540</v>
      </c>
      <c r="L30" s="420">
        <f t="shared" si="0"/>
        <v>635817</v>
      </c>
      <c r="M30" s="1007">
        <f t="shared" si="1"/>
        <v>99.999842722288463</v>
      </c>
    </row>
    <row r="31" spans="1:13" ht="14.45" customHeight="1" x14ac:dyDescent="0.2">
      <c r="A31" s="1127"/>
      <c r="B31" s="1145" t="s">
        <v>541</v>
      </c>
      <c r="C31" s="201"/>
      <c r="D31" s="177"/>
      <c r="E31" s="177"/>
      <c r="F31" s="422"/>
      <c r="G31" s="152"/>
      <c r="H31" s="10"/>
      <c r="I31" s="10"/>
      <c r="J31" s="1282"/>
      <c r="K31" s="1283"/>
      <c r="L31" s="1276"/>
      <c r="M31" s="1271"/>
    </row>
    <row r="32" spans="1:13" ht="14.45" customHeight="1" x14ac:dyDescent="0.2">
      <c r="A32" s="1127"/>
      <c r="B32" s="1145" t="s">
        <v>542</v>
      </c>
      <c r="C32" s="203" t="s">
        <v>168</v>
      </c>
      <c r="D32" s="177"/>
      <c r="E32" s="153"/>
      <c r="F32" s="419"/>
      <c r="G32" s="152"/>
      <c r="H32" s="10"/>
      <c r="I32" s="10"/>
      <c r="J32" s="553"/>
      <c r="K32" s="280"/>
      <c r="L32" s="437"/>
      <c r="M32" s="1271"/>
    </row>
    <row r="33" spans="1:13" ht="28.5" customHeight="1" x14ac:dyDescent="0.2">
      <c r="A33" s="1127"/>
      <c r="B33" s="1145" t="s">
        <v>543</v>
      </c>
      <c r="C33" s="14" t="s">
        <v>1315</v>
      </c>
      <c r="D33" s="1124"/>
      <c r="E33" s="1123">
        <v>1261</v>
      </c>
      <c r="F33" s="1125">
        <f>D33+E33</f>
        <v>1261</v>
      </c>
      <c r="G33" s="152"/>
      <c r="H33" s="10"/>
      <c r="I33" s="10"/>
      <c r="J33" s="553"/>
      <c r="K33" s="280">
        <v>1261</v>
      </c>
      <c r="L33" s="437">
        <f t="shared" si="0"/>
        <v>1261</v>
      </c>
      <c r="M33" s="1271">
        <f t="shared" si="1"/>
        <v>100</v>
      </c>
    </row>
    <row r="34" spans="1:13" ht="17.25" customHeight="1" thickBot="1" x14ac:dyDescent="0.25">
      <c r="A34" s="1127"/>
      <c r="B34" s="1145" t="s">
        <v>544</v>
      </c>
      <c r="C34" s="14" t="s">
        <v>1316</v>
      </c>
      <c r="D34" s="1123">
        <v>9900</v>
      </c>
      <c r="E34" s="1123"/>
      <c r="F34" s="1125">
        <f>D34+E34</f>
        <v>9900</v>
      </c>
      <c r="G34" s="152"/>
      <c r="H34" s="10"/>
      <c r="I34" s="10"/>
      <c r="J34" s="553">
        <v>9900</v>
      </c>
      <c r="K34" s="280"/>
      <c r="L34" s="437">
        <f t="shared" si="0"/>
        <v>9900</v>
      </c>
      <c r="M34" s="1271">
        <f t="shared" si="1"/>
        <v>100</v>
      </c>
    </row>
    <row r="35" spans="1:13" ht="14.45" customHeight="1" thickBot="1" x14ac:dyDescent="0.25">
      <c r="B35" s="1146" t="s">
        <v>545</v>
      </c>
      <c r="C35" s="428" t="s">
        <v>1068</v>
      </c>
      <c r="D35" s="294">
        <f>SUM(D33:D34)</f>
        <v>9900</v>
      </c>
      <c r="E35" s="294">
        <f>SUM(E33:E34)</f>
        <v>1261</v>
      </c>
      <c r="F35" s="843">
        <f>SUM(F33:F34)</f>
        <v>11161</v>
      </c>
      <c r="G35" s="152"/>
      <c r="H35" s="10"/>
      <c r="I35" s="10"/>
      <c r="J35" s="1280">
        <f>SUM(J33:J34)</f>
        <v>9900</v>
      </c>
      <c r="K35" s="849">
        <f>SUM(K33:K34)</f>
        <v>1261</v>
      </c>
      <c r="L35" s="1197">
        <f t="shared" si="0"/>
        <v>11161</v>
      </c>
      <c r="M35" s="1007">
        <f t="shared" si="1"/>
        <v>100</v>
      </c>
    </row>
    <row r="36" spans="1:13" ht="14.45" customHeight="1" x14ac:dyDescent="0.2">
      <c r="A36" s="1127"/>
      <c r="B36" s="1145" t="s">
        <v>563</v>
      </c>
      <c r="C36" s="201"/>
      <c r="D36" s="177"/>
      <c r="E36" s="177"/>
      <c r="F36" s="177"/>
      <c r="G36" s="152"/>
      <c r="H36" s="10"/>
      <c r="I36" s="10"/>
      <c r="J36" s="1282"/>
      <c r="K36" s="280"/>
      <c r="L36" s="437"/>
      <c r="M36" s="1271"/>
    </row>
    <row r="37" spans="1:13" s="12" customFormat="1" ht="14.45" customHeight="1" x14ac:dyDescent="0.2">
      <c r="A37" s="1126"/>
      <c r="B37" s="1145" t="s">
        <v>564</v>
      </c>
      <c r="C37" s="203" t="s">
        <v>100</v>
      </c>
      <c r="D37" s="169"/>
      <c r="E37" s="169"/>
      <c r="F37" s="427"/>
      <c r="G37" s="169"/>
      <c r="J37" s="794"/>
      <c r="K37" s="1265"/>
      <c r="L37" s="437"/>
      <c r="M37" s="1271"/>
    </row>
    <row r="38" spans="1:13" s="12" customFormat="1" ht="14.45" customHeight="1" thickBot="1" x14ac:dyDescent="0.25">
      <c r="A38" s="1126"/>
      <c r="B38" s="1145" t="s">
        <v>565</v>
      </c>
      <c r="C38" s="14" t="s">
        <v>101</v>
      </c>
      <c r="D38" s="169"/>
      <c r="E38" s="153">
        <v>2971</v>
      </c>
      <c r="F38" s="419">
        <f>SUM(E38)</f>
        <v>2971</v>
      </c>
      <c r="G38" s="169"/>
      <c r="J38" s="1284"/>
      <c r="K38" s="280">
        <v>2971</v>
      </c>
      <c r="L38" s="437">
        <f t="shared" si="0"/>
        <v>2971</v>
      </c>
      <c r="M38" s="1271">
        <f t="shared" si="1"/>
        <v>100</v>
      </c>
    </row>
    <row r="39" spans="1:13" s="12" customFormat="1" ht="14.45" customHeight="1" thickBot="1" x14ac:dyDescent="0.25">
      <c r="A39" s="1126"/>
      <c r="B39" s="1147" t="s">
        <v>566</v>
      </c>
      <c r="C39" s="428" t="s">
        <v>102</v>
      </c>
      <c r="D39" s="294">
        <f>SUM(D38:D38)</f>
        <v>0</v>
      </c>
      <c r="E39" s="294">
        <f>SUM(E38:E38)</f>
        <v>2971</v>
      </c>
      <c r="F39" s="843">
        <f>SUM(F38:F38)</f>
        <v>2971</v>
      </c>
      <c r="G39" s="197"/>
      <c r="J39" s="744">
        <f t="shared" ref="J39" si="6">SUM(J36)</f>
        <v>0</v>
      </c>
      <c r="K39" s="849">
        <f>SUM(K38)</f>
        <v>2971</v>
      </c>
      <c r="L39" s="1256">
        <f t="shared" si="0"/>
        <v>2971</v>
      </c>
      <c r="M39" s="1208">
        <f t="shared" si="1"/>
        <v>100</v>
      </c>
    </row>
    <row r="40" spans="1:13" s="12" customFormat="1" ht="15.75" customHeight="1" thickBot="1" x14ac:dyDescent="0.25">
      <c r="B40" s="1148" t="s">
        <v>567</v>
      </c>
      <c r="C40" s="201"/>
      <c r="D40" s="169"/>
      <c r="E40" s="169"/>
      <c r="F40" s="427"/>
      <c r="G40" s="169"/>
      <c r="J40" s="1285"/>
      <c r="K40" s="1286"/>
      <c r="L40" s="1276"/>
      <c r="M40" s="1277"/>
    </row>
    <row r="41" spans="1:13" s="12" customFormat="1" ht="14.45" customHeight="1" thickBot="1" x14ac:dyDescent="0.25">
      <c r="B41" s="1149" t="s">
        <v>568</v>
      </c>
      <c r="C41" s="428" t="s">
        <v>103</v>
      </c>
      <c r="D41" s="294">
        <f t="shared" ref="D41:K41" si="7">D17+D30+D35+D39+D25+D22</f>
        <v>650625</v>
      </c>
      <c r="E41" s="294">
        <f t="shared" si="7"/>
        <v>59776</v>
      </c>
      <c r="F41" s="843">
        <f t="shared" si="7"/>
        <v>710401</v>
      </c>
      <c r="G41" s="294">
        <f t="shared" si="7"/>
        <v>0</v>
      </c>
      <c r="H41" s="294">
        <f t="shared" si="7"/>
        <v>0</v>
      </c>
      <c r="I41" s="294">
        <f t="shared" si="7"/>
        <v>0</v>
      </c>
      <c r="J41" s="294">
        <f t="shared" si="7"/>
        <v>650624</v>
      </c>
      <c r="K41" s="294">
        <f t="shared" si="7"/>
        <v>59775</v>
      </c>
      <c r="L41" s="1197">
        <f t="shared" si="0"/>
        <v>710399</v>
      </c>
      <c r="M41" s="1208">
        <f t="shared" si="1"/>
        <v>99.999718468864771</v>
      </c>
    </row>
    <row r="42" spans="1:13" s="12" customFormat="1" ht="14.45" customHeight="1" x14ac:dyDescent="0.2">
      <c r="A42" s="1126"/>
      <c r="B42" s="1178" t="s">
        <v>569</v>
      </c>
      <c r="C42" s="720"/>
      <c r="D42" s="168"/>
      <c r="E42" s="168"/>
      <c r="F42" s="168"/>
      <c r="G42" s="168"/>
      <c r="H42" s="168"/>
      <c r="I42" s="168"/>
      <c r="J42" s="1274"/>
      <c r="K42" s="1265"/>
      <c r="L42" s="437"/>
      <c r="M42" s="1277"/>
    </row>
    <row r="43" spans="1:13" s="12" customFormat="1" ht="14.45" customHeight="1" x14ac:dyDescent="0.2">
      <c r="A43" s="1126"/>
      <c r="B43" s="1178" t="s">
        <v>570</v>
      </c>
      <c r="C43" s="720" t="s">
        <v>327</v>
      </c>
      <c r="D43" s="168"/>
      <c r="E43" s="168"/>
      <c r="F43" s="168"/>
      <c r="G43" s="168"/>
      <c r="H43" s="168"/>
      <c r="I43" s="168"/>
      <c r="J43" s="794"/>
      <c r="K43" s="1265"/>
      <c r="L43" s="437"/>
      <c r="M43" s="1271"/>
    </row>
    <row r="44" spans="1:13" s="12" customFormat="1" ht="14.45" customHeight="1" x14ac:dyDescent="0.2">
      <c r="A44" s="1126"/>
      <c r="B44" s="1178" t="s">
        <v>571</v>
      </c>
      <c r="C44" s="1179" t="s">
        <v>1069</v>
      </c>
      <c r="D44" s="168"/>
      <c r="E44" s="168"/>
      <c r="F44" s="168"/>
      <c r="G44" s="168"/>
      <c r="H44" s="168"/>
      <c r="I44" s="168"/>
      <c r="J44" s="794"/>
      <c r="K44" s="1265"/>
      <c r="L44" s="437"/>
      <c r="M44" s="1271"/>
    </row>
    <row r="45" spans="1:13" s="12" customFormat="1" ht="14.45" customHeight="1" x14ac:dyDescent="0.2">
      <c r="A45" s="1126"/>
      <c r="B45" s="1178" t="s">
        <v>622</v>
      </c>
      <c r="C45" s="204" t="s">
        <v>283</v>
      </c>
      <c r="D45" s="168"/>
      <c r="E45" s="164">
        <v>53</v>
      </c>
      <c r="F45" s="164">
        <f>D45+E45</f>
        <v>53</v>
      </c>
      <c r="G45" s="168"/>
      <c r="H45" s="168"/>
      <c r="I45" s="168"/>
      <c r="J45" s="794"/>
      <c r="K45" s="1265">
        <v>53</v>
      </c>
      <c r="L45" s="437">
        <f t="shared" si="0"/>
        <v>53</v>
      </c>
      <c r="M45" s="1271">
        <f t="shared" si="1"/>
        <v>100</v>
      </c>
    </row>
    <row r="46" spans="1:13" s="12" customFormat="1" ht="14.45" customHeight="1" thickBot="1" x14ac:dyDescent="0.25">
      <c r="A46" s="1126"/>
      <c r="B46" s="1178" t="s">
        <v>623</v>
      </c>
      <c r="C46" s="720" t="s">
        <v>1346</v>
      </c>
      <c r="D46" s="168"/>
      <c r="E46" s="168">
        <f>SUM(E45)</f>
        <v>53</v>
      </c>
      <c r="F46" s="168">
        <f>SUM(F45)</f>
        <v>53</v>
      </c>
      <c r="G46" s="168"/>
      <c r="H46" s="168"/>
      <c r="I46" s="168"/>
      <c r="J46" s="1266"/>
      <c r="K46" s="1287">
        <f>SUM(K45)</f>
        <v>53</v>
      </c>
      <c r="L46" s="1203">
        <f t="shared" si="0"/>
        <v>53</v>
      </c>
      <c r="M46" s="1272">
        <f t="shared" si="1"/>
        <v>100</v>
      </c>
    </row>
    <row r="47" spans="1:13" s="12" customFormat="1" ht="14.45" customHeight="1" thickBot="1" x14ac:dyDescent="0.25">
      <c r="B47" s="1149" t="s">
        <v>624</v>
      </c>
      <c r="C47" s="428" t="s">
        <v>1347</v>
      </c>
      <c r="D47" s="294"/>
      <c r="E47" s="294">
        <f>SUM(E46)</f>
        <v>53</v>
      </c>
      <c r="F47" s="843">
        <f>SUM(F46)</f>
        <v>53</v>
      </c>
      <c r="G47" s="168"/>
      <c r="H47" s="168"/>
      <c r="I47" s="168"/>
      <c r="J47" s="1280"/>
      <c r="K47" s="184">
        <f>K46</f>
        <v>53</v>
      </c>
      <c r="L47" s="420">
        <f t="shared" si="0"/>
        <v>53</v>
      </c>
      <c r="M47" s="1208">
        <f t="shared" si="1"/>
        <v>100</v>
      </c>
    </row>
    <row r="48" spans="1:13" s="12" customFormat="1" ht="14.45" customHeight="1" x14ac:dyDescent="0.2">
      <c r="A48" s="1126"/>
      <c r="B48" s="1145" t="s">
        <v>625</v>
      </c>
      <c r="C48" s="720"/>
      <c r="D48" s="168"/>
      <c r="E48" s="168"/>
      <c r="F48" s="168"/>
      <c r="G48" s="168"/>
      <c r="H48" s="168"/>
      <c r="I48" s="168"/>
      <c r="J48" s="1274"/>
      <c r="K48" s="1275"/>
      <c r="L48" s="1276"/>
      <c r="M48" s="1277"/>
    </row>
    <row r="49" spans="1:13" s="12" customFormat="1" ht="14.45" customHeight="1" x14ac:dyDescent="0.2">
      <c r="A49" s="1126"/>
      <c r="B49" s="1145" t="s">
        <v>115</v>
      </c>
      <c r="C49" s="720" t="s">
        <v>665</v>
      </c>
      <c r="D49" s="168"/>
      <c r="E49" s="168"/>
      <c r="F49" s="168"/>
      <c r="G49" s="168"/>
      <c r="H49" s="168"/>
      <c r="I49" s="168"/>
      <c r="J49" s="794"/>
      <c r="K49" s="1265"/>
      <c r="L49" s="437"/>
      <c r="M49" s="1271"/>
    </row>
    <row r="50" spans="1:13" s="12" customFormat="1" ht="14.45" customHeight="1" x14ac:dyDescent="0.2">
      <c r="A50" s="1126"/>
      <c r="B50" s="1145" t="s">
        <v>650</v>
      </c>
      <c r="C50" s="199" t="s">
        <v>1069</v>
      </c>
      <c r="D50" s="168"/>
      <c r="E50" s="168"/>
      <c r="F50" s="168"/>
      <c r="G50" s="168"/>
      <c r="H50" s="168"/>
      <c r="I50" s="168"/>
      <c r="J50" s="794"/>
      <c r="K50" s="1265"/>
      <c r="L50" s="437"/>
      <c r="M50" s="1271"/>
    </row>
    <row r="51" spans="1:13" ht="14.45" customHeight="1" x14ac:dyDescent="0.2">
      <c r="A51" s="1127"/>
      <c r="B51" s="1145" t="s">
        <v>651</v>
      </c>
      <c r="C51" s="204" t="s">
        <v>1257</v>
      </c>
      <c r="D51" s="152">
        <v>1285</v>
      </c>
      <c r="E51" s="152">
        <v>0</v>
      </c>
      <c r="F51" s="152">
        <f>D51+E51</f>
        <v>1285</v>
      </c>
      <c r="J51" s="553">
        <v>1285</v>
      </c>
      <c r="K51" s="280"/>
      <c r="L51" s="437">
        <f t="shared" si="0"/>
        <v>1285</v>
      </c>
      <c r="M51" s="1271">
        <f t="shared" si="1"/>
        <v>100</v>
      </c>
    </row>
    <row r="52" spans="1:13" ht="14.45" customHeight="1" thickBot="1" x14ac:dyDescent="0.25">
      <c r="A52" s="1127"/>
      <c r="B52" s="1145" t="s">
        <v>118</v>
      </c>
      <c r="C52" s="720" t="s">
        <v>1072</v>
      </c>
      <c r="D52" s="173">
        <f t="shared" ref="D52:F53" si="8">SUM(D51)</f>
        <v>1285</v>
      </c>
      <c r="E52" s="173">
        <f t="shared" si="8"/>
        <v>0</v>
      </c>
      <c r="F52" s="173">
        <f t="shared" si="8"/>
        <v>1285</v>
      </c>
      <c r="J52" s="796">
        <f>SUM(J51)</f>
        <v>1285</v>
      </c>
      <c r="K52" s="184"/>
      <c r="L52" s="1203">
        <f t="shared" si="0"/>
        <v>1285</v>
      </c>
      <c r="M52" s="1272">
        <f t="shared" si="1"/>
        <v>100</v>
      </c>
    </row>
    <row r="53" spans="1:13" ht="14.45" customHeight="1" thickBot="1" x14ac:dyDescent="0.25">
      <c r="B53" s="1146" t="s">
        <v>119</v>
      </c>
      <c r="C53" s="428" t="s">
        <v>670</v>
      </c>
      <c r="D53" s="466">
        <f t="shared" si="8"/>
        <v>1285</v>
      </c>
      <c r="E53" s="466">
        <f t="shared" si="8"/>
        <v>0</v>
      </c>
      <c r="F53" s="990">
        <f t="shared" si="8"/>
        <v>1285</v>
      </c>
      <c r="J53" s="1280">
        <f>J52</f>
        <v>1285</v>
      </c>
      <c r="K53" s="849"/>
      <c r="L53" s="420">
        <f t="shared" si="0"/>
        <v>1285</v>
      </c>
      <c r="M53" s="1208">
        <f t="shared" si="1"/>
        <v>100</v>
      </c>
    </row>
    <row r="54" spans="1:13" ht="14.45" customHeight="1" thickBot="1" x14ac:dyDescent="0.25">
      <c r="A54" s="1127"/>
      <c r="B54" s="1145" t="s">
        <v>120</v>
      </c>
      <c r="C54" s="204"/>
      <c r="J54" s="1282"/>
      <c r="K54" s="280"/>
      <c r="L54" s="1276"/>
      <c r="M54" s="1277"/>
    </row>
    <row r="55" spans="1:13" ht="14.45" customHeight="1" thickBot="1" x14ac:dyDescent="0.25">
      <c r="B55" s="1146" t="s">
        <v>123</v>
      </c>
      <c r="C55" s="428" t="s">
        <v>972</v>
      </c>
      <c r="D55" s="294">
        <f>D41+D47+D53</f>
        <v>651910</v>
      </c>
      <c r="E55" s="294">
        <f>E41+E47+E53</f>
        <v>59829</v>
      </c>
      <c r="F55" s="294">
        <f t="shared" ref="F55:I55" si="9">F41+F47+F53</f>
        <v>711739</v>
      </c>
      <c r="G55" s="294">
        <f t="shared" si="9"/>
        <v>0</v>
      </c>
      <c r="H55" s="294">
        <f t="shared" si="9"/>
        <v>0</v>
      </c>
      <c r="I55" s="294">
        <f t="shared" si="9"/>
        <v>0</v>
      </c>
      <c r="J55" s="1206">
        <f>J41+J47+J53</f>
        <v>651909</v>
      </c>
      <c r="K55" s="294">
        <f>K41+K47+K53</f>
        <v>59828</v>
      </c>
      <c r="L55" s="1256">
        <f t="shared" si="0"/>
        <v>711737</v>
      </c>
      <c r="M55" s="1208">
        <f t="shared" si="1"/>
        <v>99.999718998115881</v>
      </c>
    </row>
    <row r="56" spans="1:13" ht="14.45" customHeight="1" x14ac:dyDescent="0.2">
      <c r="L56" s="1288"/>
      <c r="M56" s="1288"/>
    </row>
  </sheetData>
  <sheetProtection selectLockedCells="1" selectUnlockedCells="1"/>
  <mergeCells count="10">
    <mergeCell ref="C1:M1"/>
    <mergeCell ref="J8:L8"/>
    <mergeCell ref="M8:M9"/>
    <mergeCell ref="B7:M7"/>
    <mergeCell ref="C4:M4"/>
    <mergeCell ref="B3:M3"/>
    <mergeCell ref="B5:M5"/>
    <mergeCell ref="B8:B9"/>
    <mergeCell ref="C8:C9"/>
    <mergeCell ref="D8:F8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68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10</vt:i4>
      </vt:variant>
    </vt:vector>
  </HeadingPairs>
  <TitlesOfParts>
    <vt:vector size="54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Munka4</vt:lpstr>
      <vt:lpstr>Munka3</vt:lpstr>
      <vt:lpstr>Munka6</vt:lpstr>
      <vt:lpstr>Munka2</vt:lpstr>
      <vt:lpstr>Maradvány</vt:lpstr>
      <vt:lpstr>eredménykimut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polgM keret</vt:lpstr>
      <vt:lpstr>hitelállomány </vt:lpstr>
      <vt:lpstr>Vagyonmérleg</vt:lpstr>
      <vt:lpstr>ing és vafgyonért jog</vt:lpstr>
      <vt:lpstr>forgalomképes vagy</vt:lpstr>
      <vt:lpstr>befejezetlen beruh</vt:lpstr>
      <vt:lpstr>o-ra leírt</vt:lpstr>
      <vt:lpstr>értékvesztés</vt:lpstr>
      <vt:lpstr>részesedések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  <vt:lpstr>'tám, végl. pe.átv 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2020-05-28T10:07:18Z</cp:lastPrinted>
  <dcterms:created xsi:type="dcterms:W3CDTF">2013-12-16T15:47:29Z</dcterms:created>
  <dcterms:modified xsi:type="dcterms:W3CDTF">2020-06-29T11:16:34Z</dcterms:modified>
</cp:coreProperties>
</file>