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2760" yWindow="32760" windowWidth="19200" windowHeight="5940" tabRatio="727" firstSheet="10" activeTab="22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sz.mell." sheetId="423" r:id="rId17"/>
    <sheet name="9.2.sz.mell.(2-1)" sheetId="422" r:id="rId18"/>
    <sheet name="9.2.sz.mell.(2-2)" sheetId="421" r:id="rId19"/>
    <sheet name="9.2.1.sz.mell." sheetId="420" r:id="rId20"/>
    <sheet name="9.2.2.sz.mell." sheetId="419" r:id="rId21"/>
    <sheet name="9.2.3.sz.mell." sheetId="418" r:id="rId22"/>
    <sheet name="9.3. sz. mell" sheetId="413" r:id="rId23"/>
    <sheet name="9.3.1. sz. mell" sheetId="414" r:id="rId24"/>
    <sheet name="9.3.2. sz. mell" sheetId="415" r:id="rId25"/>
    <sheet name="9.3.3. sz. mell" sheetId="416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externalReferences>
    <externalReference r:id="rId35"/>
  </externalReference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t.'!$A$1:$I$156</definedName>
    <definedName name="_xlnm.Print_Area" localSheetId="0">'1.1.sz.mell.'!$A$1:$G$163</definedName>
    <definedName name="_xlnm.Print_Area" localSheetId="1">'1.2.sz.mell.'!$A$1:$G$164</definedName>
    <definedName name="_xlnm.Print_Area" localSheetId="2">'1.3.sz.mell.'!$A$1:$G$160</definedName>
    <definedName name="_xlnm.Print_Area" localSheetId="3">'1.4.sz.mell.'!$A$1:$G$159</definedName>
    <definedName name="_xlnm.Print_Area" localSheetId="30">'4.sz tájékoztató t.'!$A$1:$O$181</definedName>
    <definedName name="_xlnm.Print_Area" localSheetId="33">'7. sz tájékoztató t.'!$A$1:$E$37</definedName>
    <definedName name="_xlnm.Print_Area" localSheetId="10">'7.sz.mell.'!$A$1:$O$23</definedName>
    <definedName name="_xlnm.Print_Area" localSheetId="11">'8. sz. mell. '!$A$1:$G$52</definedName>
  </definedNames>
  <calcPr calcId="125725" fullCalcOnLoad="1"/>
  <fileRecoveryPr autoRecover="0"/>
</workbook>
</file>

<file path=xl/calcChain.xml><?xml version="1.0" encoding="utf-8"?>
<calcChain xmlns="http://schemas.openxmlformats.org/spreadsheetml/2006/main">
  <c r="G98" i="1"/>
  <c r="G21"/>
  <c r="G103" i="116"/>
  <c r="G26"/>
  <c r="F47" i="423"/>
  <c r="F23"/>
  <c r="F20"/>
  <c r="F37"/>
  <c r="F42"/>
  <c r="F47" i="422"/>
  <c r="F23"/>
  <c r="F47" i="421"/>
  <c r="F23"/>
  <c r="F20"/>
  <c r="F37"/>
  <c r="F42"/>
  <c r="F47" i="420"/>
  <c r="F23"/>
  <c r="G100" i="1"/>
  <c r="G99"/>
  <c r="G105" i="116"/>
  <c r="G104"/>
  <c r="M12" i="73"/>
  <c r="M9"/>
  <c r="M8"/>
  <c r="M7"/>
  <c r="G115" i="3"/>
  <c r="G99"/>
  <c r="G98"/>
  <c r="G97"/>
  <c r="G115" i="119"/>
  <c r="G99"/>
  <c r="G98"/>
  <c r="G97"/>
  <c r="I112" i="87"/>
  <c r="I96"/>
  <c r="I95"/>
  <c r="I94"/>
  <c r="N174" i="24"/>
  <c r="N169"/>
  <c r="N168"/>
  <c r="N167"/>
  <c r="G41" i="1"/>
  <c r="G46" i="116"/>
  <c r="F11" i="423"/>
  <c r="G121" i="1"/>
  <c r="G119"/>
  <c r="G131"/>
  <c r="G117"/>
  <c r="G114"/>
  <c r="G101"/>
  <c r="G64"/>
  <c r="G49"/>
  <c r="G44"/>
  <c r="G40"/>
  <c r="G42" i="116"/>
  <c r="G124"/>
  <c r="G54"/>
  <c r="G45"/>
  <c r="G11" i="73"/>
  <c r="G117" i="3"/>
  <c r="G48"/>
  <c r="G43"/>
  <c r="G42"/>
  <c r="G40"/>
  <c r="G39"/>
  <c r="G48" i="119"/>
  <c r="G43"/>
  <c r="G42"/>
  <c r="G40"/>
  <c r="G39"/>
  <c r="I45" i="87"/>
  <c r="I40"/>
  <c r="I39"/>
  <c r="I37"/>
  <c r="I36"/>
  <c r="N158" i="24"/>
  <c r="N157"/>
  <c r="I33" i="87"/>
  <c r="I32"/>
  <c r="I31"/>
  <c r="I30"/>
  <c r="I28"/>
  <c r="I114"/>
  <c r="G36" i="119"/>
  <c r="G35"/>
  <c r="G34"/>
  <c r="G33"/>
  <c r="G31"/>
  <c r="G117"/>
  <c r="G36" i="3"/>
  <c r="G35"/>
  <c r="G34"/>
  <c r="G33"/>
  <c r="G31"/>
  <c r="G10" i="73"/>
  <c r="M7" i="61"/>
  <c r="L28" i="63"/>
  <c r="L29"/>
  <c r="O29"/>
  <c r="P29"/>
  <c r="D29"/>
  <c r="F29"/>
  <c r="G29"/>
  <c r="H29"/>
  <c r="I29"/>
  <c r="J29"/>
  <c r="M29"/>
  <c r="N29"/>
  <c r="C29"/>
  <c r="G119" i="3"/>
  <c r="G119" i="119"/>
  <c r="I116" i="87"/>
  <c r="N175" i="24"/>
  <c r="N172"/>
  <c r="I110" i="87"/>
  <c r="I128"/>
  <c r="N155" i="24"/>
  <c r="I17" i="87"/>
  <c r="G20" i="119"/>
  <c r="G20" i="3"/>
  <c r="G8" i="73"/>
  <c r="N154" i="24"/>
  <c r="I10" i="87"/>
  <c r="G113" i="119"/>
  <c r="G13"/>
  <c r="G113" i="3"/>
  <c r="G13"/>
  <c r="M11" i="73"/>
  <c r="G7"/>
  <c r="M11" i="61"/>
  <c r="G131" i="3"/>
  <c r="G131" i="119"/>
  <c r="N177" i="24"/>
  <c r="N173"/>
  <c r="H24" i="70"/>
  <c r="H11"/>
  <c r="F26" i="2"/>
  <c r="F21"/>
  <c r="F20"/>
  <c r="I8" i="87"/>
  <c r="I7"/>
  <c r="G11" i="119"/>
  <c r="G10"/>
  <c r="G11" i="3"/>
  <c r="G10"/>
  <c r="M10" i="73"/>
  <c r="G100" i="3"/>
  <c r="G100" i="119"/>
  <c r="I97" i="87"/>
  <c r="N170" i="24"/>
  <c r="F34" i="2"/>
  <c r="F17"/>
  <c r="I9" i="87"/>
  <c r="I6"/>
  <c r="G12" i="119"/>
  <c r="G9"/>
  <c r="G12" i="3"/>
  <c r="G9"/>
  <c r="G7" i="61"/>
  <c r="L27" i="63"/>
  <c r="O27"/>
  <c r="G27" i="3"/>
  <c r="G27" i="119"/>
  <c r="I24" i="87"/>
  <c r="N156" i="24"/>
  <c r="O26" i="63"/>
  <c r="L26"/>
  <c r="J26"/>
  <c r="C26"/>
  <c r="M29" i="73"/>
  <c r="G156" i="3"/>
  <c r="G156" i="119"/>
  <c r="I153" i="87"/>
  <c r="N178" i="24"/>
  <c r="F21" i="73"/>
  <c r="G98" i="120"/>
  <c r="G97"/>
  <c r="G43"/>
  <c r="G39"/>
  <c r="F52" i="418"/>
  <c r="E52"/>
  <c r="D52"/>
  <c r="C52"/>
  <c r="F46"/>
  <c r="F58"/>
  <c r="E46"/>
  <c r="E58"/>
  <c r="D46"/>
  <c r="D58"/>
  <c r="C46"/>
  <c r="C58"/>
  <c r="F38"/>
  <c r="E38"/>
  <c r="D38"/>
  <c r="C38"/>
  <c r="F31"/>
  <c r="E31"/>
  <c r="D31"/>
  <c r="C31"/>
  <c r="F26"/>
  <c r="E26"/>
  <c r="D26"/>
  <c r="C26"/>
  <c r="F20"/>
  <c r="E20"/>
  <c r="D20"/>
  <c r="C20"/>
  <c r="F8"/>
  <c r="F37"/>
  <c r="F42"/>
  <c r="E8"/>
  <c r="E37"/>
  <c r="E42"/>
  <c r="D8"/>
  <c r="D37"/>
  <c r="D42"/>
  <c r="C8"/>
  <c r="C37"/>
  <c r="C42"/>
  <c r="F52" i="419"/>
  <c r="E52"/>
  <c r="D52"/>
  <c r="C52"/>
  <c r="F46"/>
  <c r="F58"/>
  <c r="E46"/>
  <c r="E58"/>
  <c r="D46"/>
  <c r="D58"/>
  <c r="C46"/>
  <c r="C58"/>
  <c r="F38"/>
  <c r="E38"/>
  <c r="D38"/>
  <c r="C38"/>
  <c r="F31"/>
  <c r="E31"/>
  <c r="D31"/>
  <c r="C31"/>
  <c r="F26"/>
  <c r="E26"/>
  <c r="D26"/>
  <c r="C26"/>
  <c r="F20"/>
  <c r="E20"/>
  <c r="D20"/>
  <c r="C20"/>
  <c r="F8"/>
  <c r="F37"/>
  <c r="F42"/>
  <c r="E8"/>
  <c r="E37"/>
  <c r="E42"/>
  <c r="D8"/>
  <c r="D37"/>
  <c r="D42"/>
  <c r="C8"/>
  <c r="C37"/>
  <c r="C42"/>
  <c r="F52" i="420"/>
  <c r="E52"/>
  <c r="D52"/>
  <c r="C52"/>
  <c r="C58"/>
  <c r="F49"/>
  <c r="E49"/>
  <c r="D49"/>
  <c r="F48"/>
  <c r="E48"/>
  <c r="D48"/>
  <c r="F46"/>
  <c r="F58"/>
  <c r="E47"/>
  <c r="E46"/>
  <c r="E58"/>
  <c r="D47"/>
  <c r="D46"/>
  <c r="D58"/>
  <c r="C46"/>
  <c r="F41"/>
  <c r="E41"/>
  <c r="E38"/>
  <c r="D41"/>
  <c r="D38"/>
  <c r="F38"/>
  <c r="C38"/>
  <c r="F31"/>
  <c r="E31"/>
  <c r="D31"/>
  <c r="C31"/>
  <c r="F26"/>
  <c r="E26"/>
  <c r="D26"/>
  <c r="C26"/>
  <c r="F25"/>
  <c r="E23"/>
  <c r="E20"/>
  <c r="D23"/>
  <c r="D20"/>
  <c r="D37"/>
  <c r="D42"/>
  <c r="F20"/>
  <c r="C20"/>
  <c r="C37"/>
  <c r="C42"/>
  <c r="F19"/>
  <c r="E19"/>
  <c r="F11"/>
  <c r="F8"/>
  <c r="F37"/>
  <c r="F42"/>
  <c r="E8"/>
  <c r="E37"/>
  <c r="E42"/>
  <c r="D8"/>
  <c r="C8"/>
  <c r="C58" i="421"/>
  <c r="F52"/>
  <c r="E52"/>
  <c r="D52"/>
  <c r="C52"/>
  <c r="F49"/>
  <c r="E49"/>
  <c r="D49"/>
  <c r="F48"/>
  <c r="E48"/>
  <c r="D48"/>
  <c r="F46"/>
  <c r="F58"/>
  <c r="E47"/>
  <c r="E46"/>
  <c r="E58"/>
  <c r="D47"/>
  <c r="D46"/>
  <c r="D58"/>
  <c r="C46"/>
  <c r="F41"/>
  <c r="E41"/>
  <c r="E38"/>
  <c r="D41"/>
  <c r="D38"/>
  <c r="F38"/>
  <c r="C38"/>
  <c r="F31"/>
  <c r="E31"/>
  <c r="D31"/>
  <c r="C31"/>
  <c r="F26"/>
  <c r="E26"/>
  <c r="D26"/>
  <c r="D37"/>
  <c r="D42"/>
  <c r="C26"/>
  <c r="C37"/>
  <c r="C42"/>
  <c r="F25"/>
  <c r="E23"/>
  <c r="E20"/>
  <c r="D20"/>
  <c r="C20"/>
  <c r="F8"/>
  <c r="E8"/>
  <c r="D8"/>
  <c r="C8"/>
  <c r="F52" i="422"/>
  <c r="E52"/>
  <c r="D52"/>
  <c r="C52"/>
  <c r="C58"/>
  <c r="F49"/>
  <c r="E49"/>
  <c r="D49"/>
  <c r="F48"/>
  <c r="F46"/>
  <c r="F58"/>
  <c r="E48"/>
  <c r="D48"/>
  <c r="E47"/>
  <c r="E46"/>
  <c r="E58"/>
  <c r="D47"/>
  <c r="D46"/>
  <c r="D58"/>
  <c r="C46"/>
  <c r="F41"/>
  <c r="F38"/>
  <c r="E41"/>
  <c r="D41"/>
  <c r="D38"/>
  <c r="E38"/>
  <c r="C38"/>
  <c r="F31"/>
  <c r="E31"/>
  <c r="D31"/>
  <c r="C31"/>
  <c r="F26"/>
  <c r="E26"/>
  <c r="D26"/>
  <c r="C26"/>
  <c r="C37"/>
  <c r="C42"/>
  <c r="F25"/>
  <c r="E23"/>
  <c r="F20"/>
  <c r="E20"/>
  <c r="D20"/>
  <c r="C20"/>
  <c r="F19"/>
  <c r="E19"/>
  <c r="F11"/>
  <c r="F8"/>
  <c r="F37"/>
  <c r="E8"/>
  <c r="E37"/>
  <c r="E42"/>
  <c r="D8"/>
  <c r="D37"/>
  <c r="D42"/>
  <c r="C8"/>
  <c r="F52" i="423"/>
  <c r="E52"/>
  <c r="D52"/>
  <c r="C52"/>
  <c r="F49"/>
  <c r="E49"/>
  <c r="D49"/>
  <c r="F48"/>
  <c r="F46"/>
  <c r="F58"/>
  <c r="E48"/>
  <c r="D48"/>
  <c r="E47"/>
  <c r="E46"/>
  <c r="E58"/>
  <c r="D47"/>
  <c r="D46"/>
  <c r="D58"/>
  <c r="C46"/>
  <c r="C58"/>
  <c r="F41"/>
  <c r="E41"/>
  <c r="D41"/>
  <c r="D38"/>
  <c r="F38"/>
  <c r="E38"/>
  <c r="C38"/>
  <c r="F31"/>
  <c r="E31"/>
  <c r="D31"/>
  <c r="C31"/>
  <c r="F26"/>
  <c r="E26"/>
  <c r="D26"/>
  <c r="C26"/>
  <c r="F25"/>
  <c r="E23"/>
  <c r="D23"/>
  <c r="D20"/>
  <c r="E20"/>
  <c r="C20"/>
  <c r="C37"/>
  <c r="C42"/>
  <c r="F19"/>
  <c r="F8"/>
  <c r="E19"/>
  <c r="E8"/>
  <c r="E37"/>
  <c r="E42"/>
  <c r="D8"/>
  <c r="D37"/>
  <c r="D42"/>
  <c r="C8"/>
  <c r="E37" i="421"/>
  <c r="E42"/>
  <c r="F42" i="422"/>
  <c r="F51" i="416"/>
  <c r="E51"/>
  <c r="D51"/>
  <c r="C51"/>
  <c r="F45"/>
  <c r="F57"/>
  <c r="E45"/>
  <c r="E57"/>
  <c r="D45"/>
  <c r="D57"/>
  <c r="C45"/>
  <c r="C57"/>
  <c r="F37"/>
  <c r="E37"/>
  <c r="D37"/>
  <c r="C37"/>
  <c r="F30"/>
  <c r="E30"/>
  <c r="D30"/>
  <c r="C30"/>
  <c r="F26"/>
  <c r="E26"/>
  <c r="D26"/>
  <c r="C26"/>
  <c r="F20"/>
  <c r="E20"/>
  <c r="D20"/>
  <c r="C20"/>
  <c r="F8"/>
  <c r="F36"/>
  <c r="F41"/>
  <c r="E8"/>
  <c r="E36"/>
  <c r="E41"/>
  <c r="D8"/>
  <c r="D36"/>
  <c r="D41"/>
  <c r="C8"/>
  <c r="C36"/>
  <c r="C41"/>
  <c r="B1"/>
  <c r="F51" i="415"/>
  <c r="E51"/>
  <c r="D51"/>
  <c r="C51"/>
  <c r="F45"/>
  <c r="F57"/>
  <c r="E45"/>
  <c r="E57"/>
  <c r="D45"/>
  <c r="D57"/>
  <c r="C45"/>
  <c r="C57"/>
  <c r="F37"/>
  <c r="E37"/>
  <c r="D37"/>
  <c r="C37"/>
  <c r="F30"/>
  <c r="E30"/>
  <c r="D30"/>
  <c r="C30"/>
  <c r="F26"/>
  <c r="E26"/>
  <c r="D26"/>
  <c r="C26"/>
  <c r="F20"/>
  <c r="E20"/>
  <c r="D20"/>
  <c r="C20"/>
  <c r="F8"/>
  <c r="F36"/>
  <c r="F41"/>
  <c r="E8"/>
  <c r="E36"/>
  <c r="E41"/>
  <c r="D8"/>
  <c r="D36"/>
  <c r="D41"/>
  <c r="C8"/>
  <c r="C36"/>
  <c r="C41"/>
  <c r="B1"/>
  <c r="F52" i="414"/>
  <c r="E52"/>
  <c r="D52"/>
  <c r="D51"/>
  <c r="F51"/>
  <c r="E51"/>
  <c r="C51"/>
  <c r="F48"/>
  <c r="E48"/>
  <c r="F47"/>
  <c r="E47"/>
  <c r="D47"/>
  <c r="F46"/>
  <c r="E46"/>
  <c r="E45"/>
  <c r="E58"/>
  <c r="D46"/>
  <c r="D45"/>
  <c r="D58"/>
  <c r="F45"/>
  <c r="F58"/>
  <c r="C45"/>
  <c r="C58"/>
  <c r="F40"/>
  <c r="E40"/>
  <c r="D40"/>
  <c r="F37"/>
  <c r="E37"/>
  <c r="D37"/>
  <c r="C37"/>
  <c r="F30"/>
  <c r="E30"/>
  <c r="D30"/>
  <c r="C30"/>
  <c r="F26"/>
  <c r="E26"/>
  <c r="D26"/>
  <c r="C26"/>
  <c r="F23"/>
  <c r="E23"/>
  <c r="D23"/>
  <c r="C23"/>
  <c r="F20"/>
  <c r="E20"/>
  <c r="D20"/>
  <c r="C20"/>
  <c r="F19"/>
  <c r="F8"/>
  <c r="F36"/>
  <c r="F41"/>
  <c r="E19"/>
  <c r="E8"/>
  <c r="E36"/>
  <c r="E41"/>
  <c r="F10"/>
  <c r="E10"/>
  <c r="D10"/>
  <c r="C10"/>
  <c r="D8"/>
  <c r="D36"/>
  <c r="D41"/>
  <c r="C8"/>
  <c r="C36"/>
  <c r="C41"/>
  <c r="B1"/>
  <c r="F52" i="413"/>
  <c r="E52"/>
  <c r="E51"/>
  <c r="D52"/>
  <c r="F51"/>
  <c r="D51"/>
  <c r="C51"/>
  <c r="F48"/>
  <c r="E48"/>
  <c r="F47"/>
  <c r="F45"/>
  <c r="F58"/>
  <c r="E47"/>
  <c r="D47"/>
  <c r="F46"/>
  <c r="E46"/>
  <c r="E45"/>
  <c r="D46"/>
  <c r="D45"/>
  <c r="D58"/>
  <c r="C45"/>
  <c r="C58"/>
  <c r="F40"/>
  <c r="E40"/>
  <c r="D40"/>
  <c r="D37"/>
  <c r="F37"/>
  <c r="E37"/>
  <c r="C37"/>
  <c r="F30"/>
  <c r="E30"/>
  <c r="D30"/>
  <c r="C30"/>
  <c r="F26"/>
  <c r="E26"/>
  <c r="D26"/>
  <c r="C26"/>
  <c r="F23"/>
  <c r="E23"/>
  <c r="D23"/>
  <c r="C23"/>
  <c r="F20"/>
  <c r="E20"/>
  <c r="D20"/>
  <c r="C20"/>
  <c r="C36"/>
  <c r="C41"/>
  <c r="F19"/>
  <c r="F8"/>
  <c r="F36"/>
  <c r="F41"/>
  <c r="E19"/>
  <c r="F10"/>
  <c r="E10"/>
  <c r="D10"/>
  <c r="C10"/>
  <c r="E8"/>
  <c r="E36"/>
  <c r="E41"/>
  <c r="D8"/>
  <c r="D36"/>
  <c r="D41"/>
  <c r="C8"/>
  <c r="B1"/>
  <c r="H9" i="70"/>
  <c r="H25"/>
  <c r="F45" i="2"/>
  <c r="F43"/>
  <c r="F37"/>
  <c r="F32"/>
  <c r="F28"/>
  <c r="F27"/>
  <c r="F23"/>
  <c r="F19"/>
  <c r="F7"/>
  <c r="F9"/>
  <c r="M178" i="24"/>
  <c r="L178"/>
  <c r="K178"/>
  <c r="J178"/>
  <c r="I178"/>
  <c r="H178"/>
  <c r="G178"/>
  <c r="F178"/>
  <c r="E178"/>
  <c r="D178"/>
  <c r="C178"/>
  <c r="O178"/>
  <c r="O177"/>
  <c r="K177"/>
  <c r="E177"/>
  <c r="N176"/>
  <c r="M176"/>
  <c r="L176"/>
  <c r="K176"/>
  <c r="J176"/>
  <c r="I176"/>
  <c r="H176"/>
  <c r="G176"/>
  <c r="F176"/>
  <c r="E176"/>
  <c r="D176"/>
  <c r="C176"/>
  <c r="O176"/>
  <c r="M175"/>
  <c r="L175"/>
  <c r="K175"/>
  <c r="J175"/>
  <c r="I175"/>
  <c r="H175"/>
  <c r="G175"/>
  <c r="F175"/>
  <c r="E175"/>
  <c r="D175"/>
  <c r="C175"/>
  <c r="O175"/>
  <c r="K174"/>
  <c r="H174"/>
  <c r="E174"/>
  <c r="O174"/>
  <c r="K173"/>
  <c r="J173"/>
  <c r="H173"/>
  <c r="E173"/>
  <c r="O173"/>
  <c r="M172"/>
  <c r="L172"/>
  <c r="K172"/>
  <c r="J172"/>
  <c r="I172"/>
  <c r="H172"/>
  <c r="G172"/>
  <c r="F172"/>
  <c r="E172"/>
  <c r="D172"/>
  <c r="C172"/>
  <c r="O172"/>
  <c r="H171"/>
  <c r="E171"/>
  <c r="C171"/>
  <c r="O171"/>
  <c r="M170"/>
  <c r="L170"/>
  <c r="K170"/>
  <c r="J170"/>
  <c r="I170"/>
  <c r="H170"/>
  <c r="G170"/>
  <c r="F170"/>
  <c r="E170"/>
  <c r="D170"/>
  <c r="C170"/>
  <c r="O170"/>
  <c r="M169"/>
  <c r="L169"/>
  <c r="K169"/>
  <c r="J169"/>
  <c r="I169"/>
  <c r="H169"/>
  <c r="G169"/>
  <c r="F169"/>
  <c r="E169"/>
  <c r="D169"/>
  <c r="C169"/>
  <c r="O169"/>
  <c r="M168"/>
  <c r="L168"/>
  <c r="K168"/>
  <c r="J168"/>
  <c r="I168"/>
  <c r="H168"/>
  <c r="G168"/>
  <c r="F168"/>
  <c r="E168"/>
  <c r="D168"/>
  <c r="C168"/>
  <c r="O168"/>
  <c r="N179"/>
  <c r="O179"/>
  <c r="O181"/>
  <c r="M167"/>
  <c r="M179"/>
  <c r="L167"/>
  <c r="L179"/>
  <c r="K167"/>
  <c r="K179"/>
  <c r="J167"/>
  <c r="J179"/>
  <c r="I167"/>
  <c r="I179"/>
  <c r="H167"/>
  <c r="H179"/>
  <c r="G167"/>
  <c r="G179"/>
  <c r="F167"/>
  <c r="F179"/>
  <c r="E167"/>
  <c r="E179"/>
  <c r="D167"/>
  <c r="D179"/>
  <c r="C167"/>
  <c r="C179"/>
  <c r="O162"/>
  <c r="H162"/>
  <c r="E162"/>
  <c r="H161"/>
  <c r="O161"/>
  <c r="O160"/>
  <c r="L159"/>
  <c r="K159"/>
  <c r="J159"/>
  <c r="I159"/>
  <c r="H159"/>
  <c r="G159"/>
  <c r="F159"/>
  <c r="E159"/>
  <c r="D159"/>
  <c r="C159"/>
  <c r="O159"/>
  <c r="M158"/>
  <c r="L158"/>
  <c r="K158"/>
  <c r="J158"/>
  <c r="I158"/>
  <c r="H158"/>
  <c r="G158"/>
  <c r="F158"/>
  <c r="E158"/>
  <c r="D158"/>
  <c r="C158"/>
  <c r="O158"/>
  <c r="M157"/>
  <c r="L157"/>
  <c r="K157"/>
  <c r="J157"/>
  <c r="I157"/>
  <c r="H157"/>
  <c r="G157"/>
  <c r="F157"/>
  <c r="E157"/>
  <c r="D157"/>
  <c r="C157"/>
  <c r="O157"/>
  <c r="K156"/>
  <c r="E156"/>
  <c r="O156"/>
  <c r="M155"/>
  <c r="L155"/>
  <c r="K155"/>
  <c r="J155"/>
  <c r="I155"/>
  <c r="H155"/>
  <c r="G155"/>
  <c r="F155"/>
  <c r="E155"/>
  <c r="D155"/>
  <c r="C155"/>
  <c r="O155"/>
  <c r="N163"/>
  <c r="M154"/>
  <c r="M163"/>
  <c r="M181"/>
  <c r="L154"/>
  <c r="L163"/>
  <c r="K154"/>
  <c r="K163"/>
  <c r="K181"/>
  <c r="J154"/>
  <c r="J163"/>
  <c r="J181"/>
  <c r="I154"/>
  <c r="I163"/>
  <c r="I181"/>
  <c r="H154"/>
  <c r="H163"/>
  <c r="G154"/>
  <c r="G163"/>
  <c r="G181"/>
  <c r="F154"/>
  <c r="F163"/>
  <c r="F181"/>
  <c r="E154"/>
  <c r="E163"/>
  <c r="E181"/>
  <c r="D154"/>
  <c r="D163"/>
  <c r="C154"/>
  <c r="C163"/>
  <c r="I146" i="87"/>
  <c r="I143"/>
  <c r="I141"/>
  <c r="I134"/>
  <c r="I130"/>
  <c r="I120"/>
  <c r="I115"/>
  <c r="I118"/>
  <c r="I111"/>
  <c r="I105"/>
  <c r="I101"/>
  <c r="I98"/>
  <c r="I79"/>
  <c r="I76"/>
  <c r="I75"/>
  <c r="I73"/>
  <c r="I72"/>
  <c r="I67"/>
  <c r="I63"/>
  <c r="I86"/>
  <c r="I60"/>
  <c r="I57"/>
  <c r="I52"/>
  <c r="I46"/>
  <c r="I42"/>
  <c r="I34"/>
  <c r="I27"/>
  <c r="I26"/>
  <c r="I19"/>
  <c r="I13"/>
  <c r="I12"/>
  <c r="I5"/>
  <c r="G146" i="121"/>
  <c r="G140"/>
  <c r="G133"/>
  <c r="G129"/>
  <c r="G154"/>
  <c r="G114"/>
  <c r="G93"/>
  <c r="G128"/>
  <c r="G82"/>
  <c r="G78"/>
  <c r="G75"/>
  <c r="G70"/>
  <c r="G66"/>
  <c r="G89"/>
  <c r="G60"/>
  <c r="G55"/>
  <c r="G49"/>
  <c r="G37"/>
  <c r="G30"/>
  <c r="G29"/>
  <c r="G22"/>
  <c r="G15"/>
  <c r="G8"/>
  <c r="G148" i="120"/>
  <c r="G143"/>
  <c r="G136"/>
  <c r="G132"/>
  <c r="G156"/>
  <c r="G122"/>
  <c r="G117"/>
  <c r="G118"/>
  <c r="G114"/>
  <c r="G101"/>
  <c r="G96"/>
  <c r="G131"/>
  <c r="G157"/>
  <c r="G99"/>
  <c r="G82"/>
  <c r="G78"/>
  <c r="G75"/>
  <c r="G70"/>
  <c r="G66"/>
  <c r="G89"/>
  <c r="G63"/>
  <c r="G60"/>
  <c r="G55"/>
  <c r="G49"/>
  <c r="G48"/>
  <c r="G37"/>
  <c r="G65"/>
  <c r="G90"/>
  <c r="G30"/>
  <c r="G29"/>
  <c r="G22"/>
  <c r="G15"/>
  <c r="G8"/>
  <c r="G149" i="119"/>
  <c r="G146"/>
  <c r="G144"/>
  <c r="G137"/>
  <c r="G133"/>
  <c r="G123"/>
  <c r="G121"/>
  <c r="G118" s="1"/>
  <c r="G132" s="1"/>
  <c r="G158" s="1"/>
  <c r="G114"/>
  <c r="G108"/>
  <c r="G104"/>
  <c r="G101"/>
  <c r="G82"/>
  <c r="G79"/>
  <c r="G78"/>
  <c r="G76"/>
  <c r="G75"/>
  <c r="G89"/>
  <c r="G70"/>
  <c r="G66"/>
  <c r="G63"/>
  <c r="G60"/>
  <c r="G55"/>
  <c r="G49"/>
  <c r="G45"/>
  <c r="G37"/>
  <c r="G30"/>
  <c r="G29"/>
  <c r="G22"/>
  <c r="G16"/>
  <c r="G15"/>
  <c r="G8"/>
  <c r="G161" i="3"/>
  <c r="G149"/>
  <c r="G146"/>
  <c r="G144"/>
  <c r="G137"/>
  <c r="G133"/>
  <c r="G157"/>
  <c r="G123"/>
  <c r="G118"/>
  <c r="G121"/>
  <c r="G114"/>
  <c r="G96"/>
  <c r="G132"/>
  <c r="G158"/>
  <c r="G108"/>
  <c r="G104"/>
  <c r="G101"/>
  <c r="G82"/>
  <c r="G79"/>
  <c r="G78"/>
  <c r="G76"/>
  <c r="G75"/>
  <c r="G70"/>
  <c r="G66"/>
  <c r="G63"/>
  <c r="G60"/>
  <c r="G55"/>
  <c r="G49"/>
  <c r="G45"/>
  <c r="G37"/>
  <c r="G30"/>
  <c r="G29"/>
  <c r="G22"/>
  <c r="G16"/>
  <c r="G15"/>
  <c r="G8"/>
  <c r="J12" i="64"/>
  <c r="J10"/>
  <c r="J9"/>
  <c r="J8"/>
  <c r="J7"/>
  <c r="J6"/>
  <c r="J5"/>
  <c r="J23"/>
  <c r="J54" i="63"/>
  <c r="J50"/>
  <c r="J49"/>
  <c r="J48"/>
  <c r="J47"/>
  <c r="J46"/>
  <c r="J45"/>
  <c r="J44"/>
  <c r="J43"/>
  <c r="J42"/>
  <c r="J41"/>
  <c r="J40"/>
  <c r="J39"/>
  <c r="J38"/>
  <c r="J51"/>
  <c r="J37"/>
  <c r="J36"/>
  <c r="J33"/>
  <c r="J34"/>
  <c r="J32"/>
  <c r="J31"/>
  <c r="J25"/>
  <c r="J24"/>
  <c r="J23"/>
  <c r="J22"/>
  <c r="J21"/>
  <c r="J20"/>
  <c r="J19"/>
  <c r="J18"/>
  <c r="J17"/>
  <c r="J16"/>
  <c r="J15"/>
  <c r="J14"/>
  <c r="J12"/>
  <c r="J60"/>
  <c r="J11"/>
  <c r="J10"/>
  <c r="J9"/>
  <c r="G11" i="77"/>
  <c r="M31" i="61"/>
  <c r="M9"/>
  <c r="M18"/>
  <c r="M32"/>
  <c r="G20"/>
  <c r="G19"/>
  <c r="G31"/>
  <c r="G32"/>
  <c r="F25"/>
  <c r="F12"/>
  <c r="F10"/>
  <c r="F7"/>
  <c r="F18"/>
  <c r="M28" i="73"/>
  <c r="M30"/>
  <c r="M19"/>
  <c r="M31"/>
  <c r="G21"/>
  <c r="G20"/>
  <c r="G30"/>
  <c r="G31"/>
  <c r="F29"/>
  <c r="F25"/>
  <c r="F11"/>
  <c r="F10"/>
  <c r="F8"/>
  <c r="F7"/>
  <c r="F19"/>
  <c r="G149" i="118"/>
  <c r="G144"/>
  <c r="G137"/>
  <c r="G133"/>
  <c r="G157"/>
  <c r="G118"/>
  <c r="G97"/>
  <c r="G132"/>
  <c r="G83"/>
  <c r="G79"/>
  <c r="G76"/>
  <c r="G71"/>
  <c r="G67"/>
  <c r="G90"/>
  <c r="G61"/>
  <c r="G56"/>
  <c r="G50"/>
  <c r="G38"/>
  <c r="G31"/>
  <c r="G30"/>
  <c r="G23"/>
  <c r="G16"/>
  <c r="G9"/>
  <c r="G150" i="117"/>
  <c r="G145"/>
  <c r="G138"/>
  <c r="G134"/>
  <c r="G158"/>
  <c r="G124"/>
  <c r="G119"/>
  <c r="G120"/>
  <c r="G116"/>
  <c r="G103"/>
  <c r="G98"/>
  <c r="G133"/>
  <c r="G159"/>
  <c r="G84"/>
  <c r="G80"/>
  <c r="G77"/>
  <c r="G72"/>
  <c r="G68"/>
  <c r="G91"/>
  <c r="G65"/>
  <c r="G62"/>
  <c r="G57"/>
  <c r="G51"/>
  <c r="G50"/>
  <c r="G39"/>
  <c r="G32"/>
  <c r="G31"/>
  <c r="G24"/>
  <c r="G17"/>
  <c r="G10"/>
  <c r="G154" i="116"/>
  <c r="G151"/>
  <c r="G149"/>
  <c r="G142"/>
  <c r="G138"/>
  <c r="G162"/>
  <c r="G132"/>
  <c r="G128"/>
  <c r="G123"/>
  <c r="G120"/>
  <c r="G114"/>
  <c r="G107"/>
  <c r="G110"/>
  <c r="G88"/>
  <c r="G85"/>
  <c r="G84"/>
  <c r="G82"/>
  <c r="G81"/>
  <c r="G76"/>
  <c r="G72"/>
  <c r="G95"/>
  <c r="G69"/>
  <c r="G66"/>
  <c r="G61"/>
  <c r="G55"/>
  <c r="G51"/>
  <c r="G50"/>
  <c r="G43"/>
  <c r="G36"/>
  <c r="G35"/>
  <c r="G28"/>
  <c r="G21"/>
  <c r="G14"/>
  <c r="G149" i="1"/>
  <c r="G146"/>
  <c r="G144"/>
  <c r="G137"/>
  <c r="G133"/>
  <c r="G127"/>
  <c r="G123"/>
  <c r="G118"/>
  <c r="G115"/>
  <c r="G109"/>
  <c r="G105"/>
  <c r="G102"/>
  <c r="G83"/>
  <c r="G80"/>
  <c r="G79"/>
  <c r="G77"/>
  <c r="G76"/>
  <c r="G71"/>
  <c r="G67"/>
  <c r="G90"/>
  <c r="G61"/>
  <c r="G56"/>
  <c r="G52"/>
  <c r="G50"/>
  <c r="G46"/>
  <c r="G45"/>
  <c r="G38"/>
  <c r="G31"/>
  <c r="G30"/>
  <c r="G23"/>
  <c r="G16"/>
  <c r="G9"/>
  <c r="E27" i="2"/>
  <c r="F114" i="1"/>
  <c r="F119" i="116"/>
  <c r="L11" i="73"/>
  <c r="L12"/>
  <c r="F115" i="3"/>
  <c r="F113"/>
  <c r="F115" i="119"/>
  <c r="F113"/>
  <c r="H112" i="87"/>
  <c r="H110"/>
  <c r="K137" i="24"/>
  <c r="K138"/>
  <c r="G9" i="70"/>
  <c r="L11" i="61"/>
  <c r="F131" i="3"/>
  <c r="F131" i="119"/>
  <c r="H128" i="87"/>
  <c r="K141" i="24"/>
  <c r="G11" i="70"/>
  <c r="F99" i="1"/>
  <c r="F98"/>
  <c r="F21"/>
  <c r="F104" i="116"/>
  <c r="F103"/>
  <c r="F26"/>
  <c r="L29" i="73"/>
  <c r="F156" i="3"/>
  <c r="F20"/>
  <c r="F156" i="119"/>
  <c r="F20"/>
  <c r="H96" i="87"/>
  <c r="H153"/>
  <c r="H17"/>
  <c r="K142" i="24"/>
  <c r="K119"/>
  <c r="F100" i="1"/>
  <c r="F105" i="116"/>
  <c r="L9" i="73"/>
  <c r="F99" i="3"/>
  <c r="F99" i="119"/>
  <c r="K133" i="24"/>
  <c r="F121" i="1"/>
  <c r="F119"/>
  <c r="F44"/>
  <c r="F40"/>
  <c r="F124" i="116"/>
  <c r="F45"/>
  <c r="F39" i="119"/>
  <c r="F99" i="120"/>
  <c r="F39"/>
  <c r="L7" i="61"/>
  <c r="L25" i="63"/>
  <c r="M25"/>
  <c r="I25"/>
  <c r="C25"/>
  <c r="I60"/>
  <c r="O60"/>
  <c r="F119" i="3"/>
  <c r="F119" i="119"/>
  <c r="H116" i="87"/>
  <c r="K139" i="24"/>
  <c r="L9" i="61"/>
  <c r="M7" i="64"/>
  <c r="I7"/>
  <c r="C7"/>
  <c r="F121" i="3"/>
  <c r="F121" i="119"/>
  <c r="H118" i="87"/>
  <c r="K140" i="24"/>
  <c r="M36" i="63"/>
  <c r="I36"/>
  <c r="C36"/>
  <c r="L8" i="73"/>
  <c r="L7"/>
  <c r="F98" i="3"/>
  <c r="F97"/>
  <c r="F43" i="119"/>
  <c r="F43" i="120"/>
  <c r="F98"/>
  <c r="F97"/>
  <c r="H95" i="87"/>
  <c r="H94"/>
  <c r="K132" i="24"/>
  <c r="K131"/>
  <c r="C7" i="62"/>
  <c r="F9" i="77"/>
  <c r="F98" i="119"/>
  <c r="F97"/>
  <c r="F120" i="117"/>
  <c r="M47" i="63"/>
  <c r="I47"/>
  <c r="C47"/>
  <c r="F118" i="120"/>
  <c r="L46" i="63"/>
  <c r="L47"/>
  <c r="L48"/>
  <c r="L49"/>
  <c r="L50"/>
  <c r="L10"/>
  <c r="L11"/>
  <c r="O11"/>
  <c r="I11"/>
  <c r="C11"/>
  <c r="C12"/>
  <c r="F12"/>
  <c r="G12"/>
  <c r="G60"/>
  <c r="H12"/>
  <c r="I12"/>
  <c r="L12"/>
  <c r="M12"/>
  <c r="M60"/>
  <c r="N12"/>
  <c r="O12"/>
  <c r="O33"/>
  <c r="L33"/>
  <c r="I33"/>
  <c r="F64" i="1"/>
  <c r="F63"/>
  <c r="F52"/>
  <c r="F49"/>
  <c r="F149"/>
  <c r="F146"/>
  <c r="F144"/>
  <c r="F137"/>
  <c r="F133"/>
  <c r="F157"/>
  <c r="F127"/>
  <c r="F123"/>
  <c r="F118"/>
  <c r="F117"/>
  <c r="F115"/>
  <c r="F109"/>
  <c r="F105"/>
  <c r="F102"/>
  <c r="F97"/>
  <c r="F132"/>
  <c r="F101"/>
  <c r="F83"/>
  <c r="F80"/>
  <c r="F79"/>
  <c r="F77"/>
  <c r="F76"/>
  <c r="F71"/>
  <c r="F90"/>
  <c r="F67"/>
  <c r="F61"/>
  <c r="F56"/>
  <c r="F50"/>
  <c r="F46"/>
  <c r="F45"/>
  <c r="F43"/>
  <c r="F41"/>
  <c r="F38"/>
  <c r="F37"/>
  <c r="F31"/>
  <c r="F28"/>
  <c r="F23"/>
  <c r="F16"/>
  <c r="F14"/>
  <c r="F13"/>
  <c r="F12"/>
  <c r="F11"/>
  <c r="F10"/>
  <c r="F9"/>
  <c r="F82" i="116"/>
  <c r="F54"/>
  <c r="F51"/>
  <c r="F46"/>
  <c r="F122"/>
  <c r="F42"/>
  <c r="F132"/>
  <c r="F114"/>
  <c r="F106"/>
  <c r="F50"/>
  <c r="F33"/>
  <c r="F19"/>
  <c r="F18"/>
  <c r="F17"/>
  <c r="F16"/>
  <c r="F15"/>
  <c r="F30" i="1"/>
  <c r="M22" i="63"/>
  <c r="M23"/>
  <c r="I23"/>
  <c r="I22"/>
  <c r="C23"/>
  <c r="C22"/>
  <c r="M48"/>
  <c r="I48"/>
  <c r="C48"/>
  <c r="K122" i="24"/>
  <c r="H40" i="87"/>
  <c r="H36"/>
  <c r="F43" i="3"/>
  <c r="F39"/>
  <c r="K121" i="24"/>
  <c r="H33" i="87"/>
  <c r="F36" i="119"/>
  <c r="F36" i="3"/>
  <c r="F48"/>
  <c r="F48" i="119"/>
  <c r="H45" i="87"/>
  <c r="K118" i="24"/>
  <c r="H8" i="87"/>
  <c r="F11" i="119"/>
  <c r="F11" i="3"/>
  <c r="L10" i="64"/>
  <c r="I10"/>
  <c r="G23"/>
  <c r="H23"/>
  <c r="I23"/>
  <c r="K23"/>
  <c r="L23"/>
  <c r="M23"/>
  <c r="N23"/>
  <c r="O23"/>
  <c r="F23"/>
  <c r="C10"/>
  <c r="H13" i="87"/>
  <c r="F16" i="119"/>
  <c r="F16" i="3"/>
  <c r="F13"/>
  <c r="F13" i="119"/>
  <c r="H10" i="87"/>
  <c r="E34" i="2"/>
  <c r="E17"/>
  <c r="C37"/>
  <c r="D37"/>
  <c r="B37"/>
  <c r="E37"/>
  <c r="H9" i="87"/>
  <c r="H6"/>
  <c r="F12" i="119"/>
  <c r="F9"/>
  <c r="F12" i="3"/>
  <c r="F9"/>
  <c r="M6" i="64"/>
  <c r="I6"/>
  <c r="C6"/>
  <c r="M50" i="63"/>
  <c r="I50"/>
  <c r="F51"/>
  <c r="G51"/>
  <c r="H51"/>
  <c r="I51"/>
  <c r="M51"/>
  <c r="N51"/>
  <c r="O51"/>
  <c r="C51"/>
  <c r="C60"/>
  <c r="C32" i="2"/>
  <c r="D32"/>
  <c r="E32"/>
  <c r="B32"/>
  <c r="E28"/>
  <c r="E23"/>
  <c r="C23"/>
  <c r="D23"/>
  <c r="B23"/>
  <c r="C19"/>
  <c r="D19"/>
  <c r="E19"/>
  <c r="B19"/>
  <c r="C7"/>
  <c r="D7"/>
  <c r="E7"/>
  <c r="B7"/>
  <c r="H7" i="87"/>
  <c r="H114"/>
  <c r="F10" i="119"/>
  <c r="F117"/>
  <c r="F117" i="3"/>
  <c r="F10"/>
  <c r="O46" i="63"/>
  <c r="I46"/>
  <c r="C46"/>
  <c r="F34"/>
  <c r="G34"/>
  <c r="H34"/>
  <c r="I34"/>
  <c r="L34"/>
  <c r="M34"/>
  <c r="N34"/>
  <c r="O34"/>
  <c r="C34"/>
  <c r="F27" i="3"/>
  <c r="F27" i="119"/>
  <c r="H24" i="87"/>
  <c r="K120" i="24"/>
  <c r="G25" i="70"/>
  <c r="E45" i="2"/>
  <c r="E43"/>
  <c r="E47"/>
  <c r="E20"/>
  <c r="E9"/>
  <c r="N142" i="24"/>
  <c r="M142"/>
  <c r="L142"/>
  <c r="J142"/>
  <c r="I142"/>
  <c r="H142"/>
  <c r="G142"/>
  <c r="F142"/>
  <c r="E142"/>
  <c r="D142"/>
  <c r="C142"/>
  <c r="O142"/>
  <c r="O141"/>
  <c r="E141"/>
  <c r="N140"/>
  <c r="M140"/>
  <c r="L140"/>
  <c r="J140"/>
  <c r="I140"/>
  <c r="H140"/>
  <c r="G140"/>
  <c r="F140"/>
  <c r="E140"/>
  <c r="D140"/>
  <c r="C140"/>
  <c r="O140"/>
  <c r="N139"/>
  <c r="M139"/>
  <c r="L139"/>
  <c r="J139"/>
  <c r="I139"/>
  <c r="H139"/>
  <c r="G139"/>
  <c r="F139"/>
  <c r="E139"/>
  <c r="D139"/>
  <c r="C139"/>
  <c r="O139"/>
  <c r="O138"/>
  <c r="H138"/>
  <c r="E138"/>
  <c r="J137"/>
  <c r="H137"/>
  <c r="E137"/>
  <c r="O137"/>
  <c r="N136"/>
  <c r="M136"/>
  <c r="L136"/>
  <c r="K136"/>
  <c r="J136"/>
  <c r="I136"/>
  <c r="H136"/>
  <c r="G136"/>
  <c r="F136"/>
  <c r="E136"/>
  <c r="D136"/>
  <c r="C136"/>
  <c r="O136"/>
  <c r="O135"/>
  <c r="H135"/>
  <c r="E135"/>
  <c r="C135"/>
  <c r="N134"/>
  <c r="M134"/>
  <c r="L134"/>
  <c r="K134"/>
  <c r="J134"/>
  <c r="I134"/>
  <c r="H134"/>
  <c r="G134"/>
  <c r="F134"/>
  <c r="E134"/>
  <c r="D134"/>
  <c r="C134"/>
  <c r="O134"/>
  <c r="N133"/>
  <c r="M133"/>
  <c r="L133"/>
  <c r="J133"/>
  <c r="I133"/>
  <c r="H133"/>
  <c r="G133"/>
  <c r="F133"/>
  <c r="E133"/>
  <c r="D133"/>
  <c r="C133"/>
  <c r="O133"/>
  <c r="N132"/>
  <c r="M132"/>
  <c r="M143"/>
  <c r="L132"/>
  <c r="J132"/>
  <c r="I132"/>
  <c r="I143"/>
  <c r="H132"/>
  <c r="G132"/>
  <c r="F132"/>
  <c r="E132"/>
  <c r="E143"/>
  <c r="D132"/>
  <c r="C132"/>
  <c r="O132"/>
  <c r="N131"/>
  <c r="N143"/>
  <c r="M131"/>
  <c r="L131"/>
  <c r="L143"/>
  <c r="K143"/>
  <c r="O143"/>
  <c r="O145"/>
  <c r="J131"/>
  <c r="J143"/>
  <c r="I131"/>
  <c r="H131"/>
  <c r="H143"/>
  <c r="G131"/>
  <c r="G143"/>
  <c r="F131"/>
  <c r="F143"/>
  <c r="E131"/>
  <c r="D131"/>
  <c r="D143"/>
  <c r="C131"/>
  <c r="C143"/>
  <c r="H126"/>
  <c r="O126"/>
  <c r="E126"/>
  <c r="O125"/>
  <c r="H125"/>
  <c r="O124"/>
  <c r="L123"/>
  <c r="K123"/>
  <c r="J123"/>
  <c r="I123"/>
  <c r="H123"/>
  <c r="G123"/>
  <c r="F123"/>
  <c r="E123"/>
  <c r="D123"/>
  <c r="C123"/>
  <c r="O123"/>
  <c r="N122"/>
  <c r="M122"/>
  <c r="L122"/>
  <c r="J122"/>
  <c r="I122"/>
  <c r="H122"/>
  <c r="G122"/>
  <c r="F122"/>
  <c r="E122"/>
  <c r="D122"/>
  <c r="C122"/>
  <c r="O122"/>
  <c r="N121"/>
  <c r="M121"/>
  <c r="L121"/>
  <c r="J121"/>
  <c r="I121"/>
  <c r="H121"/>
  <c r="G121"/>
  <c r="F121"/>
  <c r="E121"/>
  <c r="D121"/>
  <c r="C121"/>
  <c r="O121"/>
  <c r="O120"/>
  <c r="E120"/>
  <c r="N119"/>
  <c r="M119"/>
  <c r="L119"/>
  <c r="J119"/>
  <c r="I119"/>
  <c r="H119"/>
  <c r="G119"/>
  <c r="F119"/>
  <c r="E119"/>
  <c r="D119"/>
  <c r="C119"/>
  <c r="O119"/>
  <c r="N118"/>
  <c r="N127"/>
  <c r="N145"/>
  <c r="M118"/>
  <c r="M127"/>
  <c r="M145"/>
  <c r="L118"/>
  <c r="L127"/>
  <c r="K127"/>
  <c r="O127"/>
  <c r="J118"/>
  <c r="J127"/>
  <c r="J145"/>
  <c r="I118"/>
  <c r="I127"/>
  <c r="I145"/>
  <c r="H118"/>
  <c r="H127"/>
  <c r="G118"/>
  <c r="G127"/>
  <c r="F118"/>
  <c r="F127"/>
  <c r="F145"/>
  <c r="E118"/>
  <c r="E127"/>
  <c r="E145"/>
  <c r="D118"/>
  <c r="D127"/>
  <c r="C118"/>
  <c r="O118"/>
  <c r="H146" i="87"/>
  <c r="H143"/>
  <c r="H141"/>
  <c r="H134"/>
  <c r="H130"/>
  <c r="H120"/>
  <c r="H115"/>
  <c r="H111"/>
  <c r="H105"/>
  <c r="H101"/>
  <c r="H98"/>
  <c r="H93"/>
  <c r="H129"/>
  <c r="H156"/>
  <c r="H158"/>
  <c r="H97"/>
  <c r="H79"/>
  <c r="H76"/>
  <c r="H75"/>
  <c r="H73"/>
  <c r="H72"/>
  <c r="H86"/>
  <c r="H67"/>
  <c r="H63"/>
  <c r="H60"/>
  <c r="H57"/>
  <c r="H52"/>
  <c r="H46"/>
  <c r="H42"/>
  <c r="H39"/>
  <c r="H34"/>
  <c r="H37"/>
  <c r="H30"/>
  <c r="H28"/>
  <c r="H27"/>
  <c r="H26"/>
  <c r="H19"/>
  <c r="H12"/>
  <c r="H62"/>
  <c r="H88"/>
  <c r="H5"/>
  <c r="F146" i="121"/>
  <c r="F140"/>
  <c r="F133"/>
  <c r="F129"/>
  <c r="F154"/>
  <c r="F114"/>
  <c r="F93"/>
  <c r="F128"/>
  <c r="F82"/>
  <c r="F78"/>
  <c r="F75"/>
  <c r="F70"/>
  <c r="F66"/>
  <c r="F89"/>
  <c r="F60"/>
  <c r="F55"/>
  <c r="F49"/>
  <c r="F37"/>
  <c r="F30"/>
  <c r="F29"/>
  <c r="F22"/>
  <c r="F15"/>
  <c r="F8"/>
  <c r="F148" i="120"/>
  <c r="F143"/>
  <c r="F136"/>
  <c r="F132"/>
  <c r="F156"/>
  <c r="F122"/>
  <c r="F117"/>
  <c r="F114"/>
  <c r="F101"/>
  <c r="F96"/>
  <c r="F131"/>
  <c r="F157"/>
  <c r="F82"/>
  <c r="F78"/>
  <c r="F75"/>
  <c r="F70"/>
  <c r="F66"/>
  <c r="F89"/>
  <c r="F63"/>
  <c r="F60"/>
  <c r="F55"/>
  <c r="F49"/>
  <c r="F48"/>
  <c r="F37"/>
  <c r="F65"/>
  <c r="F90"/>
  <c r="F30"/>
  <c r="F29"/>
  <c r="F22"/>
  <c r="F15"/>
  <c r="F8"/>
  <c r="F149" i="119"/>
  <c r="F146"/>
  <c r="F144"/>
  <c r="F137"/>
  <c r="F133"/>
  <c r="F123"/>
  <c r="F114"/>
  <c r="F108"/>
  <c r="F104"/>
  <c r="F101"/>
  <c r="F96"/>
  <c r="F100"/>
  <c r="F82"/>
  <c r="F79"/>
  <c r="F78"/>
  <c r="F76"/>
  <c r="F75"/>
  <c r="F89"/>
  <c r="F70"/>
  <c r="F66"/>
  <c r="F63"/>
  <c r="F60"/>
  <c r="F55"/>
  <c r="F49"/>
  <c r="F45"/>
  <c r="F42"/>
  <c r="F37"/>
  <c r="F30"/>
  <c r="F29"/>
  <c r="F22"/>
  <c r="F15"/>
  <c r="F65"/>
  <c r="F90"/>
  <c r="F8"/>
  <c r="F161" i="3"/>
  <c r="F149"/>
  <c r="F146"/>
  <c r="F144"/>
  <c r="F137"/>
  <c r="F133"/>
  <c r="F157"/>
  <c r="F123"/>
  <c r="F118"/>
  <c r="F114"/>
  <c r="F108"/>
  <c r="F104"/>
  <c r="F101"/>
  <c r="F96"/>
  <c r="F132"/>
  <c r="F158"/>
  <c r="F100"/>
  <c r="F82"/>
  <c r="F79"/>
  <c r="F78"/>
  <c r="F76"/>
  <c r="F75"/>
  <c r="F89"/>
  <c r="F70"/>
  <c r="F66"/>
  <c r="F63"/>
  <c r="F60"/>
  <c r="F55"/>
  <c r="F49"/>
  <c r="F45"/>
  <c r="F42"/>
  <c r="F37"/>
  <c r="F40"/>
  <c r="F33"/>
  <c r="F31"/>
  <c r="F30"/>
  <c r="F29"/>
  <c r="F22"/>
  <c r="F15"/>
  <c r="F65"/>
  <c r="F90"/>
  <c r="F8"/>
  <c r="I12" i="64"/>
  <c r="I9"/>
  <c r="I8"/>
  <c r="I5"/>
  <c r="I54" i="63"/>
  <c r="I49"/>
  <c r="I45"/>
  <c r="I44"/>
  <c r="I43"/>
  <c r="I42"/>
  <c r="I41"/>
  <c r="I40"/>
  <c r="I39"/>
  <c r="I38"/>
  <c r="I37"/>
  <c r="I32"/>
  <c r="I31"/>
  <c r="I24"/>
  <c r="I21"/>
  <c r="I20"/>
  <c r="I19"/>
  <c r="I18"/>
  <c r="I17"/>
  <c r="I16"/>
  <c r="I15"/>
  <c r="I14"/>
  <c r="I10"/>
  <c r="I9"/>
  <c r="F11" i="77"/>
  <c r="L31" i="61"/>
  <c r="L18"/>
  <c r="L32"/>
  <c r="G25"/>
  <c r="G12"/>
  <c r="G10"/>
  <c r="G18"/>
  <c r="E21" i="73"/>
  <c r="L28"/>
  <c r="L30"/>
  <c r="L10"/>
  <c r="L19"/>
  <c r="L31"/>
  <c r="E29"/>
  <c r="E25"/>
  <c r="E11"/>
  <c r="E10"/>
  <c r="E8"/>
  <c r="E7"/>
  <c r="E19"/>
  <c r="F149" i="118"/>
  <c r="F144"/>
  <c r="F137"/>
  <c r="F133"/>
  <c r="F157"/>
  <c r="F118"/>
  <c r="F132"/>
  <c r="F97"/>
  <c r="F83"/>
  <c r="F79"/>
  <c r="F76"/>
  <c r="F71"/>
  <c r="F67"/>
  <c r="F90"/>
  <c r="F61"/>
  <c r="F56"/>
  <c r="F50"/>
  <c r="F38"/>
  <c r="F31"/>
  <c r="F30"/>
  <c r="F23"/>
  <c r="F16"/>
  <c r="F9"/>
  <c r="F66"/>
  <c r="F91"/>
  <c r="F150" i="117"/>
  <c r="F145"/>
  <c r="F138"/>
  <c r="F134"/>
  <c r="F158"/>
  <c r="F124"/>
  <c r="F119"/>
  <c r="F116"/>
  <c r="F103"/>
  <c r="F98"/>
  <c r="F84"/>
  <c r="F80"/>
  <c r="F77"/>
  <c r="F72"/>
  <c r="F68"/>
  <c r="F91"/>
  <c r="F65"/>
  <c r="F62"/>
  <c r="F57"/>
  <c r="F51"/>
  <c r="F50"/>
  <c r="F39"/>
  <c r="F67"/>
  <c r="F92"/>
  <c r="F32"/>
  <c r="F31"/>
  <c r="F24"/>
  <c r="F17"/>
  <c r="F10"/>
  <c r="F154" i="116"/>
  <c r="F151"/>
  <c r="F149"/>
  <c r="F142"/>
  <c r="F138"/>
  <c r="F162"/>
  <c r="F128"/>
  <c r="F123"/>
  <c r="F120"/>
  <c r="F107"/>
  <c r="F102"/>
  <c r="F137"/>
  <c r="F163"/>
  <c r="F110"/>
  <c r="F88"/>
  <c r="F85"/>
  <c r="F84"/>
  <c r="F81"/>
  <c r="F95"/>
  <c r="F76"/>
  <c r="F72"/>
  <c r="F69"/>
  <c r="F66"/>
  <c r="F61"/>
  <c r="F55"/>
  <c r="F48"/>
  <c r="F43"/>
  <c r="F36"/>
  <c r="F35"/>
  <c r="F28"/>
  <c r="F21"/>
  <c r="F71"/>
  <c r="F96"/>
  <c r="F14"/>
  <c r="E121" i="1"/>
  <c r="E119"/>
  <c r="E100"/>
  <c r="E99"/>
  <c r="E98"/>
  <c r="E64"/>
  <c r="E49"/>
  <c r="E44"/>
  <c r="E40"/>
  <c r="E146"/>
  <c r="E117"/>
  <c r="E116"/>
  <c r="E115"/>
  <c r="E114"/>
  <c r="E109"/>
  <c r="E101"/>
  <c r="E80"/>
  <c r="E79"/>
  <c r="E77"/>
  <c r="E21"/>
  <c r="E16"/>
  <c r="E17"/>
  <c r="E13"/>
  <c r="E12"/>
  <c r="E11"/>
  <c r="E10"/>
  <c r="E126" i="116"/>
  <c r="E124"/>
  <c r="E105"/>
  <c r="E104"/>
  <c r="E103"/>
  <c r="E49"/>
  <c r="E45"/>
  <c r="E119" i="119"/>
  <c r="E98"/>
  <c r="E97"/>
  <c r="E43"/>
  <c r="E39"/>
  <c r="E82" i="116"/>
  <c r="E26"/>
  <c r="E151"/>
  <c r="E122"/>
  <c r="E121"/>
  <c r="E119"/>
  <c r="E114"/>
  <c r="E106"/>
  <c r="E85"/>
  <c r="E69"/>
  <c r="E54"/>
  <c r="E22"/>
  <c r="E18"/>
  <c r="E17"/>
  <c r="E16"/>
  <c r="E15"/>
  <c r="E120" i="117"/>
  <c r="E101"/>
  <c r="E100"/>
  <c r="E99"/>
  <c r="E65"/>
  <c r="E50"/>
  <c r="E45"/>
  <c r="E41"/>
  <c r="H100" i="24"/>
  <c r="H102"/>
  <c r="G112" i="87"/>
  <c r="G105"/>
  <c r="E115" i="119"/>
  <c r="E108"/>
  <c r="E108" i="3"/>
  <c r="E115"/>
  <c r="K12" i="73"/>
  <c r="K11"/>
  <c r="E20" i="3"/>
  <c r="E20" i="119"/>
  <c r="G17" i="87"/>
  <c r="H83" i="24"/>
  <c r="K29" i="73"/>
  <c r="K19"/>
  <c r="E156" i="3"/>
  <c r="E157"/>
  <c r="E156" i="119"/>
  <c r="G153" i="87"/>
  <c r="H106" i="24"/>
  <c r="E113" i="3"/>
  <c r="E113" i="119"/>
  <c r="G110" i="87"/>
  <c r="H101" i="24"/>
  <c r="H97"/>
  <c r="H96"/>
  <c r="H95"/>
  <c r="G96" i="87"/>
  <c r="G95"/>
  <c r="G94"/>
  <c r="E99" i="120"/>
  <c r="E98"/>
  <c r="E97"/>
  <c r="E99" i="3"/>
  <c r="E98"/>
  <c r="E97"/>
  <c r="K9" i="73"/>
  <c r="K8"/>
  <c r="K7"/>
  <c r="K7" i="61"/>
  <c r="M16" i="63"/>
  <c r="H16"/>
  <c r="C16"/>
  <c r="E119" i="3"/>
  <c r="G116" i="87"/>
  <c r="H103" i="24"/>
  <c r="G114" i="87"/>
  <c r="E117" i="119"/>
  <c r="E117" i="3"/>
  <c r="E12" i="61"/>
  <c r="E10"/>
  <c r="H98" i="24"/>
  <c r="G97" i="87"/>
  <c r="E100" i="119"/>
  <c r="E100" i="3"/>
  <c r="K10" i="73"/>
  <c r="E43" i="3"/>
  <c r="E48"/>
  <c r="E48" i="119"/>
  <c r="E39" i="120"/>
  <c r="E43"/>
  <c r="E48"/>
  <c r="G40" i="87"/>
  <c r="G45"/>
  <c r="H86" i="24"/>
  <c r="E99" i="119"/>
  <c r="E114" i="3"/>
  <c r="K28" i="73"/>
  <c r="G29"/>
  <c r="E146" i="3"/>
  <c r="E79"/>
  <c r="E146" i="119"/>
  <c r="E79"/>
  <c r="E78"/>
  <c r="G143" i="87"/>
  <c r="G76"/>
  <c r="H90" i="24"/>
  <c r="H91"/>
  <c r="E16" i="3"/>
  <c r="E16" i="119"/>
  <c r="G13" i="87"/>
  <c r="H104" i="24"/>
  <c r="H89"/>
  <c r="G118" i="87"/>
  <c r="G115"/>
  <c r="G60"/>
  <c r="E121" i="119"/>
  <c r="E63"/>
  <c r="E121" i="3"/>
  <c r="E63"/>
  <c r="H7" i="64"/>
  <c r="K9" i="61"/>
  <c r="M21" i="63"/>
  <c r="L21"/>
  <c r="H21"/>
  <c r="C21"/>
  <c r="C20"/>
  <c r="H20"/>
  <c r="M20"/>
  <c r="E118" i="120"/>
  <c r="E63"/>
  <c r="D20" i="2"/>
  <c r="H82" i="24"/>
  <c r="G7" i="87"/>
  <c r="E10" i="119"/>
  <c r="E8"/>
  <c r="E10" i="3"/>
  <c r="L9" i="64"/>
  <c r="H9"/>
  <c r="D17" i="2"/>
  <c r="G6" i="87"/>
  <c r="E9" i="119"/>
  <c r="E9" i="3"/>
  <c r="E12"/>
  <c r="E12" i="119"/>
  <c r="G9" i="87"/>
  <c r="D34" i="2"/>
  <c r="F25" i="70"/>
  <c r="D45" i="2"/>
  <c r="D43"/>
  <c r="D9"/>
  <c r="D47"/>
  <c r="N106" i="24"/>
  <c r="M106"/>
  <c r="L106"/>
  <c r="K106"/>
  <c r="J106"/>
  <c r="I106"/>
  <c r="G106"/>
  <c r="F106"/>
  <c r="E106"/>
  <c r="D106"/>
  <c r="C106"/>
  <c r="E105"/>
  <c r="O105"/>
  <c r="N104"/>
  <c r="M104"/>
  <c r="L104"/>
  <c r="K104"/>
  <c r="J104"/>
  <c r="I104"/>
  <c r="G104"/>
  <c r="F104"/>
  <c r="E104"/>
  <c r="D104"/>
  <c r="C104"/>
  <c r="N103"/>
  <c r="M103"/>
  <c r="L103"/>
  <c r="K103"/>
  <c r="J103"/>
  <c r="I103"/>
  <c r="G103"/>
  <c r="F103"/>
  <c r="E103"/>
  <c r="D103"/>
  <c r="C103"/>
  <c r="E102"/>
  <c r="O102"/>
  <c r="J101"/>
  <c r="O101"/>
  <c r="E101"/>
  <c r="N100"/>
  <c r="M100"/>
  <c r="L100"/>
  <c r="K100"/>
  <c r="J100"/>
  <c r="I100"/>
  <c r="G100"/>
  <c r="F100"/>
  <c r="E100"/>
  <c r="D100"/>
  <c r="O100"/>
  <c r="C100"/>
  <c r="H99"/>
  <c r="E99"/>
  <c r="O99"/>
  <c r="C99"/>
  <c r="N98"/>
  <c r="M98"/>
  <c r="L98"/>
  <c r="K98"/>
  <c r="J98"/>
  <c r="I98"/>
  <c r="G98"/>
  <c r="F98"/>
  <c r="E98"/>
  <c r="D98"/>
  <c r="C98"/>
  <c r="N97"/>
  <c r="M97"/>
  <c r="L97"/>
  <c r="K97"/>
  <c r="J97"/>
  <c r="I97"/>
  <c r="G97"/>
  <c r="F97"/>
  <c r="E97"/>
  <c r="D97"/>
  <c r="O97"/>
  <c r="C97"/>
  <c r="N96"/>
  <c r="M96"/>
  <c r="L96"/>
  <c r="K96"/>
  <c r="J96"/>
  <c r="I96"/>
  <c r="G96"/>
  <c r="F96"/>
  <c r="E96"/>
  <c r="D96"/>
  <c r="C96"/>
  <c r="N95"/>
  <c r="M95"/>
  <c r="M107"/>
  <c r="L95"/>
  <c r="K95"/>
  <c r="K107"/>
  <c r="J95"/>
  <c r="I95"/>
  <c r="I107"/>
  <c r="G95"/>
  <c r="G107"/>
  <c r="F95"/>
  <c r="F107"/>
  <c r="E95"/>
  <c r="D95"/>
  <c r="C95"/>
  <c r="E90"/>
  <c r="O89"/>
  <c r="O88"/>
  <c r="L87"/>
  <c r="K87"/>
  <c r="J87"/>
  <c r="J91"/>
  <c r="I87"/>
  <c r="H87"/>
  <c r="G87"/>
  <c r="F87"/>
  <c r="E87"/>
  <c r="D87"/>
  <c r="C87"/>
  <c r="O87"/>
  <c r="N86"/>
  <c r="M86"/>
  <c r="L86"/>
  <c r="K86"/>
  <c r="J86"/>
  <c r="I86"/>
  <c r="G86"/>
  <c r="F86"/>
  <c r="E86"/>
  <c r="D86"/>
  <c r="O86"/>
  <c r="C86"/>
  <c r="N85"/>
  <c r="M85"/>
  <c r="L85"/>
  <c r="K85"/>
  <c r="J85"/>
  <c r="I85"/>
  <c r="H85"/>
  <c r="G85"/>
  <c r="F85"/>
  <c r="E85"/>
  <c r="D85"/>
  <c r="C85"/>
  <c r="K84"/>
  <c r="O84"/>
  <c r="E84"/>
  <c r="N83"/>
  <c r="M83"/>
  <c r="L83"/>
  <c r="K83"/>
  <c r="J83"/>
  <c r="I83"/>
  <c r="G83"/>
  <c r="F83"/>
  <c r="E83"/>
  <c r="D83"/>
  <c r="C83"/>
  <c r="N82"/>
  <c r="N91"/>
  <c r="M82"/>
  <c r="M91"/>
  <c r="M109"/>
  <c r="L82"/>
  <c r="L91"/>
  <c r="K82"/>
  <c r="K91"/>
  <c r="K109"/>
  <c r="J82"/>
  <c r="I82"/>
  <c r="G82"/>
  <c r="G91"/>
  <c r="G109"/>
  <c r="F82"/>
  <c r="E82"/>
  <c r="E91"/>
  <c r="D82"/>
  <c r="C82"/>
  <c r="C91"/>
  <c r="G146" i="87"/>
  <c r="G141"/>
  <c r="G134"/>
  <c r="G130"/>
  <c r="G120"/>
  <c r="G111"/>
  <c r="G101"/>
  <c r="G79"/>
  <c r="G75"/>
  <c r="G73"/>
  <c r="G72"/>
  <c r="G67"/>
  <c r="G63"/>
  <c r="G86"/>
  <c r="G57"/>
  <c r="G52"/>
  <c r="G46"/>
  <c r="G42"/>
  <c r="G39"/>
  <c r="G37"/>
  <c r="G36"/>
  <c r="G30"/>
  <c r="G27"/>
  <c r="G26"/>
  <c r="G28"/>
  <c r="G24"/>
  <c r="G19"/>
  <c r="G10"/>
  <c r="E146" i="121"/>
  <c r="E140"/>
  <c r="E133"/>
  <c r="E154"/>
  <c r="E129"/>
  <c r="E114"/>
  <c r="E93"/>
  <c r="E128"/>
  <c r="E155"/>
  <c r="E82"/>
  <c r="E78"/>
  <c r="E75"/>
  <c r="E70"/>
  <c r="E66"/>
  <c r="E89"/>
  <c r="E60"/>
  <c r="E55"/>
  <c r="E49"/>
  <c r="E37"/>
  <c r="E30"/>
  <c r="E29"/>
  <c r="E22"/>
  <c r="E15"/>
  <c r="E8"/>
  <c r="E148" i="120"/>
  <c r="E143"/>
  <c r="E136"/>
  <c r="E132"/>
  <c r="E156"/>
  <c r="E122"/>
  <c r="E117"/>
  <c r="E114"/>
  <c r="E101"/>
  <c r="E82"/>
  <c r="E78"/>
  <c r="E75"/>
  <c r="E70"/>
  <c r="E89"/>
  <c r="E66"/>
  <c r="E60"/>
  <c r="E55"/>
  <c r="E49"/>
  <c r="E37"/>
  <c r="E30"/>
  <c r="E29"/>
  <c r="E22"/>
  <c r="E15"/>
  <c r="E8"/>
  <c r="E149" i="119"/>
  <c r="E144"/>
  <c r="E157"/>
  <c r="E137"/>
  <c r="E133"/>
  <c r="E123"/>
  <c r="E118"/>
  <c r="E114"/>
  <c r="E104"/>
  <c r="E101"/>
  <c r="E82"/>
  <c r="E76"/>
  <c r="E75"/>
  <c r="E70"/>
  <c r="E66"/>
  <c r="E60"/>
  <c r="E55"/>
  <c r="E49"/>
  <c r="E45"/>
  <c r="E42"/>
  <c r="E37"/>
  <c r="E65"/>
  <c r="E90"/>
  <c r="E30"/>
  <c r="E29"/>
  <c r="E27"/>
  <c r="E22"/>
  <c r="E15"/>
  <c r="E13"/>
  <c r="E161" i="3"/>
  <c r="E149"/>
  <c r="E144"/>
  <c r="E137"/>
  <c r="E133"/>
  <c r="E123"/>
  <c r="E104"/>
  <c r="E101"/>
  <c r="E96"/>
  <c r="E132"/>
  <c r="E158"/>
  <c r="E82"/>
  <c r="E78"/>
  <c r="E76"/>
  <c r="E75"/>
  <c r="E70"/>
  <c r="E66"/>
  <c r="E60"/>
  <c r="E55"/>
  <c r="E49"/>
  <c r="E45"/>
  <c r="E42"/>
  <c r="E40"/>
  <c r="E39"/>
  <c r="E33"/>
  <c r="E31"/>
  <c r="E30"/>
  <c r="E29"/>
  <c r="E27"/>
  <c r="E22"/>
  <c r="E15"/>
  <c r="E65"/>
  <c r="E90"/>
  <c r="E13"/>
  <c r="E8"/>
  <c r="H12" i="64"/>
  <c r="H8"/>
  <c r="H6"/>
  <c r="H5"/>
  <c r="H54" i="63"/>
  <c r="H49"/>
  <c r="H48"/>
  <c r="H47"/>
  <c r="H45"/>
  <c r="H44"/>
  <c r="H43"/>
  <c r="H42"/>
  <c r="H41"/>
  <c r="H40"/>
  <c r="H39"/>
  <c r="H38"/>
  <c r="H37"/>
  <c r="H36"/>
  <c r="H32"/>
  <c r="H31"/>
  <c r="H24"/>
  <c r="H23"/>
  <c r="H22"/>
  <c r="H19"/>
  <c r="H18"/>
  <c r="H17"/>
  <c r="H15"/>
  <c r="H60"/>
  <c r="H14"/>
  <c r="H10"/>
  <c r="H9"/>
  <c r="E11" i="77"/>
  <c r="K31" i="61"/>
  <c r="K18"/>
  <c r="K32"/>
  <c r="E20"/>
  <c r="E19"/>
  <c r="E31"/>
  <c r="E32"/>
  <c r="D25"/>
  <c r="D12"/>
  <c r="D7"/>
  <c r="D18"/>
  <c r="D20"/>
  <c r="D19"/>
  <c r="D31"/>
  <c r="D32"/>
  <c r="K30" i="73"/>
  <c r="D25"/>
  <c r="D11"/>
  <c r="D10"/>
  <c r="D8"/>
  <c r="D7"/>
  <c r="D19"/>
  <c r="E149" i="118"/>
  <c r="E144"/>
  <c r="E137"/>
  <c r="E133"/>
  <c r="E157"/>
  <c r="E118"/>
  <c r="E132"/>
  <c r="E158"/>
  <c r="E97"/>
  <c r="E83"/>
  <c r="E79"/>
  <c r="E76"/>
  <c r="E71"/>
  <c r="E67"/>
  <c r="E90"/>
  <c r="E61"/>
  <c r="E56"/>
  <c r="E50"/>
  <c r="E38"/>
  <c r="E31"/>
  <c r="E30"/>
  <c r="E23"/>
  <c r="E16"/>
  <c r="E9"/>
  <c r="E150" i="117"/>
  <c r="E145"/>
  <c r="E138"/>
  <c r="E158"/>
  <c r="E134"/>
  <c r="E124"/>
  <c r="E119"/>
  <c r="E116"/>
  <c r="E103"/>
  <c r="E98"/>
  <c r="E84"/>
  <c r="E80"/>
  <c r="E77"/>
  <c r="E72"/>
  <c r="E91"/>
  <c r="E68"/>
  <c r="E62"/>
  <c r="E57"/>
  <c r="E51"/>
  <c r="E39"/>
  <c r="E67"/>
  <c r="E92"/>
  <c r="E32"/>
  <c r="E31"/>
  <c r="E24"/>
  <c r="E17"/>
  <c r="E10"/>
  <c r="E154" i="116"/>
  <c r="E149"/>
  <c r="E162"/>
  <c r="E142"/>
  <c r="E138"/>
  <c r="E128"/>
  <c r="E120"/>
  <c r="E102"/>
  <c r="E107"/>
  <c r="E110"/>
  <c r="E88"/>
  <c r="E84"/>
  <c r="E81"/>
  <c r="E95"/>
  <c r="E76"/>
  <c r="E72"/>
  <c r="E66"/>
  <c r="E61"/>
  <c r="E55"/>
  <c r="E51"/>
  <c r="E48"/>
  <c r="E43"/>
  <c r="E46"/>
  <c r="E42"/>
  <c r="E35"/>
  <c r="E36"/>
  <c r="E33"/>
  <c r="E28"/>
  <c r="E21"/>
  <c r="E19"/>
  <c r="E14"/>
  <c r="E149" i="1"/>
  <c r="E144"/>
  <c r="E137"/>
  <c r="E133"/>
  <c r="E157"/>
  <c r="E123"/>
  <c r="E118"/>
  <c r="E105"/>
  <c r="E102"/>
  <c r="E83"/>
  <c r="E76"/>
  <c r="E71"/>
  <c r="E67"/>
  <c r="E90"/>
  <c r="E63"/>
  <c r="E61"/>
  <c r="E56"/>
  <c r="E52"/>
  <c r="E50"/>
  <c r="E46"/>
  <c r="E43"/>
  <c r="E41"/>
  <c r="E38"/>
  <c r="E37"/>
  <c r="E30"/>
  <c r="E31"/>
  <c r="E28"/>
  <c r="E23"/>
  <c r="E14"/>
  <c r="D105"/>
  <c r="D116"/>
  <c r="D115"/>
  <c r="D121" i="116"/>
  <c r="D120"/>
  <c r="D110"/>
  <c r="J11" i="73"/>
  <c r="J12"/>
  <c r="D115" i="3"/>
  <c r="D114"/>
  <c r="D104"/>
  <c r="D115" i="119"/>
  <c r="D104"/>
  <c r="F101" i="87"/>
  <c r="F112"/>
  <c r="E63" i="24"/>
  <c r="E66"/>
  <c r="D77" i="1"/>
  <c r="D82" i="116"/>
  <c r="D76" i="3"/>
  <c r="D75"/>
  <c r="D76" i="119"/>
  <c r="F73" i="87"/>
  <c r="F72"/>
  <c r="E54" i="24"/>
  <c r="D119" i="1"/>
  <c r="D100"/>
  <c r="D124" i="116"/>
  <c r="D123" s="1"/>
  <c r="D137" s="1"/>
  <c r="D163" s="1"/>
  <c r="D105"/>
  <c r="J7" i="61"/>
  <c r="J18"/>
  <c r="J9" i="73"/>
  <c r="M10" i="63"/>
  <c r="G10"/>
  <c r="D119" i="3"/>
  <c r="D99"/>
  <c r="D96"/>
  <c r="D132"/>
  <c r="D158"/>
  <c r="D119" i="119"/>
  <c r="D99"/>
  <c r="F116" i="87"/>
  <c r="F96"/>
  <c r="E67" i="24"/>
  <c r="E61"/>
  <c r="D104" i="116"/>
  <c r="D103"/>
  <c r="D102"/>
  <c r="D49"/>
  <c r="D45"/>
  <c r="D100" i="117"/>
  <c r="D99"/>
  <c r="D45"/>
  <c r="D41"/>
  <c r="D97" i="120"/>
  <c r="D98"/>
  <c r="D43"/>
  <c r="D39"/>
  <c r="D97" i="119"/>
  <c r="D43"/>
  <c r="D39"/>
  <c r="D117" i="1"/>
  <c r="D99"/>
  <c r="D98"/>
  <c r="D40"/>
  <c r="D44"/>
  <c r="D28"/>
  <c r="D23"/>
  <c r="D21"/>
  <c r="D14"/>
  <c r="D13"/>
  <c r="D12"/>
  <c r="D11"/>
  <c r="D10"/>
  <c r="D9"/>
  <c r="D18" i="116"/>
  <c r="D122"/>
  <c r="D33"/>
  <c r="D26"/>
  <c r="D21"/>
  <c r="D19"/>
  <c r="D17"/>
  <c r="D16"/>
  <c r="D15"/>
  <c r="D14"/>
  <c r="D101" i="117"/>
  <c r="E7" i="61"/>
  <c r="O42" i="63"/>
  <c r="G42"/>
  <c r="D27" i="3"/>
  <c r="D27" i="119"/>
  <c r="F24" i="87"/>
  <c r="E48" i="24"/>
  <c r="E49"/>
  <c r="K48"/>
  <c r="D117" i="3"/>
  <c r="D13"/>
  <c r="D117" i="119"/>
  <c r="D13"/>
  <c r="F114" i="87"/>
  <c r="F10"/>
  <c r="B47" i="2"/>
  <c r="E46" i="24"/>
  <c r="D43" i="3"/>
  <c r="D39"/>
  <c r="D37"/>
  <c r="D65"/>
  <c r="F40" i="87"/>
  <c r="F36"/>
  <c r="E50" i="24"/>
  <c r="J7" i="73"/>
  <c r="J19"/>
  <c r="J8"/>
  <c r="D98" i="3"/>
  <c r="D97"/>
  <c r="D20"/>
  <c r="D15"/>
  <c r="C39" i="119"/>
  <c r="C43"/>
  <c r="D20"/>
  <c r="C43" i="120"/>
  <c r="C39"/>
  <c r="F95" i="87"/>
  <c r="F94"/>
  <c r="F17"/>
  <c r="F12"/>
  <c r="E60" i="24"/>
  <c r="E59"/>
  <c r="E47"/>
  <c r="D161" i="3"/>
  <c r="D12"/>
  <c r="D12" i="119"/>
  <c r="D8"/>
  <c r="F9" i="87"/>
  <c r="F6"/>
  <c r="F5"/>
  <c r="C34" i="2"/>
  <c r="D9" i="3"/>
  <c r="D8"/>
  <c r="D9" i="119"/>
  <c r="C17" i="2"/>
  <c r="D149" i="1"/>
  <c r="D146"/>
  <c r="D144"/>
  <c r="D157"/>
  <c r="D137"/>
  <c r="D133"/>
  <c r="D123"/>
  <c r="D121"/>
  <c r="D114"/>
  <c r="D102"/>
  <c r="D101"/>
  <c r="D83"/>
  <c r="D79"/>
  <c r="D76"/>
  <c r="D71"/>
  <c r="D67"/>
  <c r="D63"/>
  <c r="D61"/>
  <c r="D56"/>
  <c r="D52"/>
  <c r="D50"/>
  <c r="D49"/>
  <c r="D46"/>
  <c r="D43"/>
  <c r="D41"/>
  <c r="D38"/>
  <c r="D37"/>
  <c r="D31"/>
  <c r="D16"/>
  <c r="D154" i="116"/>
  <c r="D151"/>
  <c r="D149"/>
  <c r="D142"/>
  <c r="D138"/>
  <c r="D162"/>
  <c r="D128"/>
  <c r="D126"/>
  <c r="D119"/>
  <c r="D107"/>
  <c r="D106"/>
  <c r="D88"/>
  <c r="D84"/>
  <c r="D81"/>
  <c r="D76"/>
  <c r="D72"/>
  <c r="D66"/>
  <c r="D61"/>
  <c r="D55"/>
  <c r="D54"/>
  <c r="D51"/>
  <c r="D48"/>
  <c r="D46"/>
  <c r="D42"/>
  <c r="D35"/>
  <c r="D36"/>
  <c r="D28"/>
  <c r="D150" i="117"/>
  <c r="D145"/>
  <c r="D138"/>
  <c r="D134"/>
  <c r="D124"/>
  <c r="D119"/>
  <c r="D116"/>
  <c r="D103"/>
  <c r="D84"/>
  <c r="D80"/>
  <c r="D77"/>
  <c r="D72"/>
  <c r="D68"/>
  <c r="D91"/>
  <c r="D62"/>
  <c r="D57"/>
  <c r="D51"/>
  <c r="D39"/>
  <c r="D32"/>
  <c r="D31"/>
  <c r="D24"/>
  <c r="D17"/>
  <c r="D10"/>
  <c r="D67"/>
  <c r="D92"/>
  <c r="D149" i="118"/>
  <c r="D144"/>
  <c r="D137"/>
  <c r="D133"/>
  <c r="D157"/>
  <c r="D118"/>
  <c r="D97"/>
  <c r="D132"/>
  <c r="D83"/>
  <c r="D79"/>
  <c r="D76"/>
  <c r="D71"/>
  <c r="D67"/>
  <c r="D90"/>
  <c r="D61"/>
  <c r="D56"/>
  <c r="D50"/>
  <c r="D38"/>
  <c r="D31"/>
  <c r="D30"/>
  <c r="D23"/>
  <c r="D16"/>
  <c r="D9"/>
  <c r="D66"/>
  <c r="J29" i="73"/>
  <c r="J30"/>
  <c r="J28"/>
  <c r="J31"/>
  <c r="C25"/>
  <c r="C11"/>
  <c r="C10"/>
  <c r="C8"/>
  <c r="C19"/>
  <c r="C7"/>
  <c r="J31" i="61"/>
  <c r="J32"/>
  <c r="C25"/>
  <c r="C12"/>
  <c r="C18"/>
  <c r="D11" i="77"/>
  <c r="F54" i="63"/>
  <c r="F49"/>
  <c r="F48"/>
  <c r="F47"/>
  <c r="F45"/>
  <c r="F44"/>
  <c r="F43"/>
  <c r="F42"/>
  <c r="F41"/>
  <c r="F40"/>
  <c r="F39"/>
  <c r="F38"/>
  <c r="F37"/>
  <c r="F36"/>
  <c r="F32"/>
  <c r="F31"/>
  <c r="F24"/>
  <c r="F23"/>
  <c r="F22"/>
  <c r="F20"/>
  <c r="F19"/>
  <c r="F18"/>
  <c r="F17"/>
  <c r="F16"/>
  <c r="F15"/>
  <c r="F14"/>
  <c r="F9"/>
  <c r="F12" i="64"/>
  <c r="F8"/>
  <c r="F7"/>
  <c r="F6"/>
  <c r="F5"/>
  <c r="D149" i="3"/>
  <c r="D144"/>
  <c r="D137"/>
  <c r="D133"/>
  <c r="D157"/>
  <c r="D123"/>
  <c r="D118"/>
  <c r="D101"/>
  <c r="D82"/>
  <c r="D78"/>
  <c r="D70"/>
  <c r="D89"/>
  <c r="D66"/>
  <c r="D60"/>
  <c r="D55"/>
  <c r="D49"/>
  <c r="D48"/>
  <c r="D45"/>
  <c r="D42"/>
  <c r="D40"/>
  <c r="D33"/>
  <c r="D30"/>
  <c r="D29"/>
  <c r="D31"/>
  <c r="D22"/>
  <c r="D149" i="119"/>
  <c r="D146"/>
  <c r="D144"/>
  <c r="D137"/>
  <c r="D157"/>
  <c r="D133"/>
  <c r="D123"/>
  <c r="D121"/>
  <c r="D114"/>
  <c r="D113"/>
  <c r="D101"/>
  <c r="D100"/>
  <c r="D82"/>
  <c r="D78"/>
  <c r="D75"/>
  <c r="D70"/>
  <c r="D66"/>
  <c r="D60"/>
  <c r="D55"/>
  <c r="D49"/>
  <c r="D48"/>
  <c r="D45"/>
  <c r="D42"/>
  <c r="D30"/>
  <c r="D29"/>
  <c r="D22"/>
  <c r="D15"/>
  <c r="D148" i="120"/>
  <c r="D143"/>
  <c r="D156"/>
  <c r="D136"/>
  <c r="D132"/>
  <c r="D122"/>
  <c r="D117"/>
  <c r="D114"/>
  <c r="D101"/>
  <c r="D82"/>
  <c r="D78"/>
  <c r="D75"/>
  <c r="D70"/>
  <c r="D66"/>
  <c r="D89"/>
  <c r="D60"/>
  <c r="D55"/>
  <c r="D49"/>
  <c r="D37"/>
  <c r="D30"/>
  <c r="D29"/>
  <c r="D22"/>
  <c r="D15"/>
  <c r="D8"/>
  <c r="D146" i="121"/>
  <c r="D140"/>
  <c r="D133"/>
  <c r="D129"/>
  <c r="D154"/>
  <c r="D114"/>
  <c r="D128"/>
  <c r="D93"/>
  <c r="D82"/>
  <c r="D78"/>
  <c r="D75"/>
  <c r="D70"/>
  <c r="D66"/>
  <c r="D89"/>
  <c r="D60"/>
  <c r="D55"/>
  <c r="D49"/>
  <c r="D37"/>
  <c r="D30"/>
  <c r="D29"/>
  <c r="D22"/>
  <c r="D15"/>
  <c r="D65"/>
  <c r="D90"/>
  <c r="D8"/>
  <c r="F146" i="87"/>
  <c r="F141"/>
  <c r="F134"/>
  <c r="F130"/>
  <c r="F120"/>
  <c r="F118"/>
  <c r="F115"/>
  <c r="F111"/>
  <c r="F98"/>
  <c r="F79"/>
  <c r="F75"/>
  <c r="F86"/>
  <c r="F67"/>
  <c r="F63"/>
  <c r="F57"/>
  <c r="F52"/>
  <c r="F46"/>
  <c r="F45"/>
  <c r="F42"/>
  <c r="F39"/>
  <c r="F37"/>
  <c r="F30"/>
  <c r="F28"/>
  <c r="F27"/>
  <c r="F26"/>
  <c r="F19"/>
  <c r="N70" i="24"/>
  <c r="M70"/>
  <c r="L70"/>
  <c r="K70"/>
  <c r="J70"/>
  <c r="I70"/>
  <c r="H70"/>
  <c r="G70"/>
  <c r="F70"/>
  <c r="E70"/>
  <c r="D70"/>
  <c r="C70"/>
  <c r="O70"/>
  <c r="E69"/>
  <c r="O69"/>
  <c r="N68"/>
  <c r="M68"/>
  <c r="L68"/>
  <c r="K68"/>
  <c r="J68"/>
  <c r="I68"/>
  <c r="H68"/>
  <c r="G68"/>
  <c r="F68"/>
  <c r="E68"/>
  <c r="D68"/>
  <c r="C68"/>
  <c r="N67"/>
  <c r="M67"/>
  <c r="L67"/>
  <c r="K67"/>
  <c r="J67"/>
  <c r="I67"/>
  <c r="H67"/>
  <c r="G67"/>
  <c r="F67"/>
  <c r="D67"/>
  <c r="C67"/>
  <c r="O66"/>
  <c r="J65"/>
  <c r="E65"/>
  <c r="N64"/>
  <c r="M64"/>
  <c r="L64"/>
  <c r="K64"/>
  <c r="J64"/>
  <c r="I64"/>
  <c r="H64"/>
  <c r="G64"/>
  <c r="F64"/>
  <c r="E64"/>
  <c r="D64"/>
  <c r="O64"/>
  <c r="C64"/>
  <c r="H63"/>
  <c r="C63"/>
  <c r="O63"/>
  <c r="N62"/>
  <c r="M62"/>
  <c r="L62"/>
  <c r="K62"/>
  <c r="J62"/>
  <c r="I62"/>
  <c r="H62"/>
  <c r="G62"/>
  <c r="F62"/>
  <c r="E62"/>
  <c r="D62"/>
  <c r="D71"/>
  <c r="D73"/>
  <c r="C62"/>
  <c r="N61"/>
  <c r="M61"/>
  <c r="L61"/>
  <c r="K61"/>
  <c r="J61"/>
  <c r="I61"/>
  <c r="H61"/>
  <c r="G61"/>
  <c r="F61"/>
  <c r="D61"/>
  <c r="C61"/>
  <c r="O61"/>
  <c r="N60"/>
  <c r="M60"/>
  <c r="L60"/>
  <c r="K60"/>
  <c r="J60"/>
  <c r="J71"/>
  <c r="I60"/>
  <c r="H60"/>
  <c r="G60"/>
  <c r="F60"/>
  <c r="D60"/>
  <c r="C60"/>
  <c r="N59"/>
  <c r="N71"/>
  <c r="M59"/>
  <c r="M71"/>
  <c r="M73"/>
  <c r="L59"/>
  <c r="K59"/>
  <c r="K71"/>
  <c r="J59"/>
  <c r="I59"/>
  <c r="I71"/>
  <c r="I73"/>
  <c r="H59"/>
  <c r="G59"/>
  <c r="G71"/>
  <c r="F59"/>
  <c r="D59"/>
  <c r="C59"/>
  <c r="O54"/>
  <c r="O53"/>
  <c r="O52"/>
  <c r="L51"/>
  <c r="K51"/>
  <c r="J51"/>
  <c r="I51"/>
  <c r="H51"/>
  <c r="G51"/>
  <c r="F51"/>
  <c r="F55"/>
  <c r="E51"/>
  <c r="D51"/>
  <c r="C51"/>
  <c r="N50"/>
  <c r="M50"/>
  <c r="L50"/>
  <c r="K50"/>
  <c r="J50"/>
  <c r="I50"/>
  <c r="H50"/>
  <c r="G50"/>
  <c r="O50"/>
  <c r="F50"/>
  <c r="D50"/>
  <c r="C50"/>
  <c r="N49"/>
  <c r="M49"/>
  <c r="L49"/>
  <c r="K49"/>
  <c r="K55"/>
  <c r="K73"/>
  <c r="J49"/>
  <c r="I49"/>
  <c r="H49"/>
  <c r="G49"/>
  <c r="G55"/>
  <c r="G73"/>
  <c r="F49"/>
  <c r="D49"/>
  <c r="C49"/>
  <c r="O49"/>
  <c r="N47"/>
  <c r="M47"/>
  <c r="L47"/>
  <c r="K47"/>
  <c r="J47"/>
  <c r="I47"/>
  <c r="H47"/>
  <c r="G47"/>
  <c r="F47"/>
  <c r="D47"/>
  <c r="C47"/>
  <c r="N46"/>
  <c r="N55"/>
  <c r="N73"/>
  <c r="M46"/>
  <c r="M55"/>
  <c r="L46"/>
  <c r="K46"/>
  <c r="J46"/>
  <c r="J55"/>
  <c r="I46"/>
  <c r="I55"/>
  <c r="H46"/>
  <c r="H55"/>
  <c r="G46"/>
  <c r="F46"/>
  <c r="D46"/>
  <c r="D55"/>
  <c r="C46"/>
  <c r="C45" i="2"/>
  <c r="C43"/>
  <c r="C9"/>
  <c r="E25" i="70"/>
  <c r="C100" i="1"/>
  <c r="C105" i="116"/>
  <c r="E28" i="24"/>
  <c r="E33"/>
  <c r="G25"/>
  <c r="F25"/>
  <c r="C49" i="116"/>
  <c r="C45"/>
  <c r="C45" i="117"/>
  <c r="C44" i="1"/>
  <c r="C41" i="117"/>
  <c r="C39"/>
  <c r="C76" i="3"/>
  <c r="E73" i="87"/>
  <c r="J25" i="24"/>
  <c r="E25"/>
  <c r="O49" i="63"/>
  <c r="O24"/>
  <c r="C121" i="1"/>
  <c r="C119"/>
  <c r="C99"/>
  <c r="C98"/>
  <c r="C63"/>
  <c r="C61"/>
  <c r="C52"/>
  <c r="C50"/>
  <c r="C149"/>
  <c r="C146"/>
  <c r="C144"/>
  <c r="C137"/>
  <c r="C133"/>
  <c r="C157"/>
  <c r="C123"/>
  <c r="C117"/>
  <c r="C115"/>
  <c r="C114"/>
  <c r="C102"/>
  <c r="C97"/>
  <c r="C132"/>
  <c r="C101"/>
  <c r="C83"/>
  <c r="C79"/>
  <c r="C76"/>
  <c r="C71"/>
  <c r="C67"/>
  <c r="C90"/>
  <c r="C56"/>
  <c r="C49"/>
  <c r="C46"/>
  <c r="C43"/>
  <c r="C41"/>
  <c r="C37"/>
  <c r="C31"/>
  <c r="C30"/>
  <c r="C23"/>
  <c r="C21"/>
  <c r="C16"/>
  <c r="C9"/>
  <c r="C126" i="116"/>
  <c r="C124"/>
  <c r="C104"/>
  <c r="C103"/>
  <c r="C102"/>
  <c r="C137" s="1"/>
  <c r="C163" s="1"/>
  <c r="C26"/>
  <c r="C54"/>
  <c r="C51"/>
  <c r="C46"/>
  <c r="C43"/>
  <c r="C154"/>
  <c r="C151"/>
  <c r="C149"/>
  <c r="C142"/>
  <c r="C162"/>
  <c r="C138"/>
  <c r="C128"/>
  <c r="C123"/>
  <c r="C122"/>
  <c r="C120"/>
  <c r="C119"/>
  <c r="C106"/>
  <c r="C42"/>
  <c r="C88"/>
  <c r="C84"/>
  <c r="C81"/>
  <c r="C76"/>
  <c r="C72"/>
  <c r="C66"/>
  <c r="C61"/>
  <c r="C55"/>
  <c r="C48"/>
  <c r="C36"/>
  <c r="C28"/>
  <c r="C21"/>
  <c r="C14"/>
  <c r="C150" i="117"/>
  <c r="C145"/>
  <c r="C158"/>
  <c r="C159"/>
  <c r="C138"/>
  <c r="C134"/>
  <c r="C124"/>
  <c r="C119"/>
  <c r="C116"/>
  <c r="C103"/>
  <c r="C98"/>
  <c r="C133"/>
  <c r="C84"/>
  <c r="C80"/>
  <c r="C77"/>
  <c r="C72"/>
  <c r="C68"/>
  <c r="C62"/>
  <c r="C57"/>
  <c r="C67"/>
  <c r="C51"/>
  <c r="C32"/>
  <c r="C31"/>
  <c r="C24"/>
  <c r="C17"/>
  <c r="C10"/>
  <c r="E32" i="24"/>
  <c r="E31"/>
  <c r="E118" i="87"/>
  <c r="E116"/>
  <c r="C121" i="119"/>
  <c r="C119"/>
  <c r="I29" i="73"/>
  <c r="I28"/>
  <c r="I30"/>
  <c r="G19"/>
  <c r="O18" i="63"/>
  <c r="G18"/>
  <c r="C18"/>
  <c r="G48"/>
  <c r="G47"/>
  <c r="G20"/>
  <c r="M9"/>
  <c r="G9"/>
  <c r="C9"/>
  <c r="M43"/>
  <c r="L43"/>
  <c r="G43"/>
  <c r="C43"/>
  <c r="M45"/>
  <c r="G45"/>
  <c r="C45"/>
  <c r="M44"/>
  <c r="L44"/>
  <c r="G44"/>
  <c r="C44"/>
  <c r="M32"/>
  <c r="G32"/>
  <c r="C32"/>
  <c r="G49"/>
  <c r="C49"/>
  <c r="G24"/>
  <c r="C24"/>
  <c r="O19"/>
  <c r="G19"/>
  <c r="C19"/>
  <c r="O40"/>
  <c r="G40"/>
  <c r="C40"/>
  <c r="L18"/>
  <c r="O41"/>
  <c r="G41"/>
  <c r="C41"/>
  <c r="N42"/>
  <c r="L42"/>
  <c r="C42"/>
  <c r="M38"/>
  <c r="L38"/>
  <c r="G38"/>
  <c r="C38"/>
  <c r="M39"/>
  <c r="G39"/>
  <c r="C39"/>
  <c r="L19"/>
  <c r="M17"/>
  <c r="G17"/>
  <c r="C17"/>
  <c r="L16"/>
  <c r="G16"/>
  <c r="M15"/>
  <c r="G15"/>
  <c r="C15"/>
  <c r="C54"/>
  <c r="G36"/>
  <c r="M37"/>
  <c r="G37"/>
  <c r="C37"/>
  <c r="M31"/>
  <c r="L31"/>
  <c r="G31"/>
  <c r="C31"/>
  <c r="M14"/>
  <c r="L14"/>
  <c r="L60"/>
  <c r="G14"/>
  <c r="C14"/>
  <c r="L23"/>
  <c r="O22"/>
  <c r="G23"/>
  <c r="G22"/>
  <c r="E23" i="64"/>
  <c r="L11"/>
  <c r="M8"/>
  <c r="L8"/>
  <c r="G8"/>
  <c r="C8"/>
  <c r="M12"/>
  <c r="G12"/>
  <c r="C12"/>
  <c r="M5"/>
  <c r="G5"/>
  <c r="C5"/>
  <c r="C23"/>
  <c r="G7"/>
  <c r="G6"/>
  <c r="C149" i="3"/>
  <c r="C144"/>
  <c r="C157"/>
  <c r="C137"/>
  <c r="C133"/>
  <c r="C123"/>
  <c r="C118"/>
  <c r="C114"/>
  <c r="C101"/>
  <c r="C96"/>
  <c r="C82"/>
  <c r="C89"/>
  <c r="C78"/>
  <c r="C75"/>
  <c r="C70"/>
  <c r="C66"/>
  <c r="C60"/>
  <c r="C55"/>
  <c r="C49"/>
  <c r="C48"/>
  <c r="C45"/>
  <c r="C43"/>
  <c r="C42"/>
  <c r="C40"/>
  <c r="C39"/>
  <c r="C33"/>
  <c r="C30"/>
  <c r="C29"/>
  <c r="C31"/>
  <c r="C22"/>
  <c r="C20"/>
  <c r="C15"/>
  <c r="C8"/>
  <c r="C98" i="119"/>
  <c r="C97"/>
  <c r="C146"/>
  <c r="C144"/>
  <c r="C117"/>
  <c r="C114"/>
  <c r="C113"/>
  <c r="C100"/>
  <c r="C48"/>
  <c r="C45"/>
  <c r="C37"/>
  <c r="C42"/>
  <c r="E17" i="87"/>
  <c r="E30"/>
  <c r="E28"/>
  <c r="E45"/>
  <c r="E37"/>
  <c r="E42"/>
  <c r="E40"/>
  <c r="E39"/>
  <c r="E36"/>
  <c r="N32" i="24"/>
  <c r="M32"/>
  <c r="L32"/>
  <c r="K32"/>
  <c r="J32"/>
  <c r="I32"/>
  <c r="H32"/>
  <c r="G32"/>
  <c r="D32"/>
  <c r="C32"/>
  <c r="O32"/>
  <c r="F32"/>
  <c r="H31"/>
  <c r="N31"/>
  <c r="M31"/>
  <c r="L31"/>
  <c r="K31"/>
  <c r="J31"/>
  <c r="I31"/>
  <c r="G31"/>
  <c r="F31"/>
  <c r="D31"/>
  <c r="C31"/>
  <c r="C25"/>
  <c r="N25"/>
  <c r="M25"/>
  <c r="L25"/>
  <c r="K25"/>
  <c r="I25"/>
  <c r="H25"/>
  <c r="D25"/>
  <c r="C34"/>
  <c r="D34"/>
  <c r="E34"/>
  <c r="F34"/>
  <c r="G34"/>
  <c r="H34"/>
  <c r="I34"/>
  <c r="J34"/>
  <c r="K34"/>
  <c r="L34"/>
  <c r="M34"/>
  <c r="N34"/>
  <c r="H27"/>
  <c r="C27"/>
  <c r="O27"/>
  <c r="E29"/>
  <c r="J29"/>
  <c r="C28"/>
  <c r="N28"/>
  <c r="N35"/>
  <c r="M28"/>
  <c r="L28"/>
  <c r="K28"/>
  <c r="G28"/>
  <c r="F28"/>
  <c r="J28"/>
  <c r="I28"/>
  <c r="H28"/>
  <c r="D28"/>
  <c r="I26"/>
  <c r="H26"/>
  <c r="G26"/>
  <c r="F26"/>
  <c r="E26"/>
  <c r="D26"/>
  <c r="C26"/>
  <c r="N26"/>
  <c r="M26"/>
  <c r="L26"/>
  <c r="K26"/>
  <c r="J26"/>
  <c r="C24"/>
  <c r="O24"/>
  <c r="N24"/>
  <c r="L24"/>
  <c r="K24"/>
  <c r="H24"/>
  <c r="G24"/>
  <c r="F24"/>
  <c r="E24"/>
  <c r="M24"/>
  <c r="J24"/>
  <c r="I24"/>
  <c r="D24"/>
  <c r="D35"/>
  <c r="C23"/>
  <c r="N23"/>
  <c r="L23"/>
  <c r="K23"/>
  <c r="K35"/>
  <c r="K37"/>
  <c r="H23"/>
  <c r="H35"/>
  <c r="G23"/>
  <c r="F23"/>
  <c r="F35"/>
  <c r="M23"/>
  <c r="M35"/>
  <c r="D23"/>
  <c r="E23"/>
  <c r="I23"/>
  <c r="J23"/>
  <c r="J35"/>
  <c r="K15"/>
  <c r="K19"/>
  <c r="H15"/>
  <c r="D15"/>
  <c r="E15"/>
  <c r="F15"/>
  <c r="G15"/>
  <c r="I15"/>
  <c r="J15"/>
  <c r="L15"/>
  <c r="C15"/>
  <c r="H14"/>
  <c r="G14"/>
  <c r="J14"/>
  <c r="F14"/>
  <c r="M14"/>
  <c r="L14"/>
  <c r="L19"/>
  <c r="K14"/>
  <c r="I14"/>
  <c r="E14"/>
  <c r="D14"/>
  <c r="C14"/>
  <c r="N14"/>
  <c r="N13"/>
  <c r="M13"/>
  <c r="L13"/>
  <c r="K13"/>
  <c r="J13"/>
  <c r="I13"/>
  <c r="H13"/>
  <c r="G13"/>
  <c r="F13"/>
  <c r="E13"/>
  <c r="D13"/>
  <c r="C13"/>
  <c r="O13"/>
  <c r="K12"/>
  <c r="C11"/>
  <c r="D11"/>
  <c r="D19"/>
  <c r="D37"/>
  <c r="J11"/>
  <c r="K11"/>
  <c r="N11"/>
  <c r="M11"/>
  <c r="L11"/>
  <c r="I11"/>
  <c r="H11"/>
  <c r="G11"/>
  <c r="G19"/>
  <c r="G37"/>
  <c r="F11"/>
  <c r="E11"/>
  <c r="N10"/>
  <c r="M10"/>
  <c r="M19"/>
  <c r="L10"/>
  <c r="K10"/>
  <c r="J10"/>
  <c r="I10"/>
  <c r="H10"/>
  <c r="H19"/>
  <c r="G10"/>
  <c r="F10"/>
  <c r="E10"/>
  <c r="E19"/>
  <c r="D10"/>
  <c r="C10"/>
  <c r="C19"/>
  <c r="E29" i="128"/>
  <c r="E33"/>
  <c r="E35"/>
  <c r="D29"/>
  <c r="D33"/>
  <c r="D35"/>
  <c r="E9"/>
  <c r="E8"/>
  <c r="E20"/>
  <c r="E22"/>
  <c r="D9"/>
  <c r="D8"/>
  <c r="D20"/>
  <c r="D22"/>
  <c r="G25" i="73"/>
  <c r="D111" i="87"/>
  <c r="E111"/>
  <c r="C111"/>
  <c r="C60" i="119"/>
  <c r="C30"/>
  <c r="C29"/>
  <c r="L45" i="63"/>
  <c r="C9" i="128"/>
  <c r="C8"/>
  <c r="C20"/>
  <c r="C22"/>
  <c r="C26"/>
  <c r="D26"/>
  <c r="E26"/>
  <c r="C29"/>
  <c r="C33"/>
  <c r="C35"/>
  <c r="D25" i="70"/>
  <c r="B9" i="2"/>
  <c r="B43"/>
  <c r="B45"/>
  <c r="O12" i="24"/>
  <c r="O16"/>
  <c r="O17"/>
  <c r="O18"/>
  <c r="G35"/>
  <c r="O29"/>
  <c r="O30"/>
  <c r="O31"/>
  <c r="O33"/>
  <c r="C30" i="88"/>
  <c r="D30"/>
  <c r="D6" i="66"/>
  <c r="E6"/>
  <c r="F6"/>
  <c r="I6"/>
  <c r="G6"/>
  <c r="H6"/>
  <c r="I7"/>
  <c r="I8"/>
  <c r="D9"/>
  <c r="E9"/>
  <c r="F9"/>
  <c r="G9"/>
  <c r="G18"/>
  <c r="H9"/>
  <c r="I10"/>
  <c r="I11"/>
  <c r="D12"/>
  <c r="I12"/>
  <c r="E12"/>
  <c r="F12"/>
  <c r="G12"/>
  <c r="H12"/>
  <c r="H18"/>
  <c r="I13"/>
  <c r="D14"/>
  <c r="E14"/>
  <c r="E18"/>
  <c r="F14"/>
  <c r="G14"/>
  <c r="H14"/>
  <c r="I14"/>
  <c r="I15"/>
  <c r="D16"/>
  <c r="E16"/>
  <c r="F16"/>
  <c r="G16"/>
  <c r="H16"/>
  <c r="I17"/>
  <c r="C5" i="87"/>
  <c r="C62"/>
  <c r="C88"/>
  <c r="D5"/>
  <c r="D62"/>
  <c r="D88"/>
  <c r="E5"/>
  <c r="C12"/>
  <c r="D12"/>
  <c r="E12"/>
  <c r="C19"/>
  <c r="D19"/>
  <c r="E19"/>
  <c r="C27"/>
  <c r="C26"/>
  <c r="D27"/>
  <c r="D26"/>
  <c r="E27"/>
  <c r="E26"/>
  <c r="C34"/>
  <c r="D34"/>
  <c r="C46"/>
  <c r="D46"/>
  <c r="E46"/>
  <c r="C52"/>
  <c r="D52"/>
  <c r="E52"/>
  <c r="C57"/>
  <c r="D57"/>
  <c r="E57"/>
  <c r="C63"/>
  <c r="D63"/>
  <c r="D86"/>
  <c r="E63"/>
  <c r="C67"/>
  <c r="D67"/>
  <c r="E67"/>
  <c r="C72"/>
  <c r="D72"/>
  <c r="E72"/>
  <c r="C75"/>
  <c r="D75"/>
  <c r="E75"/>
  <c r="C79"/>
  <c r="D79"/>
  <c r="E79"/>
  <c r="C91"/>
  <c r="D91"/>
  <c r="C98"/>
  <c r="C93"/>
  <c r="D98"/>
  <c r="E98"/>
  <c r="E93"/>
  <c r="E129"/>
  <c r="E156"/>
  <c r="C120"/>
  <c r="C115"/>
  <c r="D120"/>
  <c r="D115"/>
  <c r="E120"/>
  <c r="E115"/>
  <c r="C130"/>
  <c r="D130"/>
  <c r="E130"/>
  <c r="C134"/>
  <c r="C154"/>
  <c r="D134"/>
  <c r="E134"/>
  <c r="C141"/>
  <c r="D141"/>
  <c r="E141"/>
  <c r="C146"/>
  <c r="D146"/>
  <c r="E146"/>
  <c r="E154"/>
  <c r="G10" i="89"/>
  <c r="G11"/>
  <c r="G12"/>
  <c r="G13"/>
  <c r="G14"/>
  <c r="G15"/>
  <c r="C16"/>
  <c r="G16"/>
  <c r="D16"/>
  <c r="E16"/>
  <c r="F16"/>
  <c r="C8" i="121"/>
  <c r="C15"/>
  <c r="C22"/>
  <c r="C29"/>
  <c r="C30"/>
  <c r="C37"/>
  <c r="C49"/>
  <c r="C55"/>
  <c r="C60"/>
  <c r="C66"/>
  <c r="C70"/>
  <c r="C75"/>
  <c r="C89"/>
  <c r="C78"/>
  <c r="C82"/>
  <c r="C93"/>
  <c r="C114"/>
  <c r="C128"/>
  <c r="C155"/>
  <c r="C129"/>
  <c r="C133"/>
  <c r="C154"/>
  <c r="C140"/>
  <c r="C146"/>
  <c r="C8" i="120"/>
  <c r="C15"/>
  <c r="C22"/>
  <c r="C30"/>
  <c r="C29"/>
  <c r="C37"/>
  <c r="C49"/>
  <c r="C55"/>
  <c r="C60"/>
  <c r="C66"/>
  <c r="C70"/>
  <c r="C75"/>
  <c r="C78"/>
  <c r="C82"/>
  <c r="C101"/>
  <c r="C96"/>
  <c r="C131"/>
  <c r="C114"/>
  <c r="C122"/>
  <c r="C117"/>
  <c r="C132"/>
  <c r="C136"/>
  <c r="C143"/>
  <c r="C148"/>
  <c r="C8" i="119"/>
  <c r="C15"/>
  <c r="C22"/>
  <c r="C49"/>
  <c r="C55"/>
  <c r="C66"/>
  <c r="C70"/>
  <c r="C75"/>
  <c r="C78"/>
  <c r="C82"/>
  <c r="C101"/>
  <c r="C123"/>
  <c r="C118"/>
  <c r="C133"/>
  <c r="C157"/>
  <c r="C137"/>
  <c r="C149"/>
  <c r="E5" i="71"/>
  <c r="E6"/>
  <c r="E7"/>
  <c r="E8"/>
  <c r="E9"/>
  <c r="E10"/>
  <c r="E11"/>
  <c r="B12"/>
  <c r="C12"/>
  <c r="D12"/>
  <c r="B14"/>
  <c r="B27"/>
  <c r="B37"/>
  <c r="C14"/>
  <c r="D14"/>
  <c r="D27"/>
  <c r="D37"/>
  <c r="E15"/>
  <c r="E22"/>
  <c r="E16"/>
  <c r="E17"/>
  <c r="E18"/>
  <c r="E19"/>
  <c r="E20"/>
  <c r="E21"/>
  <c r="B22"/>
  <c r="C22"/>
  <c r="D22"/>
  <c r="C27"/>
  <c r="C37"/>
  <c r="E28"/>
  <c r="E29"/>
  <c r="E30"/>
  <c r="E31"/>
  <c r="E32"/>
  <c r="E33"/>
  <c r="E34"/>
  <c r="B35"/>
  <c r="C35"/>
  <c r="D35"/>
  <c r="E38"/>
  <c r="E39"/>
  <c r="E45"/>
  <c r="E40"/>
  <c r="E41"/>
  <c r="E42"/>
  <c r="E43"/>
  <c r="E44"/>
  <c r="B45"/>
  <c r="C45"/>
  <c r="D45"/>
  <c r="D52"/>
  <c r="L5" i="64"/>
  <c r="L6"/>
  <c r="L12"/>
  <c r="L15" i="63"/>
  <c r="L17"/>
  <c r="L20"/>
  <c r="L24"/>
  <c r="L32"/>
  <c r="E60"/>
  <c r="N36"/>
  <c r="L36"/>
  <c r="L39"/>
  <c r="L40"/>
  <c r="L41"/>
  <c r="L51"/>
  <c r="L53"/>
  <c r="L54"/>
  <c r="E54"/>
  <c r="G54"/>
  <c r="K54"/>
  <c r="K60"/>
  <c r="M54"/>
  <c r="N54"/>
  <c r="O54"/>
  <c r="C8" i="78"/>
  <c r="C11" i="77"/>
  <c r="F6" i="62"/>
  <c r="F7"/>
  <c r="F11"/>
  <c r="F8"/>
  <c r="F9"/>
  <c r="F10"/>
  <c r="C11"/>
  <c r="D11"/>
  <c r="E11"/>
  <c r="I18" i="61"/>
  <c r="I32"/>
  <c r="C20"/>
  <c r="E18"/>
  <c r="E25"/>
  <c r="I31"/>
  <c r="I19" i="73"/>
  <c r="I31"/>
  <c r="C9" i="118"/>
  <c r="C16"/>
  <c r="C23"/>
  <c r="C31"/>
  <c r="C30"/>
  <c r="C38"/>
  <c r="C50"/>
  <c r="C56"/>
  <c r="C61"/>
  <c r="C67"/>
  <c r="C90"/>
  <c r="C71"/>
  <c r="C76"/>
  <c r="C79"/>
  <c r="C83"/>
  <c r="C97"/>
  <c r="C118"/>
  <c r="C132"/>
  <c r="C133"/>
  <c r="C157"/>
  <c r="C137"/>
  <c r="C144"/>
  <c r="C149"/>
  <c r="C86" i="87"/>
  <c r="L22" i="63"/>
  <c r="L7" i="64"/>
  <c r="C65" i="119"/>
  <c r="C35" i="116"/>
  <c r="C107"/>
  <c r="C71"/>
  <c r="C129" i="87"/>
  <c r="E86"/>
  <c r="C65" i="121"/>
  <c r="C90"/>
  <c r="E35" i="71"/>
  <c r="C89" i="120"/>
  <c r="D91" i="118"/>
  <c r="D158"/>
  <c r="C19" i="61"/>
  <c r="C31"/>
  <c r="C32"/>
  <c r="C55" i="24"/>
  <c r="E66" i="118"/>
  <c r="E91"/>
  <c r="O82" i="24"/>
  <c r="D90" i="3"/>
  <c r="C21" i="73"/>
  <c r="C20"/>
  <c r="C30"/>
  <c r="C31"/>
  <c r="D21"/>
  <c r="D20"/>
  <c r="D30"/>
  <c r="D31"/>
  <c r="E62" i="87"/>
  <c r="E88"/>
  <c r="E158"/>
  <c r="M37" i="24"/>
  <c r="J73"/>
  <c r="N60" i="63"/>
  <c r="O51" i="24"/>
  <c r="G12" i="87"/>
  <c r="O55" i="24"/>
  <c r="C66" i="118"/>
  <c r="C91"/>
  <c r="E12" i="71"/>
  <c r="O10" i="24"/>
  <c r="I19"/>
  <c r="I37"/>
  <c r="I35"/>
  <c r="C132" i="3"/>
  <c r="C158"/>
  <c r="L9" i="63"/>
  <c r="O62" i="24"/>
  <c r="D98" i="119"/>
  <c r="D96" s="1"/>
  <c r="D132" s="1"/>
  <c r="D158" s="1"/>
  <c r="D96" i="120"/>
  <c r="D131"/>
  <c r="D157"/>
  <c r="D98" i="117"/>
  <c r="D133"/>
  <c r="O83" i="24"/>
  <c r="D91"/>
  <c r="O59"/>
  <c r="C89" i="119"/>
  <c r="C90"/>
  <c r="C156" i="120"/>
  <c r="C157"/>
  <c r="D93" i="87"/>
  <c r="D129"/>
  <c r="J19" i="24"/>
  <c r="J37"/>
  <c r="N19"/>
  <c r="N37"/>
  <c r="O11"/>
  <c r="O23"/>
  <c r="L35"/>
  <c r="L37"/>
  <c r="E35"/>
  <c r="E37"/>
  <c r="O26"/>
  <c r="O28"/>
  <c r="O34"/>
  <c r="C65" i="3"/>
  <c r="C90"/>
  <c r="L37" i="63"/>
  <c r="C91" i="117"/>
  <c r="C92"/>
  <c r="O46" i="24"/>
  <c r="C71"/>
  <c r="L71"/>
  <c r="G98" i="87"/>
  <c r="G93"/>
  <c r="G129"/>
  <c r="G156"/>
  <c r="G158"/>
  <c r="E107" i="24"/>
  <c r="E109"/>
  <c r="H37"/>
  <c r="C158" i="118"/>
  <c r="C65" i="120"/>
  <c r="C90"/>
  <c r="D154" i="87"/>
  <c r="F18" i="66"/>
  <c r="F19" i="24"/>
  <c r="F37"/>
  <c r="O15"/>
  <c r="C96" i="119"/>
  <c r="C132" s="1"/>
  <c r="C158" s="1"/>
  <c r="C37" i="3"/>
  <c r="C156" i="87"/>
  <c r="I16" i="66"/>
  <c r="I18"/>
  <c r="I9"/>
  <c r="D18"/>
  <c r="O14" i="24"/>
  <c r="C35"/>
  <c r="O35"/>
  <c r="O25"/>
  <c r="E34" i="87"/>
  <c r="C118" i="1"/>
  <c r="C40"/>
  <c r="C38" s="1"/>
  <c r="C66" s="1"/>
  <c r="C47" i="2"/>
  <c r="O65" i="24"/>
  <c r="E71"/>
  <c r="F154" i="87"/>
  <c r="D155" i="121"/>
  <c r="D65" i="120"/>
  <c r="D90"/>
  <c r="D118" i="119"/>
  <c r="F93" i="87"/>
  <c r="F129"/>
  <c r="F156"/>
  <c r="D43" i="116"/>
  <c r="D71"/>
  <c r="D96"/>
  <c r="E89" i="3"/>
  <c r="E89" i="119"/>
  <c r="E96" i="120"/>
  <c r="E131"/>
  <c r="E157"/>
  <c r="E65" i="121"/>
  <c r="E90"/>
  <c r="E118" i="3"/>
  <c r="O47" i="24"/>
  <c r="H71"/>
  <c r="H73"/>
  <c r="O68"/>
  <c r="D89" i="119"/>
  <c r="F34" i="87"/>
  <c r="F62"/>
  <c r="F88"/>
  <c r="F158"/>
  <c r="E9" i="1"/>
  <c r="E66"/>
  <c r="E123" i="116"/>
  <c r="I91" i="24"/>
  <c r="I109"/>
  <c r="L109"/>
  <c r="O90"/>
  <c r="J107"/>
  <c r="J109"/>
  <c r="N107"/>
  <c r="N109"/>
  <c r="C95" i="116"/>
  <c r="C96"/>
  <c r="L55" i="24"/>
  <c r="L73"/>
  <c r="F71"/>
  <c r="F73"/>
  <c r="O60"/>
  <c r="O67"/>
  <c r="D95" i="116"/>
  <c r="O48" i="24"/>
  <c r="E55"/>
  <c r="E73"/>
  <c r="D37" i="119"/>
  <c r="D65"/>
  <c r="D90"/>
  <c r="G154" i="87"/>
  <c r="F91" i="24"/>
  <c r="F109"/>
  <c r="O85"/>
  <c r="O95"/>
  <c r="C107"/>
  <c r="O96"/>
  <c r="O104"/>
  <c r="O106"/>
  <c r="D158" i="117"/>
  <c r="D30" i="1"/>
  <c r="D90"/>
  <c r="D118"/>
  <c r="E37" i="3"/>
  <c r="E65" i="120"/>
  <c r="E90"/>
  <c r="G34" i="87"/>
  <c r="D107" i="24"/>
  <c r="H107"/>
  <c r="H109"/>
  <c r="O107"/>
  <c r="O109"/>
  <c r="L107"/>
  <c r="O98"/>
  <c r="O103"/>
  <c r="G5" i="87"/>
  <c r="G62"/>
  <c r="G88"/>
  <c r="O19" i="24"/>
  <c r="O37"/>
  <c r="C109"/>
  <c r="F60" i="63"/>
  <c r="O71" i="24"/>
  <c r="O73"/>
  <c r="C73"/>
  <c r="D156" i="87"/>
  <c r="D109" i="24"/>
  <c r="O91"/>
  <c r="D159" i="117"/>
  <c r="C37" i="24"/>
  <c r="K31" i="73"/>
  <c r="E96" i="119"/>
  <c r="E132"/>
  <c r="E158" s="1"/>
  <c r="E137" i="116"/>
  <c r="E163"/>
  <c r="E71"/>
  <c r="E96"/>
  <c r="E133" i="117"/>
  <c r="E159"/>
  <c r="G145" i="24"/>
  <c r="D145"/>
  <c r="H145"/>
  <c r="L145"/>
  <c r="C127"/>
  <c r="O131"/>
  <c r="H154" i="87"/>
  <c r="F65" i="121"/>
  <c r="F90"/>
  <c r="F155"/>
  <c r="F118" i="119"/>
  <c r="F132" s="1"/>
  <c r="F158" s="1"/>
  <c r="F157"/>
  <c r="E20" i="73"/>
  <c r="E30"/>
  <c r="E31"/>
  <c r="F158" i="118"/>
  <c r="C145" i="24"/>
  <c r="F133" i="117"/>
  <c r="F159"/>
  <c r="K145" i="24"/>
  <c r="C181"/>
  <c r="O163"/>
  <c r="D181"/>
  <c r="H181"/>
  <c r="L181"/>
  <c r="O154"/>
  <c r="O167"/>
  <c r="I154" i="87"/>
  <c r="G155" i="121"/>
  <c r="G65"/>
  <c r="G90"/>
  <c r="G157" i="119"/>
  <c r="G89" i="3"/>
  <c r="F20" i="61"/>
  <c r="F19"/>
  <c r="F31"/>
  <c r="F32"/>
  <c r="F20" i="73"/>
  <c r="F30"/>
  <c r="F31"/>
  <c r="G66" i="118"/>
  <c r="G91"/>
  <c r="G158"/>
  <c r="G67" i="117"/>
  <c r="G92"/>
  <c r="E58" i="413"/>
  <c r="I93" i="87"/>
  <c r="I129"/>
  <c r="I156"/>
  <c r="I158"/>
  <c r="F47" i="2"/>
  <c r="I62" i="87"/>
  <c r="I88"/>
  <c r="G65" i="119"/>
  <c r="G90"/>
  <c r="G65" i="3"/>
  <c r="G90"/>
  <c r="G96" i="119"/>
  <c r="N181" i="24"/>
  <c r="E163" i="1"/>
  <c r="F66"/>
  <c r="F158"/>
  <c r="G163"/>
  <c r="D163"/>
  <c r="E91"/>
  <c r="C163"/>
  <c r="G157"/>
  <c r="C158"/>
  <c r="D66"/>
  <c r="D97"/>
  <c r="D132"/>
  <c r="D158"/>
  <c r="E97"/>
  <c r="E132"/>
  <c r="E158"/>
  <c r="F163"/>
  <c r="G97"/>
  <c r="G132"/>
  <c r="G158"/>
  <c r="G66"/>
  <c r="G102" i="116"/>
  <c r="G137"/>
  <c r="G163"/>
  <c r="G71"/>
  <c r="G96"/>
  <c r="D162" i="1"/>
  <c r="D91"/>
  <c r="E162"/>
  <c r="F91"/>
  <c r="F162"/>
  <c r="G162"/>
  <c r="G91"/>
  <c r="C91" l="1"/>
  <c r="C162"/>
</calcChain>
</file>

<file path=xl/comments1.xml><?xml version="1.0" encoding="utf-8"?>
<comments xmlns="http://schemas.openxmlformats.org/spreadsheetml/2006/main">
  <authors>
    <author>penzugy3</author>
  </authors>
  <commentList>
    <comment ref="M18" authorId="0">
      <text>
        <r>
          <rPr>
            <b/>
            <sz val="9"/>
            <color indexed="81"/>
            <rFont val="Tahoma"/>
            <family val="2"/>
            <charset val="238"/>
          </rPr>
          <t>penzugy3:</t>
        </r>
        <r>
          <rPr>
            <sz val="9"/>
            <color indexed="81"/>
            <rFont val="Tahoma"/>
            <family val="2"/>
            <charset val="238"/>
          </rPr>
          <t xml:space="preserve">
bruttó összeg eltérés
</t>
        </r>
      </text>
    </comment>
  </commentList>
</comments>
</file>

<file path=xl/sharedStrings.xml><?xml version="1.0" encoding="utf-8"?>
<sst xmlns="http://schemas.openxmlformats.org/spreadsheetml/2006/main" count="5499" uniqueCount="770">
  <si>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</si>
  <si>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</si>
  <si>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</si>
  <si>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</si>
  <si>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</si>
  <si>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</si>
  <si>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</si>
  <si>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</si>
  <si>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</si>
  <si>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</si>
  <si>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</si>
  <si>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</si>
  <si>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</si>
  <si>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</si>
  <si>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</si>
  <si>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</si>
  <si>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</si>
  <si>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</si>
  <si>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</si>
  <si>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</si>
  <si>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</si>
  <si>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</si>
  <si>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</si>
  <si>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</si>
  <si>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</si>
  <si>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</si>
  <si>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</si>
  <si>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</si>
  <si>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</si>
  <si>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</si>
  <si>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</si>
  <si>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</si>
  <si>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</si>
  <si>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</si>
  <si>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</si>
  <si>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</si>
  <si>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</si>
  <si>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</si>
  <si>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</si>
  <si>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</si>
  <si>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</si>
  <si>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</si>
  <si>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</si>
  <si>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</si>
  <si>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</si>
  <si>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</si>
  <si>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</si>
  <si>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</si>
  <si>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</si>
  <si>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</si>
  <si>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</si>
  <si>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</si>
  <si>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</si>
  <si>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</si>
  <si>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</si>
  <si>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</si>
  <si>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</si>
  <si>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</si>
  <si>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</si>
  <si>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</si>
  <si>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</si>
  <si>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</si>
  <si>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</si>
  <si>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</si>
  <si>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</si>
  <si>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</si>
  <si>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</si>
  <si>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</si>
  <si>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</si>
  <si>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</si>
  <si>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</si>
  <si>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</si>
  <si>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</si>
  <si>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</si>
  <si>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</si>
  <si>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</si>
  <si>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</si>
  <si>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</si>
  <si>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</si>
  <si>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</si>
  <si>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</si>
  <si>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</si>
  <si>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</si>
  <si>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</si>
  <si>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</si>
  <si>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</si>
  <si>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</si>
  <si>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</si>
  <si>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</si>
  <si>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</si>
  <si>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</si>
  <si>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</si>
  <si>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</si>
  <si>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</si>
  <si>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</si>
  <si>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</si>
  <si>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</si>
  <si>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</si>
  <si>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</si>
  <si>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</si>
  <si>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</si>
  <si>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</si>
  <si>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</si>
  <si>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</si>
  <si>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</si>
  <si>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</si>
  <si>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</si>
  <si>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</si>
  <si>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</si>
  <si>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</si>
  <si>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</si>
  <si>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</si>
  <si>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</si>
  <si>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</si>
  <si>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</si>
  <si>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</si>
  <si>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</si>
  <si>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</si>
  <si>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</si>
  <si>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</si>
  <si>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</si>
  <si>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</si>
  <si>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</si>
  <si>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</si>
  <si>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</si>
  <si>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</si>
  <si>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</si>
  <si>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</si>
  <si>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</si>
  <si>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</si>
  <si>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</si>
  <si>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</si>
  <si>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</si>
  <si>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</si>
  <si>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</si>
  <si>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</si>
  <si>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</si>
  <si>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</si>
  <si>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</si>
  <si>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</si>
  <si>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</si>
  <si>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</si>
  <si>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</si>
  <si>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</si>
  <si>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</si>
  <si>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</si>
  <si>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</si>
  <si>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</si>
  <si>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</si>
  <si>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</si>
  <si>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</si>
  <si>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</si>
  <si>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</si>
  <si>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</si>
  <si>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</si>
  <si>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</si>
  <si>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</si>
  <si>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</si>
  <si>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</si>
  <si>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</si>
  <si>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</si>
  <si>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</si>
  <si>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</si>
  <si>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</si>
  <si>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</si>
  <si>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</si>
  <si>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</si>
  <si>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</si>
  <si>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</si>
  <si>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</si>
  <si>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</si>
  <si>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</si>
  <si>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</si>
  <si>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</si>
  <si>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</si>
  <si>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</si>
  <si>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</si>
  <si>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</si>
  <si>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</si>
  <si>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</si>
  <si>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</si>
  <si>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</si>
  <si>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</si>
  <si>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</si>
  <si>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</si>
  <si>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</si>
  <si>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</si>
  <si>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</si>
  <si>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</si>
  <si>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</si>
  <si>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</si>
  <si>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</si>
  <si>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</si>
  <si>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</si>
  <si>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</si>
  <si>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</si>
  <si>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</si>
  <si>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</si>
  <si>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</si>
  <si>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</si>
  <si>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</si>
  <si>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</si>
  <si>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</si>
  <si>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</si>
  <si>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</si>
  <si>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</si>
  <si>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</si>
  <si>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</si>
  <si>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</si>
  <si>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</si>
  <si>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</si>
  <si>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</si>
  <si>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</si>
  <si>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</si>
  <si>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</si>
  <si>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</si>
  <si>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</si>
  <si>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</si>
  <si>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</si>
  <si>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</si>
  <si>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</si>
  <si>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</si>
  <si>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</si>
  <si>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</si>
  <si>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</si>
  <si>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</si>
  <si>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</si>
  <si>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</si>
  <si>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</si>
  <si>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</si>
  <si>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</si>
  <si>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</si>
  <si>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</si>
  <si>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</si>
  <si>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</si>
  <si>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</si>
  <si>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</si>
  <si>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</si>
  <si>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</si>
  <si>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</si>
  <si>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</si>
  <si>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</si>
  <si>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</si>
  <si>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</si>
  <si>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</si>
  <si>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</si>
  <si>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</si>
  <si>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</si>
  <si>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</si>
  <si>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</si>
  <si>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</si>
  <si>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</si>
  <si>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</si>
  <si>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</si>
  <si>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</si>
  <si>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</si>
  <si>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</si>
  <si>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</si>
  <si>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</si>
  <si>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</si>
  <si>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</si>
  <si>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</si>
  <si>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</si>
  <si>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</si>
  <si>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</si>
  <si>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</si>
  <si>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</si>
  <si>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</si>
  <si>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</si>
  <si>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</si>
  <si>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</si>
  <si>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</si>
  <si>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</si>
  <si>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</si>
  <si>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</si>
  <si>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</si>
  <si>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</si>
  <si>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</si>
  <si>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</si>
  <si>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</si>
  <si>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</si>
  <si>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</si>
  <si>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</si>
  <si>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</si>
  <si>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</si>
  <si>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</si>
  <si>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</si>
  <si>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</si>
  <si>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</si>
  <si>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</si>
  <si>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</si>
  <si>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</si>
  <si>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</si>
  <si>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</si>
  <si>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</si>
  <si>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</si>
  <si>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</si>
  <si>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</si>
  <si>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</si>
  <si>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</si>
  <si>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</si>
  <si>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</si>
  <si>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</si>
  <si>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</si>
  <si>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</si>
  <si>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</si>
  <si>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</si>
  <si>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</si>
  <si>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</si>
  <si>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</si>
  <si>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</si>
  <si>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</si>
  <si>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</si>
  <si>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</si>
  <si>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</si>
  <si>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</si>
  <si>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</si>
  <si>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</si>
  <si>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</si>
  <si>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</si>
  <si>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</si>
  <si>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</si>
  <si>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</si>
  <si>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</si>
  <si>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</si>
  <si>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</si>
  <si>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</si>
  <si>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</si>
  <si>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</si>
  <si>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</si>
  <si>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</si>
  <si>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</si>
  <si>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</si>
  <si>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</si>
  <si>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</si>
  <si>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</si>
  <si>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</si>
  <si>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</si>
  <si>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</si>
  <si>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</si>
  <si>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</si>
  <si>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</si>
  <si>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</si>
  <si>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</si>
  <si>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</si>
  <si>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</si>
  <si>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</si>
  <si>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</si>
  <si>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</si>
  <si>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</si>
  <si>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</si>
  <si>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</si>
  <si>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</si>
  <si>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</si>
  <si>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</si>
  <si>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</si>
  <si>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</si>
  <si>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</si>
  <si>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</si>
  <si>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</si>
  <si>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</si>
  <si>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</si>
  <si>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</si>
  <si>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</si>
  <si>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</si>
  <si>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</si>
  <si>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</si>
  <si>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</si>
  <si>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</si>
  <si>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</si>
  <si>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</si>
  <si>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</si>
  <si>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</si>
  <si>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</si>
  <si>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</si>
  <si>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</si>
  <si>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</si>
  <si>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</si>
  <si>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</si>
  <si>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</si>
  <si>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</si>
  <si>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</si>
  <si>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</si>
  <si>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</si>
  <si>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</si>
  <si>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</si>
  <si>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</si>
  <si>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</si>
  <si>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</si>
  <si>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</si>
  <si>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</si>
  <si>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</si>
  <si>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</si>
  <si>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</si>
  <si>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</si>
  <si>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</si>
  <si>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</si>
  <si>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</si>
  <si>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</si>
  <si>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</si>
  <si>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</si>
  <si>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</si>
  <si>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</si>
  <si>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</si>
  <si>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</si>
  <si>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</si>
  <si>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</si>
  <si>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</si>
  <si>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</si>
  <si>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</si>
  <si>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</si>
  <si>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</si>
  <si>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</si>
  <si>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</si>
  <si>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</si>
  <si>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</si>
  <si>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</si>
  <si>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</si>
  <si>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</si>
  <si>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</si>
  <si>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</si>
  <si>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</si>
  <si>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</si>
  <si>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</si>
  <si>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</si>
  <si>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</si>
  <si>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</si>
  <si>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</si>
  <si>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</si>
  <si>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</si>
  <si>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</si>
  <si>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</si>
  <si>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</si>
  <si>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</si>
  <si>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</si>
  <si>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</si>
  <si>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</si>
  <si>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</si>
  <si>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</si>
  <si>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</si>
  <si>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</si>
  <si>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</si>
  <si>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</si>
  <si>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</si>
  <si>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</si>
  <si>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</si>
  <si>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</si>
  <si>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</si>
  <si>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</si>
  <si>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</si>
  <si>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</si>
  <si>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</si>
  <si>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</si>
  <si>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</si>
  <si>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</si>
  <si>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</si>
  <si>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</si>
  <si>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</si>
  <si>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</si>
  <si>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</si>
  <si>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</si>
  <si>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</si>
  <si>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</si>
  <si>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</si>
  <si>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</si>
  <si>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</si>
  <si>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</si>
  <si>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</si>
  <si>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</si>
  <si>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</si>
  <si>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</si>
  <si>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</si>
  <si>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</si>
  <si>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</si>
  <si>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</si>
  <si>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</si>
  <si>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</si>
  <si>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</si>
  <si>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</si>
  <si>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</si>
  <si>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</si>
  <si>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</si>
  <si>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</si>
  <si>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</si>
  <si>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</si>
  <si>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</si>
  <si>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</si>
  <si>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</si>
  <si>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</si>
  <si>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</si>
  <si>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</si>
  <si>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</si>
  <si>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</si>
  <si>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</si>
  <si>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</si>
  <si>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</si>
  <si>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</si>
  <si>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</si>
  <si>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</si>
  <si>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</si>
  <si>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</si>
  <si>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</si>
  <si>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</si>
  <si>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</si>
  <si>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</si>
  <si>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</si>
  <si>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</si>
  <si>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</si>
  <si>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</si>
  <si>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</si>
  <si>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</si>
  <si>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</si>
  <si>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</si>
  <si>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</si>
  <si>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</si>
  <si>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</si>
  <si>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</si>
  <si>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</si>
  <si>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</si>
  <si>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</si>
  <si>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</si>
  <si>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</si>
  <si>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</si>
  <si>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</si>
  <si>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</si>
  <si>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</si>
  <si>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</si>
  <si>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</si>
  <si>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</si>
  <si>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</si>
  <si>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</si>
  <si>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</si>
  <si>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</si>
  <si>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</si>
  <si>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</si>
  <si>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</si>
  <si>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</si>
  <si>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</si>
  <si>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</si>
  <si>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</si>
  <si>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</si>
  <si>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</si>
  <si>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</si>
  <si>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</si>
  <si>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</si>
  <si>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</si>
  <si>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</si>
  <si>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</si>
  <si>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</si>
  <si>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</si>
  <si>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</si>
  <si>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</si>
  <si>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</si>
  <si>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11749039-1543436</t>
  </si>
  <si>
    <t>Tartalék</t>
  </si>
  <si>
    <t>Függő, átfutó, kiegyenlítő bevételek</t>
  </si>
  <si>
    <t>Függő, átfutó, kiegyenlítő kiadások</t>
  </si>
  <si>
    <t>Helyi adók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</si>
  <si>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</si>
  <si>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</si>
  <si>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</si>
  <si>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</si>
  <si>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</si>
  <si>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</si>
  <si>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</si>
  <si>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</si>
  <si>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</si>
  <si>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</si>
  <si>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</si>
  <si>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Gyermekétkeztetés dolgozói bértámogatása</t>
  </si>
  <si>
    <t>Gyermekétkeztetés üzemeltetési támogatása</t>
  </si>
  <si>
    <t>Üdülőhelyi feladatok</t>
  </si>
  <si>
    <t>Bérkompenzáció</t>
  </si>
  <si>
    <t>Központi, irányítószervi támogatás</t>
  </si>
  <si>
    <t>működési költségek</t>
  </si>
  <si>
    <t>Egyéb áruhasználati és szolgáltatási adók (idegenforgalmi adó)</t>
  </si>
  <si>
    <t>ÁHT-on belüli megelőlegezések visszafizetése</t>
  </si>
  <si>
    <t>BEVÉTELEK</t>
  </si>
  <si>
    <t>Sorszám</t>
  </si>
  <si>
    <t>Len-Ki Baba Kft</t>
  </si>
  <si>
    <t xml:space="preserve">K I M U T A T Á S </t>
  </si>
  <si>
    <t>Ft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</si>
  <si>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</si>
  <si>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</si>
  <si>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</si>
  <si>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</si>
  <si>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</si>
  <si>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</si>
  <si>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2018.</t>
  </si>
  <si>
    <t>Forint</t>
  </si>
  <si>
    <t>Felhalmozási célú támogatások Áht-n belül</t>
  </si>
  <si>
    <t>Működési célú támogatások Áht-n belül</t>
  </si>
  <si>
    <t>Működési célú támogatások Áht-n kívül</t>
  </si>
  <si>
    <t>Vagyoni típusú adók (építményadó)</t>
  </si>
  <si>
    <t>Termékek és szolgáltatások adói</t>
  </si>
  <si>
    <t>2019.</t>
  </si>
  <si>
    <t>2020.</t>
  </si>
  <si>
    <t>Hozzájárulás  (Ft)</t>
  </si>
  <si>
    <t>Eszközbeszerzés-gép,berendezés (Polgármester)</t>
  </si>
  <si>
    <t>Eszközbeszerzés-informatikai (Polgármester)</t>
  </si>
  <si>
    <t>Eszközbeszerzés-informatikai (Gyermekorvos)</t>
  </si>
  <si>
    <t>Eszközbeszerzés-gép,berendezés (védőnő)</t>
  </si>
  <si>
    <t>Beruházás (immateriális javak) összesen:</t>
  </si>
  <si>
    <t>Beruházás (ingatlan) összesen:</t>
  </si>
  <si>
    <t>Beruházás (informatikai eszköz) összesen:</t>
  </si>
  <si>
    <t>Beruházás (gép,berendezés) összesen:</t>
  </si>
  <si>
    <t>BERUHÁZÁS MINDÖSSZESEN:</t>
  </si>
  <si>
    <t>Pályázati támogatás</t>
  </si>
  <si>
    <t>BERUHÁZÁS</t>
  </si>
  <si>
    <t>Önerő</t>
  </si>
  <si>
    <t>Pályázati önrész</t>
  </si>
  <si>
    <t>FELÚJÍTÁS</t>
  </si>
  <si>
    <t>Vajda János Öregdiákok Egyesülete</t>
  </si>
  <si>
    <t>Felhaszánálási hely</t>
  </si>
  <si>
    <t>Temető</t>
  </si>
  <si>
    <t>Felhasználási hely</t>
  </si>
  <si>
    <t>Város- és községgazdálkodás</t>
  </si>
  <si>
    <t>Strand</t>
  </si>
  <si>
    <t>Közvilágítás</t>
  </si>
  <si>
    <t>Igazgatás</t>
  </si>
  <si>
    <t>Gyermekorvos</t>
  </si>
  <si>
    <t>Védőnő</t>
  </si>
  <si>
    <t>Eszközbeszerzés-gép,berendezés (gyermekorvos)</t>
  </si>
  <si>
    <t>Elvonások és befizetések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</si>
  <si>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</si>
  <si>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</si>
  <si>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kulturális támogatás (kulturális illetménypótlék)</t>
  </si>
  <si>
    <t>Város-és községgazd</t>
  </si>
  <si>
    <t>Részesedés beszerzés összesen: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</si>
  <si>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</si>
  <si>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</si>
  <si>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</si>
  <si>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 xml:space="preserve">Beruházás (ingatlan)(pályázat-piac)(nyilvános wc, út, járda, csapadékvíz, piactér lefedése) </t>
  </si>
  <si>
    <t>Beruházás (gép, berendezés)(pályázat-piac)(árusító asztal, mobil árusítóhely, térbútorok, hordozható számítógép)</t>
  </si>
  <si>
    <t>Beruházás (gép, berendezés)(pályázat-mondák)(berendezések, informatikai-audiovizuális eszközök, élményelemek, szoftverek)</t>
  </si>
  <si>
    <t>Beruházás (ingatlan)(pályázat-mondák)(telek vásárlás, látogatóközpont épülete, külső játszótér, kézműves pince, alkotó terasz, parkoló)</t>
  </si>
  <si>
    <t xml:space="preserve">Vonyarcvashegy Sportegyesület </t>
  </si>
  <si>
    <t>Lakossági víz-csatornaszolgáltatási támogatás</t>
  </si>
  <si>
    <t>Kiegészítő, központosított előirányzat</t>
  </si>
  <si>
    <t>Egyéb kulturális támogatás (könyvtári érdekeltségnövelő támogatás)</t>
  </si>
  <si>
    <t>Temetői kőkeresztek felújítása</t>
  </si>
  <si>
    <t>Közös Hivatal felújítása</t>
  </si>
  <si>
    <t>Szociális tűzifa támogatás</t>
  </si>
  <si>
    <t>Morzsa Állatvédelmi Alapítvány</t>
  </si>
  <si>
    <t>VONYARVASHEGY NAGYKÖZSÉG ÖNKORMÁNYZAT</t>
  </si>
  <si>
    <t>KÖTELEZŐ FELADATOK</t>
  </si>
  <si>
    <t>ÖNKÉNT VÁLLALT FELADATOK</t>
  </si>
  <si>
    <t>ÁLLAMI (ÁLLAMIGAZGATÁSI) FELADATOK</t>
  </si>
  <si>
    <t>2021.</t>
  </si>
  <si>
    <t>Díjak, pótlékok, bírságok, talajterhelési díj</t>
  </si>
  <si>
    <t>Bírság-, pótlék- és díjbevétel, talajterhelési díj</t>
  </si>
  <si>
    <t>Polgármesteri illetmény támogatása</t>
  </si>
  <si>
    <t>Járdafelújítás (strand)</t>
  </si>
  <si>
    <t>Műfüves pálya labdafogó hálótartó oszlopok</t>
  </si>
  <si>
    <t>Önkorm.vagyonnal való gazd.</t>
  </si>
  <si>
    <t>Kisajátítás-kártalanítás (Mondák Háza)</t>
  </si>
  <si>
    <t>Emléktábla (Tóvölgyi László)</t>
  </si>
  <si>
    <t>Beruházás (ingatlan)(strand)</t>
  </si>
  <si>
    <t>Kamerarendszer (temető)</t>
  </si>
  <si>
    <t>4. tájékoztató tábla</t>
  </si>
  <si>
    <t>2020. évi</t>
  </si>
  <si>
    <t>2021. évi</t>
  </si>
  <si>
    <t>Forintban</t>
  </si>
  <si>
    <t xml:space="preserve">                              ebből: Közművelődési érdekeltségnövelő pályázati önerő</t>
  </si>
  <si>
    <t>Külterületi utak fejlesztése (külterületi utak pályázat)</t>
  </si>
  <si>
    <t>Belterületi utak</t>
  </si>
  <si>
    <t>Szoftver (strand)</t>
  </si>
  <si>
    <t>felhalmozási c.támogatás (eszközbeszerzés)</t>
  </si>
  <si>
    <t>Felhalmozási célú támogatások</t>
  </si>
  <si>
    <t>Tálcacsúszda (önkorm.étkeztetési fejlesztések támog.pályázat)</t>
  </si>
  <si>
    <t>Gyermekétkeztetés</t>
  </si>
  <si>
    <t>Tálcakocsi, tálca (önkorm.étkeztetési fejlesztések támog.pályázat)</t>
  </si>
  <si>
    <t>2019. ÉVI KÖLTSÉGVETÉSÉNEK ÖSSZEVONT MÉRLEGE</t>
  </si>
  <si>
    <t>Vonyarcvashegy Nagyközség Önkormányzata  2019. évi adósságot keletkeztető fejlesztési céljai</t>
  </si>
  <si>
    <t>Felhasználás 2018.12.31-ig</t>
  </si>
  <si>
    <t>2020.után</t>
  </si>
  <si>
    <t>Önkormányzaton kívüli EU-s projektekhez történő hozzájárulás 2019. évi előirányzat</t>
  </si>
  <si>
    <t>Vonyarcvashegy, 2019. .......................... hó .....nap</t>
  </si>
  <si>
    <t>2017. évi tény</t>
  </si>
  <si>
    <t>2018. évi várható</t>
  </si>
  <si>
    <t>2018. év előtti kifizetés</t>
  </si>
  <si>
    <t>2020. után</t>
  </si>
  <si>
    <t>2022. évi</t>
  </si>
  <si>
    <t>a 2019. évben céljelleggel juttatott támogatásokról</t>
  </si>
  <si>
    <t>Támogatás összege (2019.01)</t>
  </si>
  <si>
    <t>A 2019. évi működési és felhalmozási feladatok állami támogatásának alakulása jogcímenként</t>
  </si>
  <si>
    <t>2019. évi támogatás (2019.01)</t>
  </si>
  <si>
    <t>Előirányzat-felhasználási terv 2019. évre</t>
  </si>
  <si>
    <t>(2019.01)</t>
  </si>
  <si>
    <t>2019. év utáni szükséglet</t>
  </si>
  <si>
    <t>Eredeti előirányzat (2019.01)</t>
  </si>
  <si>
    <t>2019. ÉVI KÖLTSÉGVETÉSÉNEK MÉRLEGE</t>
  </si>
  <si>
    <t>6. melléklet a …/2019.(…) önkormányzati rendelethez</t>
  </si>
  <si>
    <t xml:space="preserve"> 1.2. melléklet a ........./2019. () önkormányzati rendelethez</t>
  </si>
  <si>
    <t>Bérkompenzáció (2019. év)</t>
  </si>
  <si>
    <t>2018. évi pótigény</t>
  </si>
  <si>
    <t>Csalogány utca aszfaltozás, padka építés</t>
  </si>
  <si>
    <t>2019-2019</t>
  </si>
  <si>
    <t>Településfejlesztés</t>
  </si>
  <si>
    <t>2018-2019</t>
  </si>
  <si>
    <t>Eszközfelújítás (strand)</t>
  </si>
  <si>
    <t>Eszközbeszerzés (kandelláber, lámpatestek)</t>
  </si>
  <si>
    <t>Részesedés beszerzés</t>
  </si>
  <si>
    <t xml:space="preserve">Óvoda étkező bejárati ajtaja </t>
  </si>
  <si>
    <t>Bölcsöde építése (tervezési díj)</t>
  </si>
  <si>
    <t>Eszközbeszerzés-gép,berendezés (város-községgazdálkodás)(pl. tűzoltóautó, utánfutó)</t>
  </si>
  <si>
    <t>Színpad (pályázat-színpad)</t>
  </si>
  <si>
    <t>Eszközbeszerzés-gép,berendezés (háziorvos, iskolaorvos)</t>
  </si>
  <si>
    <t>Háziorvos, Ifjuság-eü.gond.</t>
  </si>
  <si>
    <t>BERUHÁZÁSi (felhalmozási) kiadások előirányzata beruházásonként</t>
  </si>
  <si>
    <t>FELÚJÍTÁSi kiadások előirányzata felújításonként</t>
  </si>
  <si>
    <t>Éves eredeti kiadási előirányzat: 1.154.843.483 Ft</t>
  </si>
  <si>
    <t>Keszthely és Környéke Egészségügyéért Alapítvány</t>
  </si>
  <si>
    <t>Támogatás összege (2019.03)</t>
  </si>
  <si>
    <t>2019. évi támogatás (2019.03)</t>
  </si>
  <si>
    <t>(2019.03)</t>
  </si>
  <si>
    <t>Módosított előirányzat (2019.03)</t>
  </si>
  <si>
    <t>Kiegyenlítő bérrendezési alap</t>
  </si>
  <si>
    <t>Szabályozási terv (településrendezési terv) módosítása</t>
  </si>
  <si>
    <t>Módosított előirányzat (2019.06)</t>
  </si>
  <si>
    <t>(2019.06)</t>
  </si>
  <si>
    <t>2019. évi támogatás (2019.06)</t>
  </si>
  <si>
    <t>Támogatás összege (2019.06)</t>
  </si>
  <si>
    <t>Kinizsi és Kisfaludy utcák felújítása</t>
  </si>
  <si>
    <t>Beruházás (ingatlan)(strand)(911/14 Hrsz térkő burkolás)</t>
  </si>
  <si>
    <r>
      <t xml:space="preserve">   Működési költségvetés kiadásai </t>
    </r>
    <r>
      <rPr>
        <sz val="12"/>
        <rFont val="Times New Roman CE"/>
        <charset val="238"/>
      </rPr>
      <t>(1.1+…+1.5.+1.18.)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</si>
  <si>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</si>
  <si>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Keszthelyi Mentők Alapítvány</t>
  </si>
  <si>
    <t>Arany Híd Horgászegyesület</t>
  </si>
  <si>
    <t>Módosított előirányzat (2019.09)</t>
  </si>
  <si>
    <t>(2019.09)</t>
  </si>
  <si>
    <t>Támogatás összege (2019.09)</t>
  </si>
  <si>
    <t>Orvos</t>
  </si>
  <si>
    <t>2019-2020</t>
  </si>
  <si>
    <t>Eszközbeszerzés-gép,berendezés (orvos)(MFP-AEE/2019 pályázat)</t>
  </si>
  <si>
    <t>Eszközbeszerzés-informatikai (orvos)(MFP-AEE/2019 pályázat)</t>
  </si>
  <si>
    <t>Minimálbér és a garantált bérminimum emelés hatásának kompenzációja</t>
  </si>
  <si>
    <t>* szociális étkeztetés</t>
  </si>
  <si>
    <t>* gyermekétkeztetés</t>
  </si>
  <si>
    <t>Eszközbeszerzés-gép, berendezés-rack szekrény (szerver helyiség)</t>
  </si>
  <si>
    <t>Útépítés</t>
  </si>
  <si>
    <t>Településfejlesztési projektek</t>
  </si>
  <si>
    <t>Jó adatszolgáltató önkormányzatok támogatása</t>
  </si>
  <si>
    <t>Kossuth L. u. járda felújítás (É-i szakasz)</t>
  </si>
  <si>
    <t>Eszközbeszerzés-gép,berendezés (strand)(pl. röplabdapálya fejlesztése, elektromos autó, kamerák)</t>
  </si>
  <si>
    <t>Office szoftver (orvos)(MFP-AEE/2019 pályázat)</t>
  </si>
  <si>
    <t xml:space="preserve">Csapadékvíz tervezés </t>
  </si>
  <si>
    <t>Közút fenntartás</t>
  </si>
  <si>
    <t>Ebből: 824.364 Ft a közművelődési érdekeltségnövelő pályázat önrésze</t>
  </si>
  <si>
    <t>2019. évi támogatás (2019.09)</t>
  </si>
  <si>
    <t>Módosított előirányzat (2019.12)</t>
  </si>
  <si>
    <t>(2019.12)</t>
  </si>
  <si>
    <t>2019. évi támogatás (2019.12)</t>
  </si>
  <si>
    <t>Támogatás összege (2019.12)</t>
  </si>
  <si>
    <t>Orvosi szolgálati lakás (MFP-FOL/2019 pályázat)</t>
  </si>
  <si>
    <t>2019-2021</t>
  </si>
  <si>
    <t>Járda építés, felújítás (MFP-BJA/2019 pályázat)(Kossuth L. u. járda)</t>
  </si>
  <si>
    <t>Ingatlan vásárlás (2005/9 Hrsz)</t>
  </si>
  <si>
    <t>2.1. melléklet a 19/2019. (XII.20.) önkormányzati rendelethez</t>
  </si>
  <si>
    <t>2.2. melléklet a 19/2019. (XII.20.) önkormányzati rendelethez</t>
  </si>
  <si>
    <t>9.1. melléklet a 19/2019. (XII.20.) önkormányzati rendelethez</t>
  </si>
  <si>
    <t>9.1.1. melléklet a 19/2019. (XII.20.) önkormányzati rendelethez</t>
  </si>
  <si>
    <t>9.1.2. melléklet a 19/2019. (XII.20.) önkormányzati rendelethez</t>
  </si>
  <si>
    <t>9.1.3. melléklet a 19/2019. (XII.20.) önkormányzati rendelethez</t>
  </si>
  <si>
    <t>9.2. melléklet a 19/2019. (XII.20.) önkormányzati rendelethez</t>
  </si>
  <si>
    <t>9.2.(2-1) melléklet a 19/2019. (XII.20.) önkormányzati rendelethez</t>
  </si>
  <si>
    <t>9.2.(2-2) melléklet a 19/2019. (XII.20.) önkormányzati rendelethez</t>
  </si>
  <si>
    <t>9.2.1. melléklet a 19/2019. (XII.20.) önkormányzati rendelethez</t>
  </si>
  <si>
    <t>9.2.2. melléklet a 19/2019. (XII.20.) önkormányzati rendelethez</t>
  </si>
  <si>
    <t>9.2.3. melléklet a 19/2019. (XII.20.)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</si>
</sst>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</numFmts>
  <fonts count="50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860">
    <xf numFmtId="0" fontId="0" fillId="0" borderId="0" xfId="0"/>
    <xf numFmtId="166" fontId="9" fillId="0" borderId="0" xfId="0" applyNumberFormat="1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left" vertical="center" wrapText="1" indent="1"/>
    </xf>
    <xf numFmtId="0" fontId="18" fillId="0" borderId="11" xfId="4" applyFont="1" applyBorder="1" applyAlignment="1">
      <alignment horizontal="left" vertical="center" wrapText="1" indent="1"/>
    </xf>
    <xf numFmtId="0" fontId="18" fillId="0" borderId="12" xfId="4" applyFont="1" applyBorder="1" applyAlignment="1">
      <alignment horizontal="left" vertical="center" wrapText="1" indent="1"/>
    </xf>
    <xf numFmtId="0" fontId="18" fillId="0" borderId="13" xfId="4" applyFont="1" applyBorder="1" applyAlignment="1">
      <alignment horizontal="left" vertical="center" wrapText="1" indent="1"/>
    </xf>
    <xf numFmtId="0" fontId="16" fillId="0" borderId="7" xfId="4" applyFont="1" applyBorder="1" applyAlignment="1">
      <alignment horizontal="left" vertical="center" wrapText="1" indent="1"/>
    </xf>
    <xf numFmtId="166" fontId="6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166" fontId="15" fillId="0" borderId="0" xfId="0" applyNumberFormat="1" applyFont="1" applyAlignment="1">
      <alignment horizontal="right" vertical="center" wrapText="1" indent="1"/>
    </xf>
    <xf numFmtId="0" fontId="15" fillId="0" borderId="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6" fontId="6" fillId="0" borderId="17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vertical="center" wrapText="1"/>
    </xf>
    <xf numFmtId="3" fontId="14" fillId="0" borderId="8" xfId="0" applyNumberFormat="1" applyFont="1" applyBorder="1" applyAlignment="1" applyProtection="1">
      <alignment horizontal="right" vertical="center" wrapText="1" indent="1"/>
      <protection locked="0"/>
    </xf>
    <xf numFmtId="0" fontId="11" fillId="0" borderId="6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5" fillId="0" borderId="19" xfId="4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18" fillId="0" borderId="0" xfId="4" applyFont="1"/>
    <xf numFmtId="0" fontId="15" fillId="0" borderId="6" xfId="4" applyFont="1" applyBorder="1" applyAlignment="1">
      <alignment horizontal="left" vertical="center" wrapText="1" indent="1"/>
    </xf>
    <xf numFmtId="0" fontId="15" fillId="0" borderId="7" xfId="4" applyFont="1" applyBorder="1" applyAlignment="1">
      <alignment horizontal="left" vertical="center" wrapText="1" indent="1"/>
    </xf>
    <xf numFmtId="166" fontId="15" fillId="0" borderId="8" xfId="4" applyNumberFormat="1" applyFont="1" applyBorder="1" applyAlignment="1">
      <alignment horizontal="right" vertical="center" wrapText="1" indent="1"/>
    </xf>
    <xf numFmtId="0" fontId="24" fillId="0" borderId="0" xfId="4" applyFont="1"/>
    <xf numFmtId="49" fontId="18" fillId="0" borderId="20" xfId="4" applyNumberFormat="1" applyFont="1" applyBorder="1" applyAlignment="1">
      <alignment horizontal="left" vertical="center" wrapText="1" indent="1"/>
    </xf>
    <xf numFmtId="0" fontId="25" fillId="0" borderId="13" xfId="0" applyFont="1" applyBorder="1" applyAlignment="1">
      <alignment horizontal="left" wrapText="1" indent="1"/>
    </xf>
    <xf numFmtId="166" fontId="18" fillId="0" borderId="14" xfId="4" applyNumberFormat="1" applyFont="1" applyBorder="1" applyAlignment="1" applyProtection="1">
      <alignment horizontal="right" vertical="center" wrapText="1" indent="1"/>
      <protection locked="0"/>
    </xf>
    <xf numFmtId="49" fontId="18" fillId="0" borderId="21" xfId="4" applyNumberFormat="1" applyFont="1" applyBorder="1" applyAlignment="1">
      <alignment horizontal="left" vertical="center" wrapText="1" indent="1"/>
    </xf>
    <xf numFmtId="0" fontId="25" fillId="0" borderId="11" xfId="0" applyFont="1" applyBorder="1" applyAlignment="1">
      <alignment horizontal="left" wrapText="1" indent="1"/>
    </xf>
    <xf numFmtId="166" fontId="18" fillId="0" borderId="17" xfId="4" applyNumberFormat="1" applyFont="1" applyBorder="1" applyAlignment="1" applyProtection="1">
      <alignment horizontal="right" vertical="center" wrapText="1" indent="1"/>
      <protection locked="0"/>
    </xf>
    <xf numFmtId="0" fontId="25" fillId="0" borderId="11" xfId="0" applyFont="1" applyBorder="1" applyAlignment="1">
      <alignment horizontal="left" vertical="center" wrapText="1" indent="1"/>
    </xf>
    <xf numFmtId="49" fontId="18" fillId="0" borderId="22" xfId="4" applyNumberFormat="1" applyFont="1" applyBorder="1" applyAlignment="1">
      <alignment horizontal="left" vertical="center" wrapText="1" indent="1"/>
    </xf>
    <xf numFmtId="0" fontId="25" fillId="0" borderId="23" xfId="0" applyFont="1" applyBorder="1" applyAlignment="1">
      <alignment horizontal="left" vertical="center" wrapText="1" indent="1"/>
    </xf>
    <xf numFmtId="0" fontId="20" fillId="0" borderId="7" xfId="0" applyFont="1" applyBorder="1" applyAlignment="1">
      <alignment horizontal="left" vertical="center" wrapText="1" indent="1"/>
    </xf>
    <xf numFmtId="166" fontId="18" fillId="0" borderId="24" xfId="4" applyNumberFormat="1" applyFont="1" applyBorder="1" applyAlignment="1" applyProtection="1">
      <alignment horizontal="right" vertical="center" wrapText="1" indent="1"/>
      <protection locked="0"/>
    </xf>
    <xf numFmtId="0" fontId="25" fillId="0" borderId="23" xfId="0" applyFont="1" applyBorder="1" applyAlignment="1">
      <alignment horizontal="left" wrapText="1" indent="1"/>
    </xf>
    <xf numFmtId="166" fontId="16" fillId="0" borderId="8" xfId="4" applyNumberFormat="1" applyFont="1" applyBorder="1" applyAlignment="1">
      <alignment horizontal="right" vertical="center" wrapText="1" indent="1"/>
    </xf>
    <xf numFmtId="166" fontId="18" fillId="0" borderId="14" xfId="4" applyNumberFormat="1" applyFont="1" applyBorder="1" applyAlignment="1">
      <alignment horizontal="right" vertical="center" wrapText="1" indent="1"/>
    </xf>
    <xf numFmtId="0" fontId="25" fillId="0" borderId="11" xfId="0" quotePrefix="1" applyFont="1" applyBorder="1" applyAlignment="1">
      <alignment horizontal="left" wrapText="1" indent="1"/>
    </xf>
    <xf numFmtId="166" fontId="6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6" fillId="0" borderId="24" xfId="4" applyNumberFormat="1" applyFont="1" applyBorder="1" applyAlignment="1" applyProtection="1">
      <alignment horizontal="right" vertical="center" wrapText="1" indent="1"/>
      <protection locked="0"/>
    </xf>
    <xf numFmtId="166" fontId="6" fillId="0" borderId="14" xfId="4" applyNumberFormat="1" applyFont="1" applyBorder="1" applyAlignment="1" applyProtection="1">
      <alignment horizontal="right" vertical="center" wrapText="1" indent="1"/>
      <protection locked="0"/>
    </xf>
    <xf numFmtId="0" fontId="15" fillId="0" borderId="6" xfId="4" applyFont="1" applyBorder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20" xfId="0" applyFont="1" applyBorder="1" applyAlignment="1">
      <alignment wrapText="1"/>
    </xf>
    <xf numFmtId="0" fontId="25" fillId="0" borderId="21" xfId="0" applyFont="1" applyBorder="1" applyAlignment="1">
      <alignment wrapText="1"/>
    </xf>
    <xf numFmtId="0" fontId="25" fillId="0" borderId="22" xfId="0" applyFont="1" applyBorder="1" applyAlignment="1">
      <alignment wrapText="1"/>
    </xf>
    <xf numFmtId="166" fontId="15" fillId="0" borderId="8" xfId="4" applyNumberFormat="1" applyFont="1" applyBorder="1" applyAlignment="1" applyProtection="1">
      <alignment horizontal="right" vertical="center" wrapText="1" indent="1"/>
      <protection locked="0"/>
    </xf>
    <xf numFmtId="0" fontId="20" fillId="0" borderId="7" xfId="0" applyFont="1" applyBorder="1" applyAlignment="1">
      <alignment wrapText="1"/>
    </xf>
    <xf numFmtId="0" fontId="20" fillId="0" borderId="25" xfId="0" applyFont="1" applyBorder="1" applyAlignment="1">
      <alignment vertical="center" wrapText="1"/>
    </xf>
    <xf numFmtId="0" fontId="20" fillId="0" borderId="26" xfId="0" applyFont="1" applyBorder="1" applyAlignment="1">
      <alignment wrapText="1"/>
    </xf>
    <xf numFmtId="0" fontId="12" fillId="0" borderId="0" xfId="4" applyFont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15" fillId="0" borderId="19" xfId="4" applyFont="1" applyBorder="1" applyAlignment="1">
      <alignment horizontal="left" vertical="center" wrapText="1" indent="1"/>
    </xf>
    <xf numFmtId="0" fontId="15" fillId="0" borderId="5" xfId="4" applyFont="1" applyBorder="1" applyAlignment="1">
      <alignment vertical="center" wrapText="1"/>
    </xf>
    <xf numFmtId="166" fontId="15" fillId="0" borderId="27" xfId="4" applyNumberFormat="1" applyFont="1" applyBorder="1" applyAlignment="1">
      <alignment horizontal="right" vertical="center" wrapText="1" indent="1"/>
    </xf>
    <xf numFmtId="49" fontId="18" fillId="0" borderId="28" xfId="4" applyNumberFormat="1" applyFont="1" applyBorder="1" applyAlignment="1">
      <alignment horizontal="left" vertical="center" wrapText="1" indent="1"/>
    </xf>
    <xf numFmtId="166" fontId="18" fillId="0" borderId="29" xfId="4" applyNumberFormat="1" applyFont="1" applyBorder="1" applyAlignment="1" applyProtection="1">
      <alignment horizontal="right" vertical="center" wrapText="1" indent="1"/>
      <protection locked="0"/>
    </xf>
    <xf numFmtId="0" fontId="18" fillId="0" borderId="30" xfId="4" applyFont="1" applyBorder="1" applyAlignment="1">
      <alignment horizontal="left" vertical="center" wrapText="1" indent="1"/>
    </xf>
    <xf numFmtId="0" fontId="18" fillId="0" borderId="0" xfId="4" applyFont="1" applyAlignment="1">
      <alignment horizontal="left" vertical="center" wrapText="1" indent="1"/>
    </xf>
    <xf numFmtId="0" fontId="18" fillId="0" borderId="23" xfId="4" applyFont="1" applyBorder="1" applyAlignment="1">
      <alignment horizontal="left" vertical="center" wrapText="1" indent="6"/>
    </xf>
    <xf numFmtId="0" fontId="18" fillId="0" borderId="11" xfId="4" applyFont="1" applyBorder="1" applyAlignment="1">
      <alignment horizontal="left" indent="6"/>
    </xf>
    <xf numFmtId="0" fontId="18" fillId="0" borderId="11" xfId="4" applyFont="1" applyBorder="1" applyAlignment="1">
      <alignment horizontal="left" vertical="center" wrapText="1" indent="6"/>
    </xf>
    <xf numFmtId="49" fontId="18" fillId="0" borderId="31" xfId="4" applyNumberFormat="1" applyFont="1" applyBorder="1" applyAlignment="1">
      <alignment horizontal="left" vertical="center" wrapText="1" indent="1"/>
    </xf>
    <xf numFmtId="49" fontId="18" fillId="0" borderId="32" xfId="4" applyNumberFormat="1" applyFont="1" applyBorder="1" applyAlignment="1">
      <alignment horizontal="left" vertical="center" wrapText="1" indent="1"/>
    </xf>
    <xf numFmtId="0" fontId="18" fillId="0" borderId="3" xfId="4" applyFont="1" applyBorder="1" applyAlignment="1">
      <alignment horizontal="left" vertical="center" wrapText="1" indent="7"/>
    </xf>
    <xf numFmtId="166" fontId="18" fillId="0" borderId="15" xfId="4" applyNumberFormat="1" applyFont="1" applyBorder="1" applyAlignment="1" applyProtection="1">
      <alignment horizontal="right" vertical="center" wrapText="1" indent="1"/>
      <protection locked="0"/>
    </xf>
    <xf numFmtId="0" fontId="15" fillId="0" borderId="25" xfId="4" applyFont="1" applyBorder="1" applyAlignment="1">
      <alignment horizontal="left" vertical="center" wrapText="1" indent="1"/>
    </xf>
    <xf numFmtId="0" fontId="15" fillId="0" borderId="26" xfId="4" applyFont="1" applyBorder="1" applyAlignment="1">
      <alignment vertical="center" wrapText="1"/>
    </xf>
    <xf numFmtId="0" fontId="18" fillId="0" borderId="23" xfId="4" applyFont="1" applyBorder="1" applyAlignment="1">
      <alignment horizontal="left" vertical="center" wrapText="1" indent="1"/>
    </xf>
    <xf numFmtId="166" fontId="18" fillId="0" borderId="33" xfId="4" applyNumberFormat="1" applyFont="1" applyBorder="1" applyAlignment="1" applyProtection="1">
      <alignment horizontal="right" vertical="center" wrapText="1" indent="1"/>
      <protection locked="0"/>
    </xf>
    <xf numFmtId="0" fontId="18" fillId="0" borderId="13" xfId="4" applyFont="1" applyBorder="1" applyAlignment="1">
      <alignment horizontal="left" vertical="center" wrapText="1" indent="6"/>
    </xf>
    <xf numFmtId="166" fontId="18" fillId="0" borderId="34" xfId="4" applyNumberFormat="1" applyFont="1" applyBorder="1" applyAlignment="1" applyProtection="1">
      <alignment horizontal="right" vertical="center" wrapText="1" indent="1"/>
      <protection locked="0"/>
    </xf>
    <xf numFmtId="166" fontId="20" fillId="0" borderId="8" xfId="0" applyNumberFormat="1" applyFont="1" applyBorder="1" applyAlignment="1">
      <alignment horizontal="right" vertical="center" wrapText="1" indent="1"/>
    </xf>
    <xf numFmtId="166" fontId="21" fillId="0" borderId="8" xfId="0" quotePrefix="1" applyNumberFormat="1" applyFont="1" applyBorder="1" applyAlignment="1">
      <alignment horizontal="right" vertical="center" wrapText="1" indent="1"/>
    </xf>
    <xf numFmtId="0" fontId="7" fillId="0" borderId="0" xfId="4" applyFont="1"/>
    <xf numFmtId="0" fontId="20" fillId="0" borderId="25" xfId="0" applyFont="1" applyBorder="1" applyAlignment="1">
      <alignment horizontal="left" vertical="center" wrapText="1" indent="1"/>
    </xf>
    <xf numFmtId="0" fontId="21" fillId="0" borderId="26" xfId="0" applyFont="1" applyBorder="1" applyAlignment="1">
      <alignment horizontal="left" vertical="center" wrapText="1" indent="1"/>
    </xf>
    <xf numFmtId="0" fontId="15" fillId="0" borderId="7" xfId="4" applyFont="1" applyBorder="1" applyAlignment="1">
      <alignment vertical="center" wrapText="1"/>
    </xf>
    <xf numFmtId="166" fontId="9" fillId="0" borderId="0" xfId="0" applyNumberFormat="1" applyFont="1" applyAlignment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11" fillId="0" borderId="29" xfId="0" quotePrefix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35" xfId="0" applyFont="1" applyBorder="1" applyAlignment="1">
      <alignment vertical="center"/>
    </xf>
    <xf numFmtId="49" fontId="11" fillId="0" borderId="36" xfId="0" applyNumberFormat="1" applyFont="1" applyBorder="1" applyAlignment="1">
      <alignment horizontal="right" vertical="center" inden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6" fontId="11" fillId="0" borderId="34" xfId="0" applyNumberFormat="1" applyFont="1" applyBorder="1" applyAlignment="1">
      <alignment horizontal="right" vertical="center" wrapText="1" indent="1"/>
    </xf>
    <xf numFmtId="0" fontId="27" fillId="0" borderId="13" xfId="0" applyFont="1" applyBorder="1" applyAlignment="1">
      <alignment horizontal="left" wrapText="1" indent="1"/>
    </xf>
    <xf numFmtId="0" fontId="27" fillId="0" borderId="11" xfId="0" applyFont="1" applyBorder="1" applyAlignment="1">
      <alignment horizontal="left" wrapText="1" indent="1"/>
    </xf>
    <xf numFmtId="0" fontId="27" fillId="0" borderId="11" xfId="0" quotePrefix="1" applyFont="1" applyBorder="1" applyAlignment="1">
      <alignment horizontal="left" wrapText="1" indent="1"/>
    </xf>
    <xf numFmtId="0" fontId="27" fillId="0" borderId="23" xfId="0" applyFont="1" applyBorder="1" applyAlignment="1">
      <alignment horizontal="left" wrapText="1" indent="1"/>
    </xf>
    <xf numFmtId="0" fontId="18" fillId="0" borderId="11" xfId="4" applyFont="1" applyBorder="1" applyAlignment="1">
      <alignment horizontal="left" vertical="center" wrapText="1" indent="7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9" fillId="0" borderId="0" xfId="4" applyFont="1"/>
    <xf numFmtId="166" fontId="29" fillId="0" borderId="0" xfId="4" applyNumberFormat="1" applyFont="1" applyAlignment="1">
      <alignment horizontal="centerContinuous" vertical="center"/>
    </xf>
    <xf numFmtId="0" fontId="30" fillId="0" borderId="0" xfId="0" applyFont="1" applyAlignment="1">
      <alignment horizontal="right"/>
    </xf>
    <xf numFmtId="0" fontId="31" fillId="0" borderId="0" xfId="0" applyFont="1"/>
    <xf numFmtId="0" fontId="15" fillId="0" borderId="28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15" fillId="0" borderId="29" xfId="4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8" fillId="0" borderId="28" xfId="4" applyFont="1" applyBorder="1" applyAlignment="1">
      <alignment horizontal="center" vertical="center"/>
    </xf>
    <xf numFmtId="0" fontId="18" fillId="0" borderId="2" xfId="4" applyFont="1" applyBorder="1" applyProtection="1">
      <protection locked="0"/>
    </xf>
    <xf numFmtId="168" fontId="18" fillId="0" borderId="29" xfId="1" applyNumberFormat="1" applyFont="1" applyBorder="1" applyProtection="1">
      <protection locked="0"/>
    </xf>
    <xf numFmtId="0" fontId="18" fillId="0" borderId="21" xfId="4" applyFont="1" applyBorder="1" applyAlignment="1">
      <alignment horizontal="center" vertical="center"/>
    </xf>
    <xf numFmtId="0" fontId="18" fillId="0" borderId="11" xfId="4" applyFont="1" applyBorder="1" applyProtection="1">
      <protection locked="0"/>
    </xf>
    <xf numFmtId="168" fontId="18" fillId="0" borderId="17" xfId="1" applyNumberFormat="1" applyFont="1" applyBorder="1" applyProtection="1">
      <protection locked="0"/>
    </xf>
    <xf numFmtId="0" fontId="18" fillId="0" borderId="22" xfId="4" applyFont="1" applyBorder="1" applyAlignment="1">
      <alignment horizontal="center" vertical="center"/>
    </xf>
    <xf numFmtId="0" fontId="18" fillId="0" borderId="23" xfId="4" applyFont="1" applyBorder="1" applyProtection="1">
      <protection locked="0"/>
    </xf>
    <xf numFmtId="168" fontId="18" fillId="0" borderId="24" xfId="1" applyNumberFormat="1" applyFont="1" applyBorder="1" applyProtection="1">
      <protection locked="0"/>
    </xf>
    <xf numFmtId="0" fontId="15" fillId="0" borderId="6" xfId="4" applyFont="1" applyBorder="1" applyAlignment="1">
      <alignment horizontal="center" vertical="center"/>
    </xf>
    <xf numFmtId="0" fontId="15" fillId="0" borderId="7" xfId="4" applyFont="1" applyBorder="1" applyAlignment="1">
      <alignment horizontal="left" vertical="center" wrapText="1"/>
    </xf>
    <xf numFmtId="168" fontId="15" fillId="0" borderId="8" xfId="1" applyNumberFormat="1" applyFont="1" applyBorder="1"/>
    <xf numFmtId="0" fontId="29" fillId="0" borderId="0" xfId="4" applyFont="1"/>
    <xf numFmtId="0" fontId="16" fillId="0" borderId="28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28" xfId="4" applyFont="1" applyBorder="1" applyAlignment="1">
      <alignment horizontal="center" vertical="center"/>
    </xf>
    <xf numFmtId="0" fontId="6" fillId="0" borderId="13" xfId="4" applyFont="1" applyBorder="1"/>
    <xf numFmtId="0" fontId="6" fillId="0" borderId="21" xfId="4" applyFont="1" applyBorder="1" applyAlignment="1">
      <alignment horizontal="center" vertical="center"/>
    </xf>
    <xf numFmtId="0" fontId="10" fillId="0" borderId="11" xfId="0" applyFont="1" applyBorder="1" applyAlignment="1">
      <alignment horizontal="justify" wrapText="1"/>
    </xf>
    <xf numFmtId="0" fontId="10" fillId="0" borderId="11" xfId="0" applyFont="1" applyBorder="1" applyAlignment="1">
      <alignment wrapText="1"/>
    </xf>
    <xf numFmtId="0" fontId="6" fillId="0" borderId="22" xfId="4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0" fontId="24" fillId="0" borderId="6" xfId="4" applyFont="1" applyBorder="1" applyAlignment="1">
      <alignment horizontal="center" vertical="center"/>
    </xf>
    <xf numFmtId="0" fontId="24" fillId="0" borderId="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24" fillId="0" borderId="13" xfId="4" applyFont="1" applyBorder="1" applyProtection="1">
      <protection locked="0"/>
    </xf>
    <xf numFmtId="0" fontId="24" fillId="0" borderId="21" xfId="4" applyFont="1" applyBorder="1" applyAlignment="1">
      <alignment horizontal="center" vertical="center"/>
    </xf>
    <xf numFmtId="0" fontId="24" fillId="0" borderId="11" xfId="4" applyFont="1" applyBorder="1" applyProtection="1">
      <protection locked="0"/>
    </xf>
    <xf numFmtId="0" fontId="24" fillId="0" borderId="22" xfId="4" applyFont="1" applyBorder="1" applyAlignment="1">
      <alignment horizontal="center" vertical="center"/>
    </xf>
    <xf numFmtId="0" fontId="24" fillId="0" borderId="23" xfId="4" applyFont="1" applyBorder="1" applyProtection="1">
      <protection locked="0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/>
    <xf numFmtId="49" fontId="33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Continuous" vertical="center" wrapText="1"/>
    </xf>
    <xf numFmtId="166" fontId="32" fillId="0" borderId="6" xfId="0" applyNumberFormat="1" applyFont="1" applyBorder="1" applyAlignment="1">
      <alignment horizontal="centerContinuous" vertical="center" wrapText="1"/>
    </xf>
    <xf numFmtId="166" fontId="32" fillId="0" borderId="6" xfId="0" applyNumberFormat="1" applyFont="1" applyBorder="1" applyAlignment="1">
      <alignment horizontal="center" vertical="center" wrapText="1"/>
    </xf>
    <xf numFmtId="166" fontId="35" fillId="0" borderId="0" xfId="0" applyNumberFormat="1" applyFont="1" applyAlignment="1">
      <alignment horizontal="center" vertical="center" wrapText="1"/>
    </xf>
    <xf numFmtId="166" fontId="16" fillId="0" borderId="37" xfId="0" applyNumberFormat="1" applyFont="1" applyBorder="1" applyAlignment="1">
      <alignment horizontal="center" vertical="center" wrapText="1"/>
    </xf>
    <xf numFmtId="166" fontId="16" fillId="0" borderId="6" xfId="0" applyNumberFormat="1" applyFont="1" applyBorder="1" applyAlignment="1">
      <alignment horizontal="center" vertical="center" wrapText="1"/>
    </xf>
    <xf numFmtId="166" fontId="16" fillId="0" borderId="8" xfId="0" applyNumberFormat="1" applyFont="1" applyBorder="1" applyAlignment="1">
      <alignment horizontal="center" vertical="center" wrapText="1"/>
    </xf>
    <xf numFmtId="166" fontId="6" fillId="0" borderId="20" xfId="0" applyNumberFormat="1" applyFont="1" applyBorder="1" applyAlignment="1">
      <alignment horizontal="left" vertical="center" wrapText="1" indent="1"/>
    </xf>
    <xf numFmtId="166" fontId="6" fillId="0" borderId="21" xfId="0" applyNumberFormat="1" applyFont="1" applyBorder="1" applyAlignment="1">
      <alignment horizontal="left" vertical="center" wrapText="1" indent="1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21" xfId="0" quotePrefix="1" applyNumberFormat="1" applyFont="1" applyBorder="1" applyAlignment="1" applyProtection="1">
      <alignment horizontal="left" vertical="center" wrapText="1" indent="6"/>
      <protection locked="0"/>
    </xf>
    <xf numFmtId="166" fontId="6" fillId="0" borderId="21" xfId="0" applyNumberFormat="1" applyFont="1" applyBorder="1" applyAlignment="1" applyProtection="1">
      <alignment horizontal="left" vertical="center" wrapText="1" indent="1"/>
      <protection locked="0"/>
    </xf>
    <xf numFmtId="166" fontId="6" fillId="0" borderId="21" xfId="0" quotePrefix="1" applyNumberFormat="1" applyFont="1" applyBorder="1" applyAlignment="1" applyProtection="1">
      <alignment horizontal="left" vertical="center" wrapText="1" indent="3"/>
      <protection locked="0"/>
    </xf>
    <xf numFmtId="166" fontId="6" fillId="0" borderId="31" xfId="0" applyNumberFormat="1" applyFont="1" applyBorder="1" applyAlignment="1" applyProtection="1">
      <alignment horizontal="left" vertical="center" wrapText="1" indent="1"/>
      <protection locked="0"/>
    </xf>
    <xf numFmtId="166" fontId="6" fillId="0" borderId="31" xfId="0" applyNumberFormat="1" applyFont="1" applyBorder="1" applyAlignment="1">
      <alignment horizontal="left" vertical="center" wrapText="1" indent="1"/>
    </xf>
    <xf numFmtId="166" fontId="35" fillId="0" borderId="37" xfId="0" applyNumberFormat="1" applyFont="1" applyBorder="1" applyAlignment="1">
      <alignment horizontal="left" vertical="center" wrapText="1" indent="1"/>
    </xf>
    <xf numFmtId="166" fontId="16" fillId="0" borderId="6" xfId="0" applyNumberFormat="1" applyFont="1" applyBorder="1" applyAlignment="1">
      <alignment horizontal="left" vertical="center" wrapText="1" indent="1"/>
    </xf>
    <xf numFmtId="166" fontId="36" fillId="0" borderId="31" xfId="0" applyNumberFormat="1" applyFont="1" applyBorder="1" applyAlignment="1">
      <alignment horizontal="left" vertical="center" wrapText="1" indent="1"/>
    </xf>
    <xf numFmtId="166" fontId="6" fillId="0" borderId="21" xfId="0" applyNumberFormat="1" applyFont="1" applyBorder="1" applyAlignment="1">
      <alignment horizontal="left" vertical="center" wrapText="1" indent="2"/>
    </xf>
    <xf numFmtId="166" fontId="6" fillId="0" borderId="11" xfId="0" applyNumberFormat="1" applyFont="1" applyBorder="1" applyAlignment="1">
      <alignment horizontal="left" vertical="center" wrapText="1" indent="2"/>
    </xf>
    <xf numFmtId="166" fontId="36" fillId="0" borderId="11" xfId="0" applyNumberFormat="1" applyFont="1" applyBorder="1" applyAlignment="1">
      <alignment horizontal="left" vertical="center" wrapText="1" indent="1"/>
    </xf>
    <xf numFmtId="166" fontId="6" fillId="0" borderId="20" xfId="0" applyNumberFormat="1" applyFont="1" applyBorder="1" applyAlignment="1" applyProtection="1">
      <alignment horizontal="left" vertical="center" wrapText="1" indent="1"/>
      <protection locked="0"/>
    </xf>
    <xf numFmtId="166" fontId="6" fillId="0" borderId="20" xfId="0" applyNumberFormat="1" applyFont="1" applyBorder="1" applyAlignment="1">
      <alignment horizontal="left" vertical="center" wrapText="1" indent="2"/>
    </xf>
    <xf numFmtId="166" fontId="6" fillId="0" borderId="22" xfId="0" applyNumberFormat="1" applyFont="1" applyBorder="1" applyAlignment="1">
      <alignment horizontal="left" vertical="center" wrapText="1" indent="2"/>
    </xf>
    <xf numFmtId="166" fontId="35" fillId="0" borderId="6" xfId="0" applyNumberFormat="1" applyFont="1" applyBorder="1" applyAlignment="1">
      <alignment horizontal="left" vertical="center" wrapText="1" indent="1"/>
    </xf>
    <xf numFmtId="166" fontId="16" fillId="0" borderId="0" xfId="0" applyNumberFormat="1" applyFont="1" applyAlignment="1">
      <alignment horizontal="center" vertical="center" wrapText="1"/>
    </xf>
    <xf numFmtId="166" fontId="6" fillId="0" borderId="38" xfId="0" applyNumberFormat="1" applyFont="1" applyBorder="1" applyAlignment="1">
      <alignment horizontal="left" vertical="center" wrapText="1" indent="1"/>
    </xf>
    <xf numFmtId="3" fontId="7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3" fontId="7" fillId="0" borderId="39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49" fontId="18" fillId="0" borderId="20" xfId="4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18" fillId="0" borderId="21" xfId="4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18" fillId="0" borderId="22" xfId="4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wrapText="1"/>
    </xf>
    <xf numFmtId="0" fontId="25" fillId="0" borderId="23" xfId="0" applyFont="1" applyBorder="1" applyAlignment="1">
      <alignment wrapText="1"/>
    </xf>
    <xf numFmtId="0" fontId="25" fillId="0" borderId="20" xfId="0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22" fillId="0" borderId="0" xfId="0" applyFont="1" applyAlignment="1">
      <alignment vertical="center" wrapText="1"/>
    </xf>
    <xf numFmtId="49" fontId="18" fillId="0" borderId="28" xfId="4" applyNumberFormat="1" applyFont="1" applyBorder="1" applyAlignment="1">
      <alignment horizontal="center" vertical="center" wrapText="1"/>
    </xf>
    <xf numFmtId="49" fontId="18" fillId="0" borderId="31" xfId="4" applyNumberFormat="1" applyFont="1" applyBorder="1" applyAlignment="1">
      <alignment horizontal="center" vertical="center" wrapText="1"/>
    </xf>
    <xf numFmtId="49" fontId="18" fillId="0" borderId="32" xfId="4" applyNumberFormat="1" applyFont="1" applyBorder="1" applyAlignment="1">
      <alignment horizontal="center" vertical="center" wrapText="1"/>
    </xf>
    <xf numFmtId="0" fontId="18" fillId="0" borderId="3" xfId="4" applyFont="1" applyBorder="1" applyAlignment="1">
      <alignment horizontal="left" vertical="center" wrapText="1" indent="6"/>
    </xf>
    <xf numFmtId="49" fontId="16" fillId="0" borderId="6" xfId="4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166" fontId="35" fillId="0" borderId="6" xfId="0" applyNumberFormat="1" applyFont="1" applyBorder="1" applyAlignment="1">
      <alignment horizontal="center" vertical="center" wrapText="1"/>
    </xf>
    <xf numFmtId="166" fontId="35" fillId="0" borderId="18" xfId="0" applyNumberFormat="1" applyFont="1" applyBorder="1" applyAlignment="1">
      <alignment horizontal="center" vertical="center" wrapText="1"/>
    </xf>
    <xf numFmtId="166" fontId="35" fillId="0" borderId="25" xfId="0" applyNumberFormat="1" applyFont="1" applyBorder="1" applyAlignment="1">
      <alignment horizontal="center" vertical="center" wrapText="1"/>
    </xf>
    <xf numFmtId="166" fontId="35" fillId="0" borderId="39" xfId="0" applyNumberFormat="1" applyFont="1" applyBorder="1" applyAlignment="1">
      <alignment horizontal="center" vertical="center" wrapText="1"/>
    </xf>
    <xf numFmtId="166" fontId="35" fillId="0" borderId="0" xfId="0" applyNumberFormat="1" applyFont="1" applyAlignment="1">
      <alignment vertical="center" wrapText="1"/>
    </xf>
    <xf numFmtId="0" fontId="14" fillId="0" borderId="6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left" vertical="center" wrapText="1" indent="1"/>
    </xf>
    <xf numFmtId="0" fontId="14" fillId="0" borderId="7" xfId="4" applyFont="1" applyBorder="1" applyAlignment="1">
      <alignment horizontal="left" vertical="center" wrapText="1" indent="1"/>
    </xf>
    <xf numFmtId="49" fontId="24" fillId="0" borderId="20" xfId="4" applyNumberFormat="1" applyFont="1" applyBorder="1" applyAlignment="1">
      <alignment horizontal="left" vertical="center" wrapText="1" indent="1"/>
    </xf>
    <xf numFmtId="49" fontId="24" fillId="0" borderId="21" xfId="4" applyNumberFormat="1" applyFont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49" fontId="24" fillId="0" borderId="22" xfId="4" applyNumberFormat="1" applyFont="1" applyBorder="1" applyAlignment="1">
      <alignment horizontal="left" vertical="center" wrapText="1" indent="1"/>
    </xf>
    <xf numFmtId="0" fontId="27" fillId="0" borderId="23" xfId="0" applyFont="1" applyBorder="1" applyAlignment="1">
      <alignment horizontal="left" vertical="center" wrapText="1" indent="1"/>
    </xf>
    <xf numFmtId="0" fontId="38" fillId="0" borderId="7" xfId="0" applyFont="1" applyBorder="1" applyAlignment="1">
      <alignment horizontal="left" vertical="center" wrapText="1" indent="1"/>
    </xf>
    <xf numFmtId="0" fontId="14" fillId="0" borderId="6" xfId="4" applyFont="1" applyBorder="1" applyAlignment="1">
      <alignment horizontal="left" vertical="center" wrapText="1"/>
    </xf>
    <xf numFmtId="0" fontId="38" fillId="0" borderId="6" xfId="0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0" fontId="27" fillId="0" borderId="20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27" fillId="0" borderId="22" xfId="0" applyFont="1" applyBorder="1" applyAlignment="1">
      <alignment wrapText="1"/>
    </xf>
    <xf numFmtId="0" fontId="38" fillId="0" borderId="7" xfId="0" applyFont="1" applyBorder="1" applyAlignment="1">
      <alignment wrapText="1"/>
    </xf>
    <xf numFmtId="0" fontId="38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wrapText="1"/>
    </xf>
    <xf numFmtId="0" fontId="14" fillId="0" borderId="19" xfId="4" applyFont="1" applyBorder="1" applyAlignment="1">
      <alignment horizontal="left" vertical="center" wrapText="1" indent="1"/>
    </xf>
    <xf numFmtId="0" fontId="14" fillId="0" borderId="5" xfId="4" applyFont="1" applyBorder="1" applyAlignment="1">
      <alignment vertical="center" wrapText="1"/>
    </xf>
    <xf numFmtId="49" fontId="24" fillId="0" borderId="28" xfId="4" applyNumberFormat="1" applyFont="1" applyBorder="1" applyAlignment="1">
      <alignment horizontal="left" vertical="center" wrapText="1" indent="1"/>
    </xf>
    <xf numFmtId="0" fontId="24" fillId="0" borderId="2" xfId="4" applyFont="1" applyBorder="1" applyAlignment="1">
      <alignment horizontal="left" vertical="center" wrapText="1" indent="1"/>
    </xf>
    <xf numFmtId="0" fontId="24" fillId="0" borderId="11" xfId="4" applyFont="1" applyBorder="1" applyAlignment="1">
      <alignment horizontal="left" vertical="center" wrapText="1" indent="1"/>
    </xf>
    <xf numFmtId="0" fontId="24" fillId="0" borderId="30" xfId="4" applyFont="1" applyBorder="1" applyAlignment="1">
      <alignment horizontal="left" vertical="center" wrapText="1" indent="1"/>
    </xf>
    <xf numFmtId="0" fontId="24" fillId="0" borderId="0" xfId="4" applyFont="1" applyAlignment="1">
      <alignment horizontal="left" vertical="center" wrapText="1" indent="1"/>
    </xf>
    <xf numFmtId="0" fontId="24" fillId="0" borderId="23" xfId="4" applyFont="1" applyBorder="1" applyAlignment="1">
      <alignment horizontal="left" vertical="center" wrapText="1" indent="6"/>
    </xf>
    <xf numFmtId="0" fontId="24" fillId="0" borderId="11" xfId="4" applyFont="1" applyBorder="1" applyAlignment="1">
      <alignment horizontal="left" indent="6"/>
    </xf>
    <xf numFmtId="0" fontId="24" fillId="0" borderId="11" xfId="4" applyFont="1" applyBorder="1" applyAlignment="1">
      <alignment horizontal="left" vertical="center" wrapText="1" indent="6"/>
    </xf>
    <xf numFmtId="49" fontId="24" fillId="0" borderId="31" xfId="4" applyNumberFormat="1" applyFont="1" applyBorder="1" applyAlignment="1">
      <alignment horizontal="left" vertical="center" wrapText="1" indent="1"/>
    </xf>
    <xf numFmtId="49" fontId="24" fillId="0" borderId="32" xfId="4" applyNumberFormat="1" applyFont="1" applyBorder="1" applyAlignment="1">
      <alignment horizontal="left" vertical="center" wrapText="1" indent="1"/>
    </xf>
    <xf numFmtId="0" fontId="24" fillId="0" borderId="3" xfId="4" applyFont="1" applyBorder="1" applyAlignment="1">
      <alignment horizontal="left" vertical="center" wrapText="1" indent="7"/>
    </xf>
    <xf numFmtId="0" fontId="14" fillId="0" borderId="25" xfId="4" applyFont="1" applyBorder="1" applyAlignment="1">
      <alignment horizontal="left" vertical="center" wrapText="1" indent="1"/>
    </xf>
    <xf numFmtId="0" fontId="14" fillId="0" borderId="26" xfId="4" applyFont="1" applyBorder="1" applyAlignment="1">
      <alignment vertical="center" wrapText="1"/>
    </xf>
    <xf numFmtId="0" fontId="24" fillId="0" borderId="23" xfId="4" applyFont="1" applyBorder="1" applyAlignment="1">
      <alignment horizontal="left" vertical="center" wrapText="1" indent="1"/>
    </xf>
    <xf numFmtId="0" fontId="24" fillId="0" borderId="13" xfId="4" applyFont="1" applyBorder="1" applyAlignment="1">
      <alignment horizontal="left" vertical="center" wrapText="1" indent="6"/>
    </xf>
    <xf numFmtId="0" fontId="35" fillId="0" borderId="7" xfId="4" applyFont="1" applyBorder="1" applyAlignment="1">
      <alignment horizontal="left" vertical="center" wrapText="1" indent="1"/>
    </xf>
    <xf numFmtId="0" fontId="24" fillId="0" borderId="13" xfId="4" applyFont="1" applyBorder="1" applyAlignment="1">
      <alignment horizontal="left" vertical="center" wrapText="1" indent="1"/>
    </xf>
    <xf numFmtId="0" fontId="24" fillId="0" borderId="12" xfId="4" applyFont="1" applyBorder="1" applyAlignment="1">
      <alignment horizontal="left" vertical="center" wrapText="1" indent="1"/>
    </xf>
    <xf numFmtId="0" fontId="35" fillId="0" borderId="26" xfId="4" applyFont="1" applyBorder="1" applyAlignment="1">
      <alignment horizontal="left" vertical="center" wrapText="1" indent="1"/>
    </xf>
    <xf numFmtId="0" fontId="38" fillId="0" borderId="25" xfId="0" applyFont="1" applyBorder="1" applyAlignment="1">
      <alignment horizontal="left" vertical="center" wrapText="1" indent="1"/>
    </xf>
    <xf numFmtId="0" fontId="38" fillId="0" borderId="26" xfId="0" applyFont="1" applyBorder="1" applyAlignment="1">
      <alignment horizontal="left" vertical="center" wrapText="1" indent="1"/>
    </xf>
    <xf numFmtId="0" fontId="8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40" fillId="0" borderId="0" xfId="0" applyFont="1"/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6" fontId="6" fillId="0" borderId="13" xfId="0" applyNumberFormat="1" applyFont="1" applyBorder="1" applyAlignment="1" applyProtection="1">
      <alignment vertical="center"/>
      <protection locked="0"/>
    </xf>
    <xf numFmtId="166" fontId="16" fillId="0" borderId="14" xfId="0" applyNumberFormat="1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166" fontId="6" fillId="0" borderId="11" xfId="0" applyNumberFormat="1" applyFont="1" applyBorder="1" applyAlignment="1" applyProtection="1">
      <alignment vertical="center"/>
      <protection locked="0"/>
    </xf>
    <xf numFmtId="166" fontId="16" fillId="0" borderId="17" xfId="0" applyNumberFormat="1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166" fontId="6" fillId="0" borderId="23" xfId="0" applyNumberFormat="1" applyFont="1" applyBorder="1" applyAlignment="1" applyProtection="1">
      <alignment vertical="center"/>
      <protection locked="0"/>
    </xf>
    <xf numFmtId="166" fontId="16" fillId="0" borderId="24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vertical="center" wrapText="1"/>
    </xf>
    <xf numFmtId="166" fontId="16" fillId="0" borderId="7" xfId="0" applyNumberFormat="1" applyFont="1" applyBorder="1" applyAlignment="1">
      <alignment vertical="center"/>
    </xf>
    <xf numFmtId="166" fontId="16" fillId="0" borderId="8" xfId="0" applyNumberFormat="1" applyFont="1" applyBorder="1" applyAlignment="1">
      <alignment vertical="center"/>
    </xf>
    <xf numFmtId="0" fontId="35" fillId="0" borderId="0" xfId="0" applyFont="1"/>
    <xf numFmtId="0" fontId="34" fillId="0" borderId="40" xfId="0" applyFont="1" applyBorder="1" applyAlignment="1">
      <alignment horizontal="center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right"/>
    </xf>
    <xf numFmtId="166" fontId="39" fillId="0" borderId="0" xfId="0" applyNumberFormat="1" applyFont="1" applyAlignment="1">
      <alignment vertical="center"/>
    </xf>
    <xf numFmtId="166" fontId="32" fillId="0" borderId="41" xfId="0" applyNumberFormat="1" applyFont="1" applyBorder="1" applyAlignment="1">
      <alignment horizontal="center" vertical="center"/>
    </xf>
    <xf numFmtId="166" fontId="32" fillId="0" borderId="15" xfId="0" applyNumberFormat="1" applyFont="1" applyBorder="1" applyAlignment="1">
      <alignment horizontal="center" vertical="center" wrapText="1"/>
    </xf>
    <xf numFmtId="166" fontId="39" fillId="0" borderId="0" xfId="0" applyNumberFormat="1" applyFont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 wrapText="1"/>
    </xf>
    <xf numFmtId="166" fontId="16" fillId="0" borderId="42" xfId="0" applyNumberFormat="1" applyFont="1" applyBorder="1" applyAlignment="1">
      <alignment horizontal="center" vertical="center" wrapText="1"/>
    </xf>
    <xf numFmtId="166" fontId="16" fillId="0" borderId="43" xfId="0" applyNumberFormat="1" applyFont="1" applyBorder="1" applyAlignment="1">
      <alignment horizontal="center" vertical="center" wrapText="1"/>
    </xf>
    <xf numFmtId="166" fontId="39" fillId="0" borderId="0" xfId="0" applyNumberFormat="1" applyFont="1" applyAlignment="1">
      <alignment horizontal="center" vertical="center" wrapText="1"/>
    </xf>
    <xf numFmtId="166" fontId="16" fillId="0" borderId="37" xfId="0" applyNumberFormat="1" applyFont="1" applyBorder="1" applyAlignment="1">
      <alignment horizontal="left" vertical="center" wrapText="1" indent="1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166" fontId="6" fillId="0" borderId="37" xfId="0" applyNumberFormat="1" applyFont="1" applyBorder="1" applyAlignment="1">
      <alignment vertical="center" wrapText="1"/>
    </xf>
    <xf numFmtId="166" fontId="6" fillId="0" borderId="6" xfId="0" applyNumberFormat="1" applyFont="1" applyBorder="1" applyAlignment="1">
      <alignment vertical="center" wrapText="1"/>
    </xf>
    <xf numFmtId="166" fontId="6" fillId="0" borderId="7" xfId="0" applyNumberFormat="1" applyFont="1" applyBorder="1" applyAlignment="1">
      <alignment vertical="center" wrapText="1"/>
    </xf>
    <xf numFmtId="166" fontId="6" fillId="0" borderId="8" xfId="0" applyNumberFormat="1" applyFont="1" applyBorder="1" applyAlignment="1">
      <alignment vertical="center" wrapText="1"/>
    </xf>
    <xf numFmtId="166" fontId="16" fillId="0" borderId="21" xfId="0" applyNumberFormat="1" applyFont="1" applyBorder="1" applyAlignment="1">
      <alignment horizontal="center" vertical="center" wrapText="1"/>
    </xf>
    <xf numFmtId="166" fontId="6" fillId="0" borderId="44" xfId="0" applyNumberFormat="1" applyFont="1" applyBorder="1" applyAlignment="1" applyProtection="1">
      <alignment horizontal="left" vertical="center" wrapText="1" indent="1"/>
      <protection locked="0"/>
    </xf>
    <xf numFmtId="166" fontId="6" fillId="0" borderId="44" xfId="0" applyNumberFormat="1" applyFont="1" applyBorder="1" applyAlignment="1" applyProtection="1">
      <alignment vertical="center" wrapText="1"/>
      <protection locked="0"/>
    </xf>
    <xf numFmtId="166" fontId="6" fillId="0" borderId="21" xfId="0" applyNumberFormat="1" applyFont="1" applyBorder="1" applyAlignment="1" applyProtection="1">
      <alignment vertical="center" wrapText="1"/>
      <protection locked="0"/>
    </xf>
    <xf numFmtId="166" fontId="6" fillId="0" borderId="11" xfId="0" applyNumberFormat="1" applyFont="1" applyBorder="1" applyAlignment="1" applyProtection="1">
      <alignment vertical="center" wrapText="1"/>
      <protection locked="0"/>
    </xf>
    <xf numFmtId="166" fontId="6" fillId="0" borderId="17" xfId="0" applyNumberFormat="1" applyFont="1" applyBorder="1" applyAlignment="1" applyProtection="1">
      <alignment vertical="center" wrapText="1"/>
      <protection locked="0"/>
    </xf>
    <xf numFmtId="166" fontId="6" fillId="0" borderId="44" xfId="0" applyNumberFormat="1" applyFont="1" applyBorder="1" applyAlignment="1">
      <alignment vertical="center" wrapText="1"/>
    </xf>
    <xf numFmtId="166" fontId="16" fillId="0" borderId="22" xfId="0" applyNumberFormat="1" applyFont="1" applyBorder="1" applyAlignment="1">
      <alignment horizontal="center" vertical="center" wrapText="1"/>
    </xf>
    <xf numFmtId="166" fontId="6" fillId="0" borderId="45" xfId="0" applyNumberFormat="1" applyFont="1" applyBorder="1" applyAlignment="1" applyProtection="1">
      <alignment horizontal="left" vertical="center" wrapText="1" indent="1"/>
      <protection locked="0"/>
    </xf>
    <xf numFmtId="166" fontId="6" fillId="0" borderId="45" xfId="0" applyNumberFormat="1" applyFont="1" applyBorder="1" applyAlignment="1" applyProtection="1">
      <alignment vertical="center" wrapText="1"/>
      <protection locked="0"/>
    </xf>
    <xf numFmtId="166" fontId="6" fillId="0" borderId="22" xfId="0" applyNumberFormat="1" applyFont="1" applyBorder="1" applyAlignment="1" applyProtection="1">
      <alignment vertical="center" wrapText="1"/>
      <protection locked="0"/>
    </xf>
    <xf numFmtId="166" fontId="6" fillId="0" borderId="23" xfId="0" applyNumberFormat="1" applyFont="1" applyBorder="1" applyAlignment="1" applyProtection="1">
      <alignment vertical="center" wrapText="1"/>
      <protection locked="0"/>
    </xf>
    <xf numFmtId="166" fontId="6" fillId="0" borderId="24" xfId="0" applyNumberFormat="1" applyFont="1" applyBorder="1" applyAlignment="1" applyProtection="1">
      <alignment vertical="center" wrapText="1"/>
      <protection locked="0"/>
    </xf>
    <xf numFmtId="166" fontId="6" fillId="0" borderId="45" xfId="0" applyNumberFormat="1" applyFont="1" applyBorder="1" applyAlignment="1">
      <alignment vertical="center" wrapText="1"/>
    </xf>
    <xf numFmtId="166" fontId="16" fillId="0" borderId="31" xfId="0" applyNumberFormat="1" applyFont="1" applyBorder="1" applyAlignment="1">
      <alignment horizontal="center" vertical="center" wrapText="1"/>
    </xf>
    <xf numFmtId="166" fontId="6" fillId="0" borderId="46" xfId="0" applyNumberFormat="1" applyFont="1" applyBorder="1" applyAlignment="1" applyProtection="1">
      <alignment horizontal="left" vertical="center" wrapText="1" indent="1"/>
      <protection locked="0"/>
    </xf>
    <xf numFmtId="166" fontId="6" fillId="0" borderId="43" xfId="0" applyNumberFormat="1" applyFont="1" applyBorder="1" applyAlignment="1" applyProtection="1">
      <alignment vertical="center" wrapText="1"/>
      <protection locked="0"/>
    </xf>
    <xf numFmtId="166" fontId="6" fillId="0" borderId="31" xfId="0" applyNumberFormat="1" applyFont="1" applyBorder="1" applyAlignment="1" applyProtection="1">
      <alignment vertical="center" wrapText="1"/>
      <protection locked="0"/>
    </xf>
    <xf numFmtId="166" fontId="6" fillId="0" borderId="12" xfId="0" applyNumberFormat="1" applyFont="1" applyBorder="1" applyAlignment="1" applyProtection="1">
      <alignment vertical="center" wrapText="1"/>
      <protection locked="0"/>
    </xf>
    <xf numFmtId="166" fontId="6" fillId="0" borderId="47" xfId="0" applyNumberFormat="1" applyFont="1" applyBorder="1" applyAlignment="1" applyProtection="1">
      <alignment vertical="center" wrapText="1"/>
      <protection locked="0"/>
    </xf>
    <xf numFmtId="166" fontId="6" fillId="0" borderId="43" xfId="0" applyNumberFormat="1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indent="1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166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 wrapText="1"/>
    </xf>
    <xf numFmtId="166" fontId="13" fillId="0" borderId="0" xfId="0" applyNumberFormat="1" applyFont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 indent="1"/>
    </xf>
    <xf numFmtId="166" fontId="6" fillId="0" borderId="48" xfId="0" applyNumberFormat="1" applyFont="1" applyBorder="1" applyAlignment="1" applyProtection="1">
      <alignment horizontal="right" vertical="center" wrapText="1" indent="1"/>
      <protection locked="0"/>
    </xf>
    <xf numFmtId="0" fontId="6" fillId="0" borderId="2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left" vertical="center" wrapText="1" indent="1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0" fontId="25" fillId="0" borderId="30" xfId="0" applyFont="1" applyBorder="1" applyAlignment="1">
      <alignment horizontal="left" vertical="center" wrapText="1" indent="8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166" fontId="6" fillId="0" borderId="3" xfId="0" applyNumberFormat="1" applyFont="1" applyBorder="1" applyAlignment="1" applyProtection="1">
      <alignment horizontal="right" vertical="center" wrapText="1" indent="1"/>
      <protection locked="0"/>
    </xf>
    <xf numFmtId="0" fontId="16" fillId="0" borderId="6" xfId="0" applyFont="1" applyBorder="1" applyAlignment="1">
      <alignment horizontal="center" vertical="center" wrapText="1"/>
    </xf>
    <xf numFmtId="0" fontId="32" fillId="0" borderId="26" xfId="0" applyFont="1" applyBorder="1" applyAlignment="1">
      <alignment vertical="center" wrapText="1"/>
    </xf>
    <xf numFmtId="166" fontId="16" fillId="0" borderId="26" xfId="0" applyNumberFormat="1" applyFont="1" applyBorder="1" applyAlignment="1">
      <alignment vertical="center" wrapText="1"/>
    </xf>
    <xf numFmtId="166" fontId="16" fillId="0" borderId="49" xfId="0" applyNumberFormat="1" applyFont="1" applyBorder="1" applyAlignment="1">
      <alignment vertical="center" wrapText="1"/>
    </xf>
    <xf numFmtId="0" fontId="12" fillId="0" borderId="50" xfId="4" applyFont="1" applyBorder="1" applyAlignment="1">
      <alignment horizontal="center" vertical="center" wrapText="1"/>
    </xf>
    <xf numFmtId="0" fontId="12" fillId="0" borderId="50" xfId="4" applyFont="1" applyBorder="1" applyAlignment="1">
      <alignment vertical="center" wrapText="1"/>
    </xf>
    <xf numFmtId="0" fontId="16" fillId="0" borderId="26" xfId="4" applyFont="1" applyBorder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  <xf numFmtId="0" fontId="7" fillId="0" borderId="0" xfId="4" applyFont="1" applyAlignment="1">
      <alignment horizontal="center"/>
    </xf>
    <xf numFmtId="49" fontId="3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4" applyFont="1" applyAlignment="1">
      <alignment horizontal="center"/>
    </xf>
    <xf numFmtId="0" fontId="24" fillId="0" borderId="11" xfId="4" applyFont="1" applyBorder="1" applyAlignment="1" applyProtection="1">
      <alignment wrapText="1"/>
      <protection locked="0"/>
    </xf>
    <xf numFmtId="0" fontId="35" fillId="0" borderId="19" xfId="0" applyFont="1" applyBorder="1" applyAlignment="1">
      <alignment vertical="center"/>
    </xf>
    <xf numFmtId="0" fontId="35" fillId="0" borderId="5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49" fontId="33" fillId="0" borderId="21" xfId="0" quotePrefix="1" applyNumberFormat="1" applyFont="1" applyBorder="1" applyAlignment="1">
      <alignment horizontal="left" vertical="center" indent="1"/>
    </xf>
    <xf numFmtId="3" fontId="33" fillId="0" borderId="11" xfId="0" applyNumberFormat="1" applyFont="1" applyBorder="1" applyAlignment="1" applyProtection="1">
      <alignment vertical="center"/>
      <protection locked="0"/>
    </xf>
    <xf numFmtId="3" fontId="33" fillId="0" borderId="17" xfId="0" applyNumberFormat="1" applyFont="1" applyBorder="1" applyAlignment="1">
      <alignment vertical="center"/>
    </xf>
    <xf numFmtId="49" fontId="35" fillId="0" borderId="6" xfId="0" applyNumberFormat="1" applyFont="1" applyBorder="1" applyAlignment="1">
      <alignment vertical="center"/>
    </xf>
    <xf numFmtId="0" fontId="2" fillId="0" borderId="13" xfId="0" applyFont="1" applyBorder="1" applyAlignment="1" applyProtection="1">
      <alignment horizontal="left" vertical="center" indent="1"/>
      <protection locked="0"/>
    </xf>
    <xf numFmtId="166" fontId="33" fillId="0" borderId="21" xfId="0" applyNumberFormat="1" applyFont="1" applyBorder="1" applyAlignment="1" applyProtection="1">
      <alignment vertical="center" wrapText="1"/>
      <protection locked="0"/>
    </xf>
    <xf numFmtId="166" fontId="33" fillId="0" borderId="30" xfId="0" applyNumberFormat="1" applyFont="1" applyBorder="1" applyAlignment="1" applyProtection="1">
      <alignment vertical="center" wrapText="1"/>
      <protection locked="0"/>
    </xf>
    <xf numFmtId="166" fontId="33" fillId="0" borderId="0" xfId="0" applyNumberFormat="1" applyFont="1" applyAlignment="1">
      <alignment vertical="center" wrapText="1"/>
    </xf>
    <xf numFmtId="166" fontId="34" fillId="0" borderId="0" xfId="0" applyNumberFormat="1" applyFont="1" applyAlignment="1">
      <alignment vertical="center" wrapText="1"/>
    </xf>
    <xf numFmtId="166" fontId="35" fillId="0" borderId="6" xfId="0" applyNumberFormat="1" applyFont="1" applyBorder="1" applyAlignment="1">
      <alignment horizontal="left" vertical="center" wrapText="1"/>
    </xf>
    <xf numFmtId="166" fontId="35" fillId="0" borderId="18" xfId="0" applyNumberFormat="1" applyFont="1" applyBorder="1" applyAlignment="1">
      <alignment horizontal="left" vertical="center" wrapText="1"/>
    </xf>
    <xf numFmtId="3" fontId="2" fillId="0" borderId="21" xfId="0" applyNumberFormat="1" applyFont="1" applyBorder="1" applyAlignment="1" applyProtection="1">
      <alignment vertical="center" wrapText="1"/>
      <protection locked="0"/>
    </xf>
    <xf numFmtId="3" fontId="2" fillId="0" borderId="30" xfId="0" applyNumberFormat="1" applyFont="1" applyBorder="1" applyAlignment="1" applyProtection="1">
      <alignment vertical="center" wrapText="1"/>
      <protection locked="0"/>
    </xf>
    <xf numFmtId="3" fontId="8" fillId="0" borderId="21" xfId="0" applyNumberFormat="1" applyFont="1" applyBorder="1" applyAlignment="1" applyProtection="1">
      <alignment vertical="center" wrapText="1"/>
      <protection locked="0"/>
    </xf>
    <xf numFmtId="3" fontId="8" fillId="0" borderId="30" xfId="0" applyNumberFormat="1" applyFont="1" applyBorder="1" applyAlignment="1" applyProtection="1">
      <alignment vertical="center" wrapText="1"/>
      <protection locked="0"/>
    </xf>
    <xf numFmtId="3" fontId="8" fillId="0" borderId="0" xfId="0" applyNumberFormat="1" applyFont="1" applyAlignment="1">
      <alignment vertical="center" wrapText="1"/>
    </xf>
    <xf numFmtId="3" fontId="7" fillId="0" borderId="6" xfId="0" applyNumberFormat="1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horizontal="left" vertical="center" wrapText="1"/>
    </xf>
    <xf numFmtId="0" fontId="28" fillId="0" borderId="0" xfId="4" applyFont="1"/>
    <xf numFmtId="0" fontId="45" fillId="0" borderId="0" xfId="5" applyFont="1"/>
    <xf numFmtId="0" fontId="45" fillId="0" borderId="0" xfId="5" applyFont="1" applyProtection="1">
      <protection locked="0"/>
    </xf>
    <xf numFmtId="0" fontId="41" fillId="0" borderId="0" xfId="5" applyFont="1"/>
    <xf numFmtId="0" fontId="5" fillId="0" borderId="0" xfId="0" applyFont="1"/>
    <xf numFmtId="49" fontId="5" fillId="0" borderId="28" xfId="0" applyNumberFormat="1" applyFont="1" applyBorder="1" applyAlignment="1">
      <alignment vertical="center"/>
    </xf>
    <xf numFmtId="3" fontId="5" fillId="0" borderId="2" xfId="0" applyNumberFormat="1" applyFont="1" applyBorder="1" applyAlignment="1" applyProtection="1">
      <alignment vertical="center"/>
      <protection locked="0"/>
    </xf>
    <xf numFmtId="3" fontId="5" fillId="0" borderId="29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  <xf numFmtId="3" fontId="5" fillId="0" borderId="11" xfId="0" applyNumberFormat="1" applyFont="1" applyBorder="1" applyAlignment="1" applyProtection="1">
      <alignment vertical="center"/>
      <protection locked="0"/>
    </xf>
    <xf numFmtId="3" fontId="5" fillId="0" borderId="17" xfId="0" applyNumberFormat="1" applyFont="1" applyBorder="1" applyAlignment="1">
      <alignment vertical="center"/>
    </xf>
    <xf numFmtId="49" fontId="5" fillId="0" borderId="22" xfId="0" applyNumberFormat="1" applyFont="1" applyBorder="1" applyAlignment="1" applyProtection="1">
      <alignment vertical="center"/>
      <protection locked="0"/>
    </xf>
    <xf numFmtId="3" fontId="5" fillId="0" borderId="23" xfId="0" applyNumberFormat="1" applyFont="1" applyBorder="1" applyAlignment="1" applyProtection="1">
      <alignment vertical="center"/>
      <protection locked="0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 applyProtection="1">
      <alignment vertical="center"/>
      <protection locked="0"/>
    </xf>
    <xf numFmtId="0" fontId="10" fillId="0" borderId="0" xfId="0" applyFont="1" applyAlignment="1">
      <alignment horizontal="right" vertical="top"/>
    </xf>
    <xf numFmtId="0" fontId="11" fillId="0" borderId="3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 indent="1"/>
    </xf>
    <xf numFmtId="0" fontId="6" fillId="0" borderId="11" xfId="4" applyFont="1" applyBorder="1" applyAlignment="1">
      <alignment horizontal="left" vertical="center" wrapText="1" indent="1"/>
    </xf>
    <xf numFmtId="0" fontId="6" fillId="0" borderId="26" xfId="4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1" fillId="0" borderId="7" xfId="0" applyFont="1" applyBorder="1" applyAlignment="1">
      <alignment horizontal="left" vertical="center" wrapText="1" indent="1"/>
    </xf>
    <xf numFmtId="0" fontId="5" fillId="0" borderId="0" xfId="4" applyFont="1"/>
    <xf numFmtId="0" fontId="45" fillId="0" borderId="0" xfId="0" applyFont="1" applyAlignment="1">
      <alignment horizontal="center"/>
    </xf>
    <xf numFmtId="0" fontId="45" fillId="0" borderId="0" xfId="0" applyFont="1"/>
    <xf numFmtId="0" fontId="46" fillId="0" borderId="0" xfId="0" applyFont="1" applyAlignment="1">
      <alignment vertical="center"/>
    </xf>
    <xf numFmtId="0" fontId="45" fillId="0" borderId="11" xfId="0" applyFont="1" applyBorder="1" applyAlignment="1" applyProtection="1">
      <alignment horizontal="left" vertical="center" wrapText="1"/>
      <protection locked="0"/>
    </xf>
    <xf numFmtId="0" fontId="45" fillId="0" borderId="11" xfId="0" applyFont="1" applyBorder="1" applyAlignment="1" applyProtection="1">
      <alignment horizontal="right" vertical="center" wrapText="1"/>
      <protection locked="0"/>
    </xf>
    <xf numFmtId="0" fontId="41" fillId="0" borderId="11" xfId="0" applyFont="1" applyBorder="1" applyAlignment="1" applyProtection="1">
      <alignment horizontal="center" vertical="center" wrapText="1"/>
      <protection locked="0"/>
    </xf>
    <xf numFmtId="0" fontId="45" fillId="0" borderId="11" xfId="0" applyFont="1" applyBorder="1" applyAlignment="1" applyProtection="1">
      <alignment vertical="center" wrapText="1"/>
      <protection locked="0"/>
    </xf>
    <xf numFmtId="166" fontId="45" fillId="0" borderId="11" xfId="0" applyNumberFormat="1" applyFont="1" applyBorder="1" applyAlignment="1" applyProtection="1">
      <alignment horizontal="left" vertical="center" wrapText="1"/>
      <protection locked="0"/>
    </xf>
    <xf numFmtId="0" fontId="45" fillId="0" borderId="0" xfId="0" applyFont="1" applyAlignment="1">
      <alignment vertical="center"/>
    </xf>
    <xf numFmtId="0" fontId="41" fillId="0" borderId="11" xfId="0" applyFont="1" applyBorder="1" applyAlignment="1">
      <alignment vertical="center" wrapText="1"/>
    </xf>
    <xf numFmtId="166" fontId="15" fillId="0" borderId="7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7" xfId="4" applyNumberFormat="1" applyFont="1" applyBorder="1" applyAlignment="1">
      <alignment horizontal="right" vertical="center" wrapText="1" indent="1"/>
    </xf>
    <xf numFmtId="166" fontId="18" fillId="0" borderId="13" xfId="4" applyNumberFormat="1" applyFont="1" applyBorder="1" applyAlignment="1">
      <alignment horizontal="right" vertical="center" wrapText="1" indent="1"/>
    </xf>
    <xf numFmtId="166" fontId="18" fillId="0" borderId="11" xfId="4" applyNumberFormat="1" applyFont="1" applyBorder="1" applyAlignment="1" applyProtection="1">
      <alignment horizontal="right" vertical="center" wrapText="1" indent="1"/>
      <protection locked="0"/>
    </xf>
    <xf numFmtId="166" fontId="18" fillId="0" borderId="23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7" xfId="4" applyNumberFormat="1" applyFont="1" applyBorder="1" applyAlignment="1" applyProtection="1">
      <alignment horizontal="right" vertical="center" wrapText="1" indent="1"/>
      <protection locked="0"/>
    </xf>
    <xf numFmtId="166" fontId="12" fillId="0" borderId="50" xfId="4" applyNumberFormat="1" applyFont="1" applyBorder="1" applyAlignment="1">
      <alignment horizontal="right" vertical="center" wrapText="1" indent="1"/>
    </xf>
    <xf numFmtId="166" fontId="16" fillId="0" borderId="26" xfId="4" applyNumberFormat="1" applyFont="1" applyBorder="1" applyAlignment="1">
      <alignment horizontal="right" vertical="center" wrapText="1" indent="1"/>
    </xf>
    <xf numFmtId="166" fontId="18" fillId="0" borderId="13" xfId="4" applyNumberFormat="1" applyFont="1" applyBorder="1" applyAlignment="1" applyProtection="1">
      <alignment horizontal="right" vertical="center" wrapText="1" indent="1"/>
      <protection locked="0"/>
    </xf>
    <xf numFmtId="166" fontId="15" fillId="0" borderId="7" xfId="4" applyNumberFormat="1" applyFont="1" applyBorder="1" applyAlignment="1">
      <alignment horizontal="right" vertical="center" wrapText="1" indent="1"/>
    </xf>
    <xf numFmtId="166" fontId="21" fillId="0" borderId="7" xfId="0" quotePrefix="1" applyNumberFormat="1" applyFont="1" applyBorder="1" applyAlignment="1" applyProtection="1">
      <alignment horizontal="right" vertical="center" wrapText="1" indent="1"/>
      <protection locked="0"/>
    </xf>
    <xf numFmtId="166" fontId="21" fillId="0" borderId="7" xfId="0" quotePrefix="1" applyNumberFormat="1" applyFont="1" applyBorder="1" applyAlignment="1">
      <alignment horizontal="right" vertical="center" wrapText="1" indent="1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3" fontId="2" fillId="0" borderId="14" xfId="0" applyNumberFormat="1" applyFont="1" applyBorder="1" applyAlignment="1" applyProtection="1">
      <alignment horizontal="right" vertical="center" indent="1"/>
      <protection locked="0"/>
    </xf>
    <xf numFmtId="0" fontId="7" fillId="0" borderId="27" xfId="0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vertical="center"/>
    </xf>
    <xf numFmtId="0" fontId="42" fillId="0" borderId="0" xfId="0" applyFont="1" applyAlignment="1">
      <alignment horizontal="right"/>
    </xf>
    <xf numFmtId="166" fontId="41" fillId="0" borderId="11" xfId="0" applyNumberFormat="1" applyFont="1" applyBorder="1" applyAlignment="1">
      <alignment horizontal="right" vertical="center" wrapText="1"/>
    </xf>
    <xf numFmtId="166" fontId="45" fillId="0" borderId="11" xfId="0" applyNumberFormat="1" applyFont="1" applyBorder="1" applyAlignment="1" applyProtection="1">
      <alignment horizontal="right" vertical="center" wrapText="1"/>
      <protection locked="0"/>
    </xf>
    <xf numFmtId="166" fontId="46" fillId="0" borderId="11" xfId="0" applyNumberFormat="1" applyFont="1" applyBorder="1" applyAlignment="1" applyProtection="1">
      <alignment horizontal="right" vertical="center" wrapText="1"/>
      <protection locked="0"/>
    </xf>
    <xf numFmtId="3" fontId="45" fillId="0" borderId="11" xfId="0" applyNumberFormat="1" applyFont="1" applyBorder="1" applyAlignment="1" applyProtection="1">
      <alignment horizontal="right" vertical="center" wrapText="1"/>
      <protection locked="0"/>
    </xf>
    <xf numFmtId="166" fontId="41" fillId="0" borderId="11" xfId="0" applyNumberFormat="1" applyFont="1" applyBorder="1" applyAlignment="1" applyProtection="1">
      <alignment horizontal="right" vertical="center" wrapText="1"/>
      <protection locked="0"/>
    </xf>
    <xf numFmtId="166" fontId="45" fillId="0" borderId="11" xfId="0" applyNumberFormat="1" applyFont="1" applyBorder="1" applyAlignment="1" applyProtection="1">
      <alignment vertical="center" wrapText="1"/>
      <protection locked="0"/>
    </xf>
    <xf numFmtId="3" fontId="45" fillId="0" borderId="11" xfId="0" applyNumberFormat="1" applyFont="1" applyBorder="1"/>
    <xf numFmtId="3" fontId="41" fillId="0" borderId="11" xfId="0" applyNumberFormat="1" applyFont="1" applyBorder="1" applyAlignment="1" applyProtection="1">
      <alignment horizontal="right" vertical="center" wrapText="1"/>
      <protection locked="0"/>
    </xf>
    <xf numFmtId="0" fontId="41" fillId="0" borderId="0" xfId="5" applyFont="1" applyAlignment="1">
      <alignment horizontal="center" wrapText="1"/>
    </xf>
    <xf numFmtId="0" fontId="41" fillId="0" borderId="19" xfId="5" applyFont="1" applyBorder="1" applyAlignment="1">
      <alignment horizontal="center" vertical="center" wrapText="1"/>
    </xf>
    <xf numFmtId="0" fontId="41" fillId="0" borderId="5" xfId="5" applyFont="1" applyBorder="1" applyAlignment="1">
      <alignment horizontal="center" vertical="center"/>
    </xf>
    <xf numFmtId="0" fontId="41" fillId="0" borderId="27" xfId="5" applyFont="1" applyBorder="1" applyAlignment="1">
      <alignment horizontal="center" vertical="center"/>
    </xf>
    <xf numFmtId="0" fontId="41" fillId="0" borderId="6" xfId="5" applyFont="1" applyBorder="1" applyAlignment="1">
      <alignment horizontal="left" vertical="center" indent="1"/>
    </xf>
    <xf numFmtId="0" fontId="41" fillId="0" borderId="0" xfId="5" applyFont="1" applyAlignment="1">
      <alignment vertical="center"/>
    </xf>
    <xf numFmtId="0" fontId="45" fillId="0" borderId="21" xfId="5" applyFont="1" applyBorder="1" applyAlignment="1">
      <alignment horizontal="left" vertical="center" indent="1"/>
    </xf>
    <xf numFmtId="0" fontId="45" fillId="0" borderId="11" xfId="5" applyFont="1" applyBorder="1" applyAlignment="1">
      <alignment horizontal="left" vertical="center" indent="1"/>
    </xf>
    <xf numFmtId="166" fontId="45" fillId="0" borderId="11" xfId="5" applyNumberFormat="1" applyFont="1" applyBorder="1" applyAlignment="1" applyProtection="1">
      <alignment vertical="center"/>
      <protection locked="0"/>
    </xf>
    <xf numFmtId="166" fontId="41" fillId="0" borderId="17" xfId="5" applyNumberFormat="1" applyFont="1" applyBorder="1" applyAlignment="1">
      <alignment vertical="center"/>
    </xf>
    <xf numFmtId="0" fontId="45" fillId="0" borderId="0" xfId="5" applyFont="1" applyAlignment="1" applyProtection="1">
      <alignment vertical="center"/>
      <protection locked="0"/>
    </xf>
    <xf numFmtId="0" fontId="45" fillId="0" borderId="6" xfId="5" applyFont="1" applyBorder="1" applyAlignment="1">
      <alignment horizontal="left" vertical="center" indent="1"/>
    </xf>
    <xf numFmtId="0" fontId="41" fillId="0" borderId="7" xfId="5" applyFont="1" applyBorder="1" applyAlignment="1">
      <alignment horizontal="left" vertical="center" indent="1"/>
    </xf>
    <xf numFmtId="166" fontId="41" fillId="0" borderId="7" xfId="5" applyNumberFormat="1" applyFont="1" applyBorder="1" applyAlignment="1">
      <alignment vertical="center"/>
    </xf>
    <xf numFmtId="166" fontId="41" fillId="0" borderId="8" xfId="5" applyNumberFormat="1" applyFont="1" applyBorder="1" applyAlignment="1">
      <alignment vertical="center"/>
    </xf>
    <xf numFmtId="0" fontId="45" fillId="0" borderId="0" xfId="5" applyFont="1" applyAlignment="1">
      <alignment vertical="center"/>
    </xf>
    <xf numFmtId="0" fontId="45" fillId="0" borderId="50" xfId="5" applyFont="1" applyBorder="1" applyAlignment="1">
      <alignment horizontal="left" vertical="center" indent="1"/>
    </xf>
    <xf numFmtId="0" fontId="41" fillId="0" borderId="50" xfId="5" applyFont="1" applyBorder="1" applyAlignment="1">
      <alignment horizontal="left" vertical="center" indent="1"/>
    </xf>
    <xf numFmtId="166" fontId="41" fillId="0" borderId="50" xfId="5" applyNumberFormat="1" applyFont="1" applyBorder="1" applyAlignment="1">
      <alignment vertical="center"/>
    </xf>
    <xf numFmtId="0" fontId="45" fillId="0" borderId="0" xfId="5" applyFont="1" applyAlignment="1">
      <alignment horizontal="left" vertical="center" indent="1"/>
    </xf>
    <xf numFmtId="0" fontId="41" fillId="0" borderId="0" xfId="5" applyFont="1" applyAlignment="1">
      <alignment horizontal="left" vertical="center" indent="1"/>
    </xf>
    <xf numFmtId="166" fontId="41" fillId="0" borderId="0" xfId="5" applyNumberFormat="1" applyFont="1" applyAlignment="1">
      <alignment vertical="center"/>
    </xf>
    <xf numFmtId="0" fontId="41" fillId="0" borderId="25" xfId="5" applyFont="1" applyBorder="1" applyAlignment="1">
      <alignment horizontal="left" vertical="center" indent="1"/>
    </xf>
    <xf numFmtId="0" fontId="45" fillId="0" borderId="51" xfId="5" applyFont="1" applyBorder="1" applyAlignment="1">
      <alignment horizontal="left" vertical="center" indent="1"/>
    </xf>
    <xf numFmtId="0" fontId="41" fillId="0" borderId="16" xfId="5" applyFont="1" applyBorder="1" applyAlignment="1">
      <alignment horizontal="left" vertical="center" indent="1"/>
    </xf>
    <xf numFmtId="166" fontId="41" fillId="0" borderId="16" xfId="5" applyNumberFormat="1" applyFont="1" applyBorder="1" applyAlignment="1">
      <alignment vertical="center"/>
    </xf>
    <xf numFmtId="0" fontId="13" fillId="0" borderId="52" xfId="0" applyFont="1" applyBorder="1" applyAlignment="1">
      <alignment horizontal="right" vertical="center"/>
    </xf>
    <xf numFmtId="166" fontId="35" fillId="0" borderId="7" xfId="0" applyNumberFormat="1" applyFont="1" applyBorder="1" applyAlignment="1">
      <alignment horizontal="center" vertical="center" wrapText="1"/>
    </xf>
    <xf numFmtId="0" fontId="14" fillId="0" borderId="53" xfId="4" applyFont="1" applyBorder="1" applyAlignment="1">
      <alignment horizontal="center" vertical="center" wrapText="1"/>
    </xf>
    <xf numFmtId="166" fontId="14" fillId="0" borderId="8" xfId="4" applyNumberFormat="1" applyFont="1" applyBorder="1" applyAlignment="1">
      <alignment horizontal="right" vertical="center" wrapText="1"/>
    </xf>
    <xf numFmtId="166" fontId="24" fillId="0" borderId="14" xfId="4" applyNumberFormat="1" applyFont="1" applyBorder="1" applyAlignment="1" applyProtection="1">
      <alignment horizontal="right" vertical="center" wrapText="1"/>
      <protection locked="0"/>
    </xf>
    <xf numFmtId="166" fontId="24" fillId="0" borderId="17" xfId="4" applyNumberFormat="1" applyFont="1" applyBorder="1" applyAlignment="1" applyProtection="1">
      <alignment horizontal="right" vertical="center" wrapText="1"/>
      <protection locked="0"/>
    </xf>
    <xf numFmtId="166" fontId="24" fillId="0" borderId="24" xfId="4" applyNumberFormat="1" applyFont="1" applyBorder="1" applyAlignment="1" applyProtection="1">
      <alignment horizontal="right" vertical="center" wrapText="1"/>
      <protection locked="0"/>
    </xf>
    <xf numFmtId="166" fontId="24" fillId="0" borderId="14" xfId="4" applyNumberFormat="1" applyFont="1" applyBorder="1" applyAlignment="1">
      <alignment horizontal="right" vertical="center" wrapText="1"/>
    </xf>
    <xf numFmtId="166" fontId="14" fillId="0" borderId="8" xfId="4" applyNumberFormat="1" applyFont="1" applyBorder="1" applyAlignment="1" applyProtection="1">
      <alignment horizontal="right" vertical="center" wrapText="1"/>
      <protection locked="0"/>
    </xf>
    <xf numFmtId="166" fontId="14" fillId="0" borderId="7" xfId="4" applyNumberFormat="1" applyFont="1" applyBorder="1" applyAlignment="1">
      <alignment horizontal="right" vertical="center" wrapText="1"/>
    </xf>
    <xf numFmtId="166" fontId="14" fillId="0" borderId="27" xfId="4" applyNumberFormat="1" applyFont="1" applyBorder="1" applyAlignment="1">
      <alignment horizontal="right" vertical="center" wrapText="1" indent="1"/>
    </xf>
    <xf numFmtId="166" fontId="24" fillId="0" borderId="29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24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11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15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49" xfId="4" applyNumberFormat="1" applyFont="1" applyBorder="1" applyAlignment="1">
      <alignment horizontal="right" vertical="center" wrapText="1" indent="1"/>
    </xf>
    <xf numFmtId="166" fontId="24" fillId="0" borderId="14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33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34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8" xfId="4" applyNumberFormat="1" applyFont="1" applyBorder="1" applyAlignment="1">
      <alignment horizontal="right" vertical="center" wrapText="1" indent="1"/>
    </xf>
    <xf numFmtId="166" fontId="35" fillId="0" borderId="8" xfId="4" applyNumberFormat="1" applyFont="1" applyBorder="1" applyAlignment="1">
      <alignment horizontal="right" vertical="center" wrapText="1" indent="1"/>
    </xf>
    <xf numFmtId="166" fontId="38" fillId="0" borderId="8" xfId="0" applyNumberFormat="1" applyFont="1" applyBorder="1" applyAlignment="1">
      <alignment horizontal="right" vertical="center" wrapText="1" indent="1"/>
    </xf>
    <xf numFmtId="166" fontId="38" fillId="0" borderId="8" xfId="0" applyNumberFormat="1" applyFont="1" applyBorder="1" applyAlignment="1" applyProtection="1">
      <alignment horizontal="right" vertical="center" wrapText="1" indent="1"/>
      <protection locked="0"/>
    </xf>
    <xf numFmtId="166" fontId="38" fillId="0" borderId="8" xfId="0" quotePrefix="1" applyNumberFormat="1" applyFont="1" applyBorder="1" applyAlignment="1">
      <alignment horizontal="right" vertical="center" wrapText="1" indent="1"/>
    </xf>
    <xf numFmtId="166" fontId="38" fillId="0" borderId="7" xfId="0" quotePrefix="1" applyNumberFormat="1" applyFont="1" applyBorder="1" applyAlignment="1">
      <alignment horizontal="right" vertical="center" wrapText="1" indent="1"/>
    </xf>
    <xf numFmtId="49" fontId="11" fillId="0" borderId="29" xfId="0" applyNumberFormat="1" applyFont="1" applyBorder="1" applyAlignment="1">
      <alignment horizontal="right" vertical="center"/>
    </xf>
    <xf numFmtId="49" fontId="11" fillId="0" borderId="36" xfId="0" applyNumberFormat="1" applyFont="1" applyBorder="1" applyAlignment="1">
      <alignment horizontal="right" vertical="center"/>
    </xf>
    <xf numFmtId="166" fontId="11" fillId="0" borderId="34" xfId="0" applyNumberFormat="1" applyFont="1" applyBorder="1" applyAlignment="1">
      <alignment horizontal="center" vertical="center" wrapText="1"/>
    </xf>
    <xf numFmtId="166" fontId="16" fillId="0" borderId="8" xfId="0" applyNumberFormat="1" applyFont="1" applyBorder="1" applyAlignment="1">
      <alignment horizontal="right" vertical="center" wrapText="1" indent="1"/>
    </xf>
    <xf numFmtId="166" fontId="18" fillId="0" borderId="29" xfId="0" applyNumberFormat="1" applyFont="1" applyBorder="1" applyAlignment="1" applyProtection="1">
      <alignment horizontal="right" vertical="center" wrapText="1" indent="1"/>
      <protection locked="0"/>
    </xf>
    <xf numFmtId="166" fontId="18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18" fillId="0" borderId="47" xfId="0" applyNumberFormat="1" applyFont="1" applyBorder="1" applyAlignment="1" applyProtection="1">
      <alignment horizontal="right" vertical="center" wrapText="1" indent="1"/>
      <protection locked="0"/>
    </xf>
    <xf numFmtId="166" fontId="18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47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53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53" xfId="0" applyNumberFormat="1" applyFont="1" applyBorder="1" applyAlignment="1">
      <alignment horizontal="right" vertical="center" wrapText="1" indent="1"/>
    </xf>
    <xf numFmtId="166" fontId="15" fillId="0" borderId="53" xfId="0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horizontal="right" vertical="center" wrapText="1" indent="1"/>
    </xf>
    <xf numFmtId="166" fontId="15" fillId="0" borderId="8" xfId="0" applyNumberFormat="1" applyFont="1" applyBorder="1" applyAlignment="1">
      <alignment horizontal="right" vertical="center" wrapText="1" indent="1"/>
    </xf>
    <xf numFmtId="0" fontId="14" fillId="0" borderId="19" xfId="4" applyFont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0" fontId="38" fillId="0" borderId="25" xfId="0" applyFont="1" applyBorder="1" applyAlignment="1">
      <alignment vertical="center" wrapText="1"/>
    </xf>
    <xf numFmtId="0" fontId="14" fillId="0" borderId="0" xfId="4" applyFont="1" applyAlignment="1">
      <alignment horizontal="center" vertical="center" wrapText="1"/>
    </xf>
    <xf numFmtId="0" fontId="14" fillId="0" borderId="0" xfId="4" applyFont="1" applyAlignment="1">
      <alignment vertical="center" wrapText="1"/>
    </xf>
    <xf numFmtId="0" fontId="14" fillId="0" borderId="27" xfId="4" applyFont="1" applyBorder="1" applyAlignment="1">
      <alignment horizontal="center" vertical="center" wrapText="1"/>
    </xf>
    <xf numFmtId="166" fontId="24" fillId="0" borderId="14" xfId="4" applyNumberFormat="1" applyFont="1" applyBorder="1" applyAlignment="1">
      <alignment horizontal="right" vertical="center" wrapText="1" indent="1"/>
    </xf>
    <xf numFmtId="166" fontId="14" fillId="0" borderId="8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0" xfId="4" applyNumberFormat="1" applyFont="1" applyAlignment="1">
      <alignment horizontal="right" vertical="center" wrapText="1" indent="1"/>
    </xf>
    <xf numFmtId="0" fontId="13" fillId="0" borderId="52" xfId="0" applyFont="1" applyBorder="1" applyAlignment="1">
      <alignment horizontal="right"/>
    </xf>
    <xf numFmtId="0" fontId="14" fillId="0" borderId="8" xfId="4" applyFont="1" applyBorder="1" applyAlignment="1">
      <alignment horizontal="center" vertical="center" wrapText="1"/>
    </xf>
    <xf numFmtId="0" fontId="15" fillId="0" borderId="27" xfId="4" applyFont="1" applyBorder="1" applyAlignment="1">
      <alignment horizontal="center" vertical="center" wrapText="1"/>
    </xf>
    <xf numFmtId="166" fontId="12" fillId="0" borderId="0" xfId="4" applyNumberFormat="1" applyFont="1" applyAlignment="1">
      <alignment horizontal="right" vertical="center" wrapText="1" indent="1"/>
    </xf>
    <xf numFmtId="0" fontId="15" fillId="0" borderId="8" xfId="4" applyFont="1" applyBorder="1" applyAlignment="1">
      <alignment horizontal="center" vertical="center" wrapText="1"/>
    </xf>
    <xf numFmtId="166" fontId="15" fillId="0" borderId="49" xfId="4" applyNumberFormat="1" applyFont="1" applyBorder="1" applyAlignment="1">
      <alignment horizontal="right" vertical="center" wrapText="1" indent="1"/>
    </xf>
    <xf numFmtId="166" fontId="20" fillId="0" borderId="8" xfId="0" applyNumberFormat="1" applyFont="1" applyBorder="1" applyAlignment="1" applyProtection="1">
      <alignment horizontal="right" vertical="center" wrapText="1" indent="1"/>
      <protection locked="0"/>
    </xf>
    <xf numFmtId="0" fontId="14" fillId="0" borderId="7" xfId="4" applyFont="1" applyBorder="1" applyAlignment="1">
      <alignment vertical="center" wrapText="1"/>
    </xf>
    <xf numFmtId="166" fontId="33" fillId="0" borderId="11" xfId="0" applyNumberFormat="1" applyFont="1" applyBorder="1" applyAlignment="1" applyProtection="1">
      <alignment vertical="center" wrapText="1"/>
      <protection locked="0"/>
    </xf>
    <xf numFmtId="49" fontId="33" fillId="0" borderId="11" xfId="0" applyNumberFormat="1" applyFont="1" applyBorder="1" applyAlignment="1" applyProtection="1">
      <alignment horizontal="center" vertical="center" wrapText="1"/>
      <protection locked="0"/>
    </xf>
    <xf numFmtId="166" fontId="33" fillId="0" borderId="17" xfId="0" applyNumberFormat="1" applyFont="1" applyBorder="1" applyAlignment="1">
      <alignment vertical="center" wrapText="1"/>
    </xf>
    <xf numFmtId="166" fontId="34" fillId="0" borderId="0" xfId="0" applyNumberFormat="1" applyFont="1" applyAlignment="1">
      <alignment horizontal="right" wrapText="1"/>
    </xf>
    <xf numFmtId="166" fontId="34" fillId="0" borderId="0" xfId="0" applyNumberFormat="1" applyFont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 wrapText="1"/>
    </xf>
    <xf numFmtId="166" fontId="35" fillId="0" borderId="42" xfId="0" applyNumberFormat="1" applyFont="1" applyBorder="1" applyAlignment="1">
      <alignment horizontal="center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166" fontId="34" fillId="0" borderId="7" xfId="0" applyNumberFormat="1" applyFont="1" applyBorder="1" applyAlignment="1">
      <alignment horizontal="center" vertical="center" wrapText="1"/>
    </xf>
    <xf numFmtId="166" fontId="35" fillId="0" borderId="26" xfId="0" applyNumberFormat="1" applyFont="1" applyBorder="1" applyAlignment="1">
      <alignment horizontal="center" vertical="center" wrapText="1"/>
    </xf>
    <xf numFmtId="166" fontId="35" fillId="0" borderId="49" xfId="0" applyNumberFormat="1" applyFont="1" applyBorder="1" applyAlignment="1">
      <alignment horizontal="center" vertical="center" wrapText="1"/>
    </xf>
    <xf numFmtId="166" fontId="35" fillId="0" borderId="54" xfId="0" applyNumberFormat="1" applyFont="1" applyBorder="1" applyAlignment="1">
      <alignment horizontal="center" vertical="center" wrapText="1"/>
    </xf>
    <xf numFmtId="166" fontId="35" fillId="0" borderId="55" xfId="0" applyNumberFormat="1" applyFont="1" applyBorder="1" applyAlignment="1">
      <alignment horizontal="center" vertical="center" wrapText="1"/>
    </xf>
    <xf numFmtId="166" fontId="33" fillId="0" borderId="56" xfId="0" applyNumberFormat="1" applyFont="1" applyBorder="1" applyAlignment="1" applyProtection="1">
      <alignment vertical="center" wrapText="1"/>
      <protection locked="0"/>
    </xf>
    <xf numFmtId="166" fontId="34" fillId="0" borderId="56" xfId="0" applyNumberFormat="1" applyFont="1" applyBorder="1" applyAlignment="1" applyProtection="1">
      <alignment vertical="center" wrapText="1"/>
      <protection locked="0"/>
    </xf>
    <xf numFmtId="166" fontId="35" fillId="0" borderId="7" xfId="0" applyNumberFormat="1" applyFont="1" applyBorder="1" applyAlignment="1">
      <alignment vertical="center" wrapText="1"/>
    </xf>
    <xf numFmtId="174" fontId="14" fillId="0" borderId="23" xfId="4" applyNumberFormat="1" applyFont="1" applyBorder="1" applyAlignment="1">
      <alignment horizontal="center" vertical="center" wrapText="1"/>
    </xf>
    <xf numFmtId="0" fontId="24" fillId="0" borderId="8" xfId="4" applyFont="1" applyBorder="1" applyAlignment="1">
      <alignment horizontal="center" vertical="center"/>
    </xf>
    <xf numFmtId="168" fontId="24" fillId="0" borderId="13" xfId="1" applyNumberFormat="1" applyFont="1" applyBorder="1" applyProtection="1">
      <protection locked="0"/>
    </xf>
    <xf numFmtId="168" fontId="24" fillId="0" borderId="14" xfId="1" applyNumberFormat="1" applyFont="1" applyBorder="1"/>
    <xf numFmtId="168" fontId="24" fillId="0" borderId="11" xfId="1" applyNumberFormat="1" applyFont="1" applyBorder="1" applyProtection="1">
      <protection locked="0"/>
    </xf>
    <xf numFmtId="168" fontId="24" fillId="0" borderId="17" xfId="1" applyNumberFormat="1" applyFont="1" applyBorder="1"/>
    <xf numFmtId="168" fontId="24" fillId="0" borderId="23" xfId="1" applyNumberFormat="1" applyFont="1" applyBorder="1" applyProtection="1">
      <protection locked="0"/>
    </xf>
    <xf numFmtId="168" fontId="14" fillId="0" borderId="7" xfId="4" applyNumberFormat="1" applyFont="1" applyBorder="1"/>
    <xf numFmtId="168" fontId="14" fillId="0" borderId="8" xfId="4" applyNumberFormat="1" applyFont="1" applyBorder="1"/>
    <xf numFmtId="0" fontId="40" fillId="0" borderId="0" xfId="4" applyFont="1"/>
    <xf numFmtId="0" fontId="48" fillId="0" borderId="0" xfId="0" applyFont="1" applyAlignment="1">
      <alignment horizontal="right"/>
    </xf>
    <xf numFmtId="0" fontId="11" fillId="0" borderId="8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/>
    </xf>
    <xf numFmtId="168" fontId="6" fillId="0" borderId="57" xfId="1" applyNumberFormat="1" applyFont="1" applyBorder="1" applyProtection="1">
      <protection locked="0"/>
    </xf>
    <xf numFmtId="168" fontId="6" fillId="0" borderId="33" xfId="1" applyNumberFormat="1" applyFont="1" applyBorder="1" applyProtection="1">
      <protection locked="0"/>
    </xf>
    <xf numFmtId="168" fontId="6" fillId="0" borderId="34" xfId="1" applyNumberFormat="1" applyFont="1" applyBorder="1" applyProtection="1">
      <protection locked="0"/>
    </xf>
    <xf numFmtId="168" fontId="16" fillId="0" borderId="8" xfId="1" applyNumberFormat="1" applyFont="1" applyBorder="1"/>
    <xf numFmtId="3" fontId="2" fillId="0" borderId="11" xfId="0" applyNumberFormat="1" applyFont="1" applyBorder="1" applyAlignment="1" applyProtection="1">
      <alignment vertical="center" wrapText="1"/>
      <protection locked="0"/>
    </xf>
    <xf numFmtId="3" fontId="2" fillId="0" borderId="11" xfId="0" applyNumberFormat="1" applyFont="1" applyBorder="1" applyAlignment="1" applyProtection="1">
      <alignment horizontal="center" vertical="center" wrapText="1"/>
      <protection locked="0"/>
    </xf>
    <xf numFmtId="3" fontId="2" fillId="0" borderId="56" xfId="0" applyNumberFormat="1" applyFont="1" applyBorder="1" applyAlignment="1">
      <alignment vertical="center" wrapText="1"/>
    </xf>
    <xf numFmtId="3" fontId="7" fillId="0" borderId="56" xfId="0" applyNumberFormat="1" applyFont="1" applyBorder="1" applyAlignment="1" applyProtection="1">
      <alignment vertical="center" wrapText="1"/>
      <protection locked="0"/>
    </xf>
    <xf numFmtId="3" fontId="2" fillId="0" borderId="56" xfId="0" applyNumberFormat="1" applyFont="1" applyBorder="1" applyAlignment="1" applyProtection="1">
      <alignment vertical="center" wrapText="1"/>
      <protection locked="0"/>
    </xf>
    <xf numFmtId="3" fontId="2" fillId="0" borderId="17" xfId="0" applyNumberFormat="1" applyFont="1" applyBorder="1" applyAlignment="1">
      <alignment vertical="center" wrapText="1"/>
    </xf>
    <xf numFmtId="3" fontId="8" fillId="0" borderId="11" xfId="0" applyNumberFormat="1" applyFont="1" applyBorder="1" applyAlignment="1" applyProtection="1">
      <alignment vertical="center" wrapText="1"/>
      <protection locked="0"/>
    </xf>
    <xf numFmtId="3" fontId="8" fillId="0" borderId="11" xfId="0" applyNumberFormat="1" applyFont="1" applyBorder="1" applyAlignment="1" applyProtection="1">
      <alignment horizontal="center" vertical="center" wrapText="1"/>
      <protection locked="0"/>
    </xf>
    <xf numFmtId="3" fontId="8" fillId="0" borderId="17" xfId="0" applyNumberFormat="1" applyFont="1" applyBorder="1" applyAlignment="1">
      <alignment vertical="center" wrapText="1"/>
    </xf>
    <xf numFmtId="3" fontId="8" fillId="0" borderId="56" xfId="0" applyNumberFormat="1" applyFont="1" applyBorder="1" applyAlignment="1" applyProtection="1">
      <alignment vertical="center" wrapText="1"/>
      <protection locked="0"/>
    </xf>
    <xf numFmtId="3" fontId="28" fillId="0" borderId="11" xfId="0" applyNumberFormat="1" applyFont="1" applyBorder="1" applyAlignment="1" applyProtection="1">
      <alignment vertical="center" wrapText="1"/>
      <protection locked="0"/>
    </xf>
    <xf numFmtId="3" fontId="8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4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 vertical="center" wrapText="1"/>
    </xf>
    <xf numFmtId="3" fontId="7" fillId="0" borderId="54" xfId="0" applyNumberFormat="1" applyFont="1" applyBorder="1" applyAlignment="1">
      <alignment horizontal="center" vertical="center" wrapText="1"/>
    </xf>
    <xf numFmtId="3" fontId="7" fillId="0" borderId="5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vertical="center" wrapText="1"/>
    </xf>
    <xf numFmtId="166" fontId="34" fillId="0" borderId="0" xfId="0" applyNumberFormat="1" applyFont="1" applyAlignment="1">
      <alignment horizontal="right" vertical="center"/>
    </xf>
    <xf numFmtId="166" fontId="32" fillId="0" borderId="7" xfId="0" applyNumberFormat="1" applyFont="1" applyBorder="1" applyAlignment="1">
      <alignment horizontal="centerContinuous" vertical="center" wrapText="1"/>
    </xf>
    <xf numFmtId="166" fontId="32" fillId="0" borderId="8" xfId="0" applyNumberFormat="1" applyFont="1" applyBorder="1" applyAlignment="1">
      <alignment horizontal="centerContinuous" vertical="center" wrapText="1"/>
    </xf>
    <xf numFmtId="0" fontId="32" fillId="0" borderId="8" xfId="4" applyFont="1" applyBorder="1" applyAlignment="1">
      <alignment horizontal="center" vertical="center" wrapText="1"/>
    </xf>
    <xf numFmtId="166" fontId="16" fillId="0" borderId="7" xfId="0" applyNumberFormat="1" applyFont="1" applyBorder="1" applyAlignment="1">
      <alignment horizontal="center" vertical="center" wrapText="1"/>
    </xf>
    <xf numFmtId="166" fontId="6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" fillId="0" borderId="56" xfId="0" applyNumberFormat="1" applyFont="1" applyBorder="1" applyAlignment="1" applyProtection="1">
      <alignment horizontal="right" vertical="center" wrapText="1" indent="1"/>
      <protection locked="0"/>
    </xf>
    <xf numFmtId="166" fontId="6" fillId="0" borderId="58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7" xfId="0" applyNumberFormat="1" applyFont="1" applyBorder="1" applyAlignment="1">
      <alignment horizontal="right" vertical="center" wrapText="1" indent="1"/>
    </xf>
    <xf numFmtId="166" fontId="36" fillId="0" borderId="13" xfId="0" applyNumberFormat="1" applyFont="1" applyBorder="1" applyAlignment="1">
      <alignment horizontal="right" vertical="center" wrapText="1" indent="1"/>
    </xf>
    <xf numFmtId="166" fontId="36" fillId="0" borderId="11" xfId="0" applyNumberFormat="1" applyFont="1" applyBorder="1" applyAlignment="1">
      <alignment horizontal="right" vertical="center" wrapText="1" indent="1"/>
    </xf>
    <xf numFmtId="166" fontId="35" fillId="0" borderId="53" xfId="0" applyNumberFormat="1" applyFont="1" applyBorder="1" applyAlignment="1">
      <alignment horizontal="right" vertical="center" wrapText="1" indent="1"/>
    </xf>
    <xf numFmtId="166" fontId="36" fillId="0" borderId="12" xfId="0" applyNumberFormat="1" applyFont="1" applyBorder="1" applyAlignment="1">
      <alignment horizontal="right" vertical="center" wrapText="1" indent="1"/>
    </xf>
    <xf numFmtId="166" fontId="6" fillId="0" borderId="12" xfId="0" applyNumberFormat="1" applyFont="1" applyBorder="1" applyAlignment="1" applyProtection="1">
      <alignment horizontal="right" vertical="center" wrapText="1" indent="1"/>
      <protection locked="0"/>
    </xf>
    <xf numFmtId="0" fontId="28" fillId="0" borderId="0" xfId="4" applyFont="1" applyAlignment="1">
      <alignment horizontal="right"/>
    </xf>
    <xf numFmtId="166" fontId="5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5" fillId="0" borderId="24" xfId="4" applyNumberFormat="1" applyFont="1" applyBorder="1" applyAlignment="1" applyProtection="1">
      <alignment horizontal="right" vertical="center" wrapText="1" indent="1"/>
      <protection locked="0"/>
    </xf>
    <xf numFmtId="166" fontId="5" fillId="0" borderId="14" xfId="4" applyNumberFormat="1" applyFont="1" applyBorder="1" applyAlignment="1" applyProtection="1">
      <alignment horizontal="right" vertical="center" wrapText="1" indent="1"/>
      <protection locked="0"/>
    </xf>
    <xf numFmtId="0" fontId="5" fillId="0" borderId="0" xfId="0" applyFont="1" applyAlignment="1">
      <alignment horizontal="right" vertical="center" wrapText="1" indent="1"/>
    </xf>
    <xf numFmtId="166" fontId="34" fillId="0" borderId="52" xfId="4" applyNumberFormat="1" applyFont="1" applyBorder="1" applyAlignment="1">
      <alignment horizontal="left" vertical="center"/>
    </xf>
    <xf numFmtId="0" fontId="28" fillId="0" borderId="0" xfId="4" applyFont="1" applyAlignment="1">
      <alignment horizontal="right" vertical="center" indent="1"/>
    </xf>
    <xf numFmtId="3" fontId="18" fillId="0" borderId="24" xfId="4" applyNumberFormat="1" applyFont="1" applyBorder="1" applyAlignment="1" applyProtection="1">
      <alignment horizontal="right" vertical="center" wrapText="1" indent="1"/>
      <protection locked="0"/>
    </xf>
    <xf numFmtId="0" fontId="35" fillId="0" borderId="0" xfId="4" applyFont="1" applyAlignment="1">
      <alignment horizontal="center"/>
    </xf>
    <xf numFmtId="3" fontId="24" fillId="0" borderId="24" xfId="4" applyNumberFormat="1" applyFont="1" applyBorder="1" applyAlignment="1" applyProtection="1">
      <alignment horizontal="right" vertical="center" wrapText="1" indent="1"/>
      <protection locked="0"/>
    </xf>
    <xf numFmtId="0" fontId="35" fillId="0" borderId="0" xfId="4" applyFont="1"/>
    <xf numFmtId="0" fontId="5" fillId="0" borderId="0" xfId="4" applyFont="1" applyAlignment="1">
      <alignment horizontal="right" vertical="center" indent="1"/>
    </xf>
    <xf numFmtId="166" fontId="24" fillId="0" borderId="13" xfId="4" applyNumberFormat="1" applyFont="1" applyBorder="1" applyAlignment="1" applyProtection="1">
      <alignment horizontal="right" vertical="center" wrapText="1"/>
      <protection locked="0"/>
    </xf>
    <xf numFmtId="166" fontId="24" fillId="0" borderId="11" xfId="4" applyNumberFormat="1" applyFont="1" applyBorder="1" applyAlignment="1" applyProtection="1">
      <alignment horizontal="right" vertical="center" wrapText="1"/>
      <protection locked="0"/>
    </xf>
    <xf numFmtId="166" fontId="24" fillId="0" borderId="23" xfId="4" applyNumberFormat="1" applyFont="1" applyBorder="1" applyAlignment="1" applyProtection="1">
      <alignment horizontal="right" vertical="center" wrapText="1"/>
      <protection locked="0"/>
    </xf>
    <xf numFmtId="166" fontId="24" fillId="0" borderId="13" xfId="4" applyNumberFormat="1" applyFont="1" applyBorder="1" applyAlignment="1">
      <alignment horizontal="right" vertical="center" wrapText="1"/>
    </xf>
    <xf numFmtId="166" fontId="14" fillId="0" borderId="7" xfId="4" applyNumberFormat="1" applyFont="1" applyBorder="1" applyAlignment="1" applyProtection="1">
      <alignment horizontal="right" vertical="center" wrapText="1"/>
      <protection locked="0"/>
    </xf>
    <xf numFmtId="166" fontId="14" fillId="0" borderId="5" xfId="4" applyNumberFormat="1" applyFont="1" applyBorder="1" applyAlignment="1">
      <alignment horizontal="right" vertical="center" wrapText="1" indent="1"/>
    </xf>
    <xf numFmtId="166" fontId="24" fillId="0" borderId="2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23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3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26" xfId="4" applyNumberFormat="1" applyFont="1" applyBorder="1" applyAlignment="1">
      <alignment horizontal="right" vertical="center" wrapText="1" indent="1"/>
    </xf>
    <xf numFmtId="166" fontId="24" fillId="0" borderId="13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7" xfId="4" applyNumberFormat="1" applyFont="1" applyBorder="1" applyAlignment="1">
      <alignment horizontal="right" vertical="center" wrapText="1" indent="1"/>
    </xf>
    <xf numFmtId="166" fontId="35" fillId="0" borderId="7" xfId="4" applyNumberFormat="1" applyFont="1" applyBorder="1" applyAlignment="1">
      <alignment horizontal="right" vertical="center" wrapText="1" indent="1"/>
    </xf>
    <xf numFmtId="166" fontId="38" fillId="0" borderId="7" xfId="0" applyNumberFormat="1" applyFont="1" applyBorder="1" applyAlignment="1">
      <alignment horizontal="right" vertical="center" wrapText="1" indent="1"/>
    </xf>
    <xf numFmtId="166" fontId="38" fillId="0" borderId="7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4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center" vertical="center" wrapText="1"/>
    </xf>
    <xf numFmtId="0" fontId="46" fillId="0" borderId="0" xfId="0" applyFont="1" applyAlignment="1" applyProtection="1">
      <alignment horizontal="right" vertical="top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9" xfId="0" quotePrefix="1" applyFont="1" applyBorder="1" applyAlignment="1">
      <alignment horizontal="right" vertical="center" indent="1"/>
    </xf>
    <xf numFmtId="0" fontId="12" fillId="0" borderId="35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right" vertical="center" indent="1"/>
    </xf>
    <xf numFmtId="0" fontId="49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right" vertical="center" wrapText="1" indent="1"/>
    </xf>
    <xf numFmtId="0" fontId="2" fillId="0" borderId="0" xfId="0" applyFont="1" applyAlignment="1">
      <alignment vertical="center" wrapText="1"/>
    </xf>
    <xf numFmtId="0" fontId="12" fillId="0" borderId="6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 vertical="center" wrapText="1"/>
    </xf>
    <xf numFmtId="0" fontId="2" fillId="0" borderId="0" xfId="4" applyFont="1"/>
    <xf numFmtId="0" fontId="12" fillId="0" borderId="19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27" xfId="4" applyFont="1" applyBorder="1" applyAlignment="1">
      <alignment horizontal="center" vertical="center" wrapText="1"/>
    </xf>
    <xf numFmtId="0" fontId="9" fillId="0" borderId="0" xfId="4" applyFont="1"/>
    <xf numFmtId="0" fontId="12" fillId="0" borderId="6" xfId="4" applyFont="1" applyBorder="1" applyAlignment="1">
      <alignment horizontal="left" vertical="center" wrapText="1" indent="1"/>
    </xf>
    <xf numFmtId="0" fontId="12" fillId="0" borderId="7" xfId="4" applyFont="1" applyBorder="1" applyAlignment="1">
      <alignment horizontal="left" vertical="center" wrapText="1" indent="1"/>
    </xf>
    <xf numFmtId="166" fontId="12" fillId="0" borderId="8" xfId="4" applyNumberFormat="1" applyFont="1" applyBorder="1" applyAlignment="1">
      <alignment horizontal="right" vertical="center" wrapText="1" indent="1"/>
    </xf>
    <xf numFmtId="49" fontId="9" fillId="0" borderId="20" xfId="4" applyNumberFormat="1" applyFont="1" applyBorder="1" applyAlignment="1">
      <alignment horizontal="left" vertical="center" wrapText="1" indent="1"/>
    </xf>
    <xf numFmtId="0" fontId="45" fillId="0" borderId="13" xfId="0" applyFont="1" applyBorder="1" applyAlignment="1">
      <alignment horizontal="left" wrapText="1" indent="1"/>
    </xf>
    <xf numFmtId="166" fontId="9" fillId="0" borderId="14" xfId="4" applyNumberFormat="1" applyFont="1" applyBorder="1" applyAlignment="1" applyProtection="1">
      <alignment horizontal="right" vertical="center" wrapText="1" indent="1"/>
      <protection locked="0"/>
    </xf>
    <xf numFmtId="49" fontId="9" fillId="0" borderId="21" xfId="4" applyNumberFormat="1" applyFont="1" applyBorder="1" applyAlignment="1">
      <alignment horizontal="left" vertical="center" wrapText="1" indent="1"/>
    </xf>
    <xf numFmtId="0" fontId="45" fillId="0" borderId="11" xfId="0" applyFont="1" applyBorder="1" applyAlignment="1">
      <alignment horizontal="left" wrapText="1" indent="1"/>
    </xf>
    <xf numFmtId="166" fontId="9" fillId="0" borderId="17" xfId="4" applyNumberFormat="1" applyFont="1" applyBorder="1" applyAlignment="1" applyProtection="1">
      <alignment horizontal="right" vertical="center" wrapText="1" indent="1"/>
      <protection locked="0"/>
    </xf>
    <xf numFmtId="0" fontId="45" fillId="0" borderId="11" xfId="0" applyFont="1" applyBorder="1" applyAlignment="1">
      <alignment horizontal="left" vertical="center" wrapText="1" indent="1"/>
    </xf>
    <xf numFmtId="49" fontId="9" fillId="0" borderId="22" xfId="4" applyNumberFormat="1" applyFont="1" applyBorder="1" applyAlignment="1">
      <alignment horizontal="left" vertical="center" wrapText="1" indent="1"/>
    </xf>
    <xf numFmtId="0" fontId="45" fillId="0" borderId="23" xfId="0" applyFont="1" applyBorder="1" applyAlignment="1">
      <alignment horizontal="left" vertical="center" wrapText="1" indent="1"/>
    </xf>
    <xf numFmtId="0" fontId="41" fillId="0" borderId="7" xfId="0" applyFont="1" applyBorder="1" applyAlignment="1">
      <alignment horizontal="left" vertical="center" wrapText="1" indent="1"/>
    </xf>
    <xf numFmtId="166" fontId="9" fillId="0" borderId="24" xfId="4" applyNumberFormat="1" applyFont="1" applyBorder="1" applyAlignment="1" applyProtection="1">
      <alignment horizontal="right" vertical="center" wrapText="1" indent="1"/>
      <protection locked="0"/>
    </xf>
    <xf numFmtId="0" fontId="45" fillId="0" borderId="23" xfId="0" applyFont="1" applyBorder="1" applyAlignment="1">
      <alignment horizontal="left" wrapText="1" indent="1"/>
    </xf>
    <xf numFmtId="166" fontId="7" fillId="0" borderId="8" xfId="4" applyNumberFormat="1" applyFont="1" applyBorder="1" applyAlignment="1">
      <alignment horizontal="right" vertical="center" wrapText="1" indent="1"/>
    </xf>
    <xf numFmtId="166" fontId="9" fillId="0" borderId="14" xfId="4" applyNumberFormat="1" applyFont="1" applyBorder="1" applyAlignment="1">
      <alignment horizontal="right" vertical="center" wrapText="1" indent="1"/>
    </xf>
    <xf numFmtId="0" fontId="45" fillId="0" borderId="11" xfId="0" quotePrefix="1" applyFont="1" applyBorder="1" applyAlignment="1">
      <alignment horizontal="left" wrapText="1" indent="1"/>
    </xf>
    <xf numFmtId="166" fontId="9" fillId="0" borderId="0" xfId="4" applyNumberFormat="1" applyFont="1"/>
    <xf numFmtId="166" fontId="2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2" fillId="0" borderId="24" xfId="4" applyNumberFormat="1" applyFont="1" applyBorder="1" applyAlignment="1" applyProtection="1">
      <alignment horizontal="right" vertical="center" wrapText="1" indent="1"/>
      <protection locked="0"/>
    </xf>
    <xf numFmtId="166" fontId="2" fillId="0" borderId="14" xfId="4" applyNumberFormat="1" applyFont="1" applyBorder="1" applyAlignment="1" applyProtection="1">
      <alignment horizontal="right" vertical="center" wrapText="1" indent="1"/>
      <protection locked="0"/>
    </xf>
    <xf numFmtId="0" fontId="12" fillId="0" borderId="6" xfId="4" applyFont="1" applyBorder="1" applyAlignment="1">
      <alignment horizontal="left" vertical="center" wrapText="1"/>
    </xf>
    <xf numFmtId="0" fontId="41" fillId="0" borderId="6" xfId="0" applyFont="1" applyBorder="1" applyAlignment="1">
      <alignment vertical="center" wrapText="1"/>
    </xf>
    <xf numFmtId="0" fontId="45" fillId="0" borderId="23" xfId="0" applyFont="1" applyBorder="1" applyAlignment="1">
      <alignment vertical="center" wrapText="1"/>
    </xf>
    <xf numFmtId="0" fontId="45" fillId="0" borderId="20" xfId="0" applyFont="1" applyBorder="1" applyAlignment="1">
      <alignment wrapText="1"/>
    </xf>
    <xf numFmtId="0" fontId="45" fillId="0" borderId="21" xfId="0" applyFont="1" applyBorder="1" applyAlignment="1">
      <alignment wrapText="1"/>
    </xf>
    <xf numFmtId="0" fontId="45" fillId="0" borderId="22" xfId="0" applyFont="1" applyBorder="1" applyAlignment="1">
      <alignment wrapText="1"/>
    </xf>
    <xf numFmtId="166" fontId="12" fillId="0" borderId="8" xfId="4" applyNumberFormat="1" applyFont="1" applyBorder="1" applyAlignment="1" applyProtection="1">
      <alignment horizontal="right" vertical="center" wrapText="1" indent="1"/>
      <protection locked="0"/>
    </xf>
    <xf numFmtId="0" fontId="41" fillId="0" borderId="7" xfId="0" applyFont="1" applyBorder="1" applyAlignment="1">
      <alignment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wrapText="1"/>
    </xf>
    <xf numFmtId="0" fontId="49" fillId="0" borderId="52" xfId="0" applyFont="1" applyBorder="1" applyAlignment="1">
      <alignment horizontal="right"/>
    </xf>
    <xf numFmtId="0" fontId="12" fillId="0" borderId="8" xfId="4" applyFont="1" applyBorder="1" applyAlignment="1">
      <alignment horizontal="center" vertical="center" wrapText="1"/>
    </xf>
    <xf numFmtId="0" fontId="12" fillId="0" borderId="19" xfId="4" applyFont="1" applyBorder="1" applyAlignment="1">
      <alignment horizontal="left" vertical="center" wrapText="1" indent="1"/>
    </xf>
    <xf numFmtId="0" fontId="12" fillId="0" borderId="5" xfId="4" applyFont="1" applyBorder="1" applyAlignment="1">
      <alignment vertical="center" wrapText="1"/>
    </xf>
    <xf numFmtId="166" fontId="12" fillId="0" borderId="27" xfId="4" applyNumberFormat="1" applyFont="1" applyBorder="1" applyAlignment="1">
      <alignment horizontal="right" vertical="center" wrapText="1" indent="1"/>
    </xf>
    <xf numFmtId="49" fontId="9" fillId="0" borderId="28" xfId="4" applyNumberFormat="1" applyFont="1" applyBorder="1" applyAlignment="1">
      <alignment horizontal="left" vertical="center" wrapText="1" indent="1"/>
    </xf>
    <xf numFmtId="0" fontId="9" fillId="0" borderId="2" xfId="4" applyFont="1" applyBorder="1" applyAlignment="1">
      <alignment horizontal="left" vertical="center" wrapText="1" indent="1"/>
    </xf>
    <xf numFmtId="166" fontId="9" fillId="0" borderId="29" xfId="4" applyNumberFormat="1" applyFont="1" applyBorder="1" applyAlignment="1" applyProtection="1">
      <alignment horizontal="right" vertical="center" wrapText="1" indent="1"/>
      <protection locked="0"/>
    </xf>
    <xf numFmtId="0" fontId="9" fillId="0" borderId="11" xfId="4" applyFont="1" applyBorder="1" applyAlignment="1">
      <alignment horizontal="left" vertical="center" wrapText="1" indent="1"/>
    </xf>
    <xf numFmtId="0" fontId="9" fillId="0" borderId="30" xfId="4" applyFont="1" applyBorder="1" applyAlignment="1">
      <alignment horizontal="left" vertical="center" wrapText="1" indent="1"/>
    </xf>
    <xf numFmtId="0" fontId="9" fillId="0" borderId="0" xfId="4" applyFont="1" applyAlignment="1">
      <alignment horizontal="left" vertical="center" wrapText="1" indent="1"/>
    </xf>
    <xf numFmtId="0" fontId="9" fillId="0" borderId="23" xfId="4" applyFont="1" applyBorder="1" applyAlignment="1">
      <alignment horizontal="left" vertical="center" wrapText="1" indent="6"/>
    </xf>
    <xf numFmtId="0" fontId="9" fillId="0" borderId="11" xfId="4" applyFont="1" applyBorder="1" applyAlignment="1">
      <alignment horizontal="left" indent="6"/>
    </xf>
    <xf numFmtId="0" fontId="9" fillId="0" borderId="11" xfId="4" applyFont="1" applyBorder="1" applyAlignment="1">
      <alignment horizontal="left" vertical="center" wrapText="1" indent="6"/>
    </xf>
    <xf numFmtId="49" fontId="9" fillId="0" borderId="31" xfId="4" applyNumberFormat="1" applyFont="1" applyBorder="1" applyAlignment="1">
      <alignment horizontal="left" vertical="center" wrapText="1" indent="1"/>
    </xf>
    <xf numFmtId="49" fontId="9" fillId="0" borderId="32" xfId="4" applyNumberFormat="1" applyFont="1" applyBorder="1" applyAlignment="1">
      <alignment horizontal="left" vertical="center" wrapText="1" indent="1"/>
    </xf>
    <xf numFmtId="0" fontId="9" fillId="0" borderId="3" xfId="4" applyFont="1" applyBorder="1" applyAlignment="1">
      <alignment horizontal="left" vertical="center" wrapText="1" indent="7"/>
    </xf>
    <xf numFmtId="166" fontId="9" fillId="0" borderId="15" xfId="4" applyNumberFormat="1" applyFont="1" applyBorder="1" applyAlignment="1" applyProtection="1">
      <alignment horizontal="right" vertical="center" wrapText="1" indent="1"/>
      <protection locked="0"/>
    </xf>
    <xf numFmtId="0" fontId="12" fillId="0" borderId="25" xfId="4" applyFont="1" applyBorder="1" applyAlignment="1">
      <alignment horizontal="left" vertical="center" wrapText="1" indent="1"/>
    </xf>
    <xf numFmtId="0" fontId="12" fillId="0" borderId="26" xfId="4" applyFont="1" applyBorder="1" applyAlignment="1">
      <alignment vertical="center" wrapText="1"/>
    </xf>
    <xf numFmtId="166" fontId="12" fillId="0" borderId="49" xfId="4" applyNumberFormat="1" applyFont="1" applyBorder="1" applyAlignment="1">
      <alignment horizontal="right" vertical="center" wrapText="1" indent="1"/>
    </xf>
    <xf numFmtId="0" fontId="9" fillId="0" borderId="23" xfId="4" applyFont="1" applyBorder="1" applyAlignment="1">
      <alignment horizontal="left" vertical="center" wrapText="1" indent="1"/>
    </xf>
    <xf numFmtId="166" fontId="9" fillId="0" borderId="33" xfId="4" applyNumberFormat="1" applyFont="1" applyBorder="1" applyAlignment="1" applyProtection="1">
      <alignment horizontal="right" vertical="center" wrapText="1" indent="1"/>
      <protection locked="0"/>
    </xf>
    <xf numFmtId="0" fontId="9" fillId="0" borderId="13" xfId="4" applyFont="1" applyBorder="1" applyAlignment="1">
      <alignment horizontal="left" vertical="center" wrapText="1" indent="6"/>
    </xf>
    <xf numFmtId="166" fontId="9" fillId="0" borderId="34" xfId="4" applyNumberFormat="1" applyFont="1" applyBorder="1" applyAlignment="1" applyProtection="1">
      <alignment horizontal="right" vertical="center" wrapText="1" indent="1"/>
      <protection locked="0"/>
    </xf>
    <xf numFmtId="0" fontId="7" fillId="0" borderId="7" xfId="4" applyFont="1" applyBorder="1" applyAlignment="1">
      <alignment horizontal="left" vertical="center" wrapText="1" indent="1"/>
    </xf>
    <xf numFmtId="0" fontId="9" fillId="0" borderId="13" xfId="4" applyFont="1" applyBorder="1" applyAlignment="1">
      <alignment horizontal="left" vertical="center" wrapText="1" indent="1"/>
    </xf>
    <xf numFmtId="0" fontId="9" fillId="0" borderId="12" xfId="4" applyFont="1" applyBorder="1" applyAlignment="1">
      <alignment horizontal="left" vertical="center" wrapText="1" indent="1"/>
    </xf>
    <xf numFmtId="166" fontId="41" fillId="0" borderId="8" xfId="0" applyNumberFormat="1" applyFont="1" applyBorder="1" applyAlignment="1">
      <alignment horizontal="right" vertical="center" wrapText="1" indent="1"/>
    </xf>
    <xf numFmtId="166" fontId="41" fillId="0" borderId="8" xfId="0" applyNumberFormat="1" applyFont="1" applyBorder="1" applyAlignment="1" applyProtection="1">
      <alignment horizontal="right" vertical="center" wrapText="1" indent="1"/>
      <protection locked="0"/>
    </xf>
    <xf numFmtId="166" fontId="41" fillId="0" borderId="8" xfId="0" quotePrefix="1" applyNumberFormat="1" applyFont="1" applyBorder="1" applyAlignment="1">
      <alignment horizontal="right" vertical="center" wrapText="1" indent="1"/>
    </xf>
    <xf numFmtId="0" fontId="41" fillId="0" borderId="25" xfId="0" applyFont="1" applyBorder="1" applyAlignment="1">
      <alignment horizontal="left" vertical="center" wrapText="1" indent="1"/>
    </xf>
    <xf numFmtId="0" fontId="41" fillId="0" borderId="26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 indent="1"/>
    </xf>
    <xf numFmtId="0" fontId="9" fillId="0" borderId="11" xfId="4" applyFont="1" applyBorder="1" applyAlignment="1">
      <alignment horizontal="left" vertical="center" wrapText="1" indent="7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6" fontId="12" fillId="0" borderId="34" xfId="0" applyNumberFormat="1" applyFont="1" applyBorder="1" applyAlignment="1">
      <alignment horizontal="right" vertical="center" wrapText="1" indent="1"/>
    </xf>
    <xf numFmtId="166" fontId="12" fillId="0" borderId="8" xfId="4" applyNumberFormat="1" applyFont="1" applyBorder="1" applyAlignment="1">
      <alignment horizontal="right" vertical="center" wrapText="1"/>
    </xf>
    <xf numFmtId="166" fontId="9" fillId="0" borderId="14" xfId="4" applyNumberFormat="1" applyFont="1" applyBorder="1" applyAlignment="1" applyProtection="1">
      <alignment horizontal="right" vertical="center" wrapText="1"/>
      <protection locked="0"/>
    </xf>
    <xf numFmtId="166" fontId="9" fillId="0" borderId="17" xfId="4" applyNumberFormat="1" applyFont="1" applyBorder="1" applyAlignment="1" applyProtection="1">
      <alignment horizontal="right" vertical="center" wrapText="1"/>
      <protection locked="0"/>
    </xf>
    <xf numFmtId="166" fontId="9" fillId="0" borderId="24" xfId="4" applyNumberFormat="1" applyFont="1" applyBorder="1" applyAlignment="1" applyProtection="1">
      <alignment horizontal="right" vertical="center" wrapText="1"/>
      <protection locked="0"/>
    </xf>
    <xf numFmtId="166" fontId="9" fillId="0" borderId="14" xfId="4" applyNumberFormat="1" applyFont="1" applyBorder="1" applyAlignment="1">
      <alignment horizontal="right" vertical="center" wrapText="1"/>
    </xf>
    <xf numFmtId="166" fontId="12" fillId="0" borderId="8" xfId="4" applyNumberFormat="1" applyFont="1" applyBorder="1" applyAlignment="1" applyProtection="1">
      <alignment horizontal="right" vertical="center" wrapText="1"/>
      <protection locked="0"/>
    </xf>
    <xf numFmtId="166" fontId="12" fillId="0" borderId="50" xfId="4" applyNumberFormat="1" applyFont="1" applyBorder="1" applyAlignment="1">
      <alignment horizontal="right" vertical="center" wrapText="1"/>
    </xf>
    <xf numFmtId="0" fontId="49" fillId="0" borderId="52" xfId="0" applyFont="1" applyBorder="1" applyAlignment="1">
      <alignment horizontal="right" vertical="center"/>
    </xf>
    <xf numFmtId="0" fontId="12" fillId="0" borderId="53" xfId="4" applyFont="1" applyBorder="1" applyAlignment="1">
      <alignment horizontal="center" vertical="center" wrapText="1"/>
    </xf>
    <xf numFmtId="166" fontId="9" fillId="0" borderId="11" xfId="4" applyNumberFormat="1" applyFont="1" applyBorder="1" applyAlignment="1" applyProtection="1">
      <alignment horizontal="right" vertical="center" wrapText="1" indent="1"/>
      <protection locked="0"/>
    </xf>
    <xf numFmtId="0" fontId="12" fillId="0" borderId="7" xfId="4" applyFont="1" applyBorder="1" applyAlignment="1">
      <alignment vertical="center" wrapText="1"/>
    </xf>
    <xf numFmtId="166" fontId="41" fillId="0" borderId="50" xfId="0" quotePrefix="1" applyNumberFormat="1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left" vertical="center"/>
    </xf>
    <xf numFmtId="0" fontId="12" fillId="0" borderId="18" xfId="0" applyFont="1" applyBorder="1" applyAlignment="1">
      <alignment vertical="center" wrapText="1"/>
    </xf>
    <xf numFmtId="3" fontId="12" fillId="0" borderId="49" xfId="0" applyNumberFormat="1" applyFont="1" applyBorder="1" applyAlignment="1" applyProtection="1">
      <alignment horizontal="right" vertical="center" wrapText="1" indent="1"/>
      <protection locked="0"/>
    </xf>
    <xf numFmtId="3" fontId="12" fillId="0" borderId="8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Font="1" applyAlignment="1">
      <alignment vertical="center" wrapText="1"/>
    </xf>
    <xf numFmtId="166" fontId="0" fillId="0" borderId="0" xfId="0" applyNumberFormat="1" applyFont="1" applyAlignment="1">
      <alignment horizontal="centerContinuous" vertical="center"/>
    </xf>
    <xf numFmtId="166" fontId="0" fillId="0" borderId="0" xfId="0" applyNumberFormat="1" applyFont="1" applyAlignment="1">
      <alignment horizontal="center" vertical="center" wrapText="1"/>
    </xf>
    <xf numFmtId="166" fontId="0" fillId="0" borderId="46" xfId="0" applyNumberFormat="1" applyFont="1" applyBorder="1" applyAlignment="1">
      <alignment horizontal="left" vertical="center" wrapText="1" indent="1"/>
    </xf>
    <xf numFmtId="166" fontId="0" fillId="0" borderId="44" xfId="0" applyNumberFormat="1" applyFont="1" applyBorder="1" applyAlignment="1">
      <alignment horizontal="left" vertical="center" wrapText="1" indent="1"/>
    </xf>
    <xf numFmtId="166" fontId="0" fillId="0" borderId="43" xfId="0" applyNumberFormat="1" applyFont="1" applyBorder="1" applyAlignment="1">
      <alignment horizontal="left" vertical="center" wrapText="1" indent="1"/>
    </xf>
    <xf numFmtId="166" fontId="0" fillId="0" borderId="26" xfId="0" applyNumberFormat="1" applyFont="1" applyBorder="1" applyAlignment="1">
      <alignment horizontal="center" vertical="center" wrapText="1"/>
    </xf>
    <xf numFmtId="166" fontId="0" fillId="0" borderId="56" xfId="0" applyNumberFormat="1" applyFont="1" applyBorder="1" applyAlignment="1" applyProtection="1">
      <alignment vertical="center" wrapText="1"/>
      <protection locked="0"/>
    </xf>
    <xf numFmtId="166" fontId="0" fillId="0" borderId="21" xfId="0" applyNumberFormat="1" applyFont="1" applyBorder="1" applyAlignment="1" applyProtection="1">
      <alignment vertical="center" wrapText="1"/>
      <protection locked="0"/>
    </xf>
    <xf numFmtId="166" fontId="0" fillId="0" borderId="30" xfId="0" applyNumberFormat="1" applyFont="1" applyBorder="1" applyAlignment="1" applyProtection="1">
      <alignment vertical="center" wrapText="1"/>
      <protection locked="0"/>
    </xf>
    <xf numFmtId="166" fontId="0" fillId="0" borderId="11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Font="1" applyBorder="1" applyAlignment="1" applyProtection="1">
      <alignment horizontal="center" vertical="center" wrapText="1"/>
      <protection locked="0"/>
    </xf>
    <xf numFmtId="166" fontId="0" fillId="0" borderId="17" xfId="0" applyNumberFormat="1" applyFont="1" applyBorder="1" applyAlignment="1">
      <alignment vertical="center" wrapText="1"/>
    </xf>
    <xf numFmtId="166" fontId="0" fillId="0" borderId="22" xfId="0" applyNumberFormat="1" applyFont="1" applyBorder="1" applyAlignment="1" applyProtection="1">
      <alignment vertical="center" wrapText="1"/>
      <protection locked="0"/>
    </xf>
    <xf numFmtId="166" fontId="0" fillId="0" borderId="59" xfId="0" applyNumberFormat="1" applyFont="1" applyBorder="1" applyAlignment="1" applyProtection="1">
      <alignment vertical="center" wrapText="1"/>
      <protection locked="0"/>
    </xf>
    <xf numFmtId="166" fontId="0" fillId="0" borderId="23" xfId="0" applyNumberFormat="1" applyFont="1" applyBorder="1" applyAlignment="1" applyProtection="1">
      <alignment vertical="center" wrapText="1"/>
      <protection locked="0"/>
    </xf>
    <xf numFmtId="49" fontId="0" fillId="0" borderId="23" xfId="0" applyNumberFormat="1" applyFont="1" applyBorder="1" applyAlignment="1" applyProtection="1">
      <alignment horizontal="center" vertical="center" wrapText="1"/>
      <protection locked="0"/>
    </xf>
    <xf numFmtId="166" fontId="0" fillId="0" borderId="24" xfId="0" applyNumberFormat="1" applyFont="1" applyBorder="1" applyAlignment="1">
      <alignment vertical="center" wrapText="1"/>
    </xf>
    <xf numFmtId="0" fontId="2" fillId="0" borderId="0" xfId="4" applyFont="1" applyAlignment="1">
      <alignment horizontal="right" vertical="center" indent="1"/>
    </xf>
    <xf numFmtId="0" fontId="46" fillId="0" borderId="11" xfId="0" applyFont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40" xfId="0" applyFont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49" fontId="0" fillId="0" borderId="7" xfId="0" applyNumberFormat="1" applyFont="1" applyBorder="1" applyAlignment="1" applyProtection="1">
      <alignment horizontal="center" vertical="center" wrapText="1"/>
      <protection locked="0"/>
    </xf>
    <xf numFmtId="166" fontId="0" fillId="0" borderId="37" xfId="0" applyNumberFormat="1" applyFont="1" applyBorder="1" applyAlignment="1">
      <alignment vertical="center" wrapText="1"/>
    </xf>
    <xf numFmtId="49" fontId="0" fillId="0" borderId="58" xfId="0" applyNumberFormat="1" applyFont="1" applyBorder="1" applyAlignment="1" applyProtection="1">
      <alignment horizontal="center" vertical="center" wrapText="1"/>
      <protection locked="0"/>
    </xf>
    <xf numFmtId="166" fontId="0" fillId="2" borderId="42" xfId="0" applyNumberFormat="1" applyFont="1" applyFill="1" applyBorder="1" applyAlignment="1">
      <alignment horizontal="left" vertical="center" wrapText="1" indent="2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 indent="1"/>
    </xf>
    <xf numFmtId="166" fontId="5" fillId="0" borderId="0" xfId="4" applyNumberFormat="1" applyFont="1"/>
    <xf numFmtId="166" fontId="34" fillId="0" borderId="52" xfId="4" applyNumberFormat="1" applyFont="1" applyBorder="1" applyAlignment="1">
      <alignment horizontal="left" vertical="center"/>
    </xf>
    <xf numFmtId="166" fontId="14" fillId="0" borderId="0" xfId="4" applyNumberFormat="1" applyFont="1" applyAlignment="1">
      <alignment horizontal="center" vertical="center"/>
    </xf>
    <xf numFmtId="166" fontId="34" fillId="0" borderId="52" xfId="4" applyNumberFormat="1" applyFont="1" applyBorder="1" applyAlignment="1">
      <alignment horizontal="left"/>
    </xf>
    <xf numFmtId="166" fontId="12" fillId="0" borderId="0" xfId="4" applyNumberFormat="1" applyFont="1" applyAlignment="1">
      <alignment horizontal="center" vertical="center"/>
    </xf>
    <xf numFmtId="166" fontId="23" fillId="0" borderId="52" xfId="4" applyNumberFormat="1" applyFont="1" applyBorder="1" applyAlignment="1">
      <alignment horizontal="left" vertical="center"/>
    </xf>
    <xf numFmtId="166" fontId="23" fillId="0" borderId="52" xfId="4" applyNumberFormat="1" applyFont="1" applyBorder="1" applyAlignment="1">
      <alignment horizontal="left"/>
    </xf>
    <xf numFmtId="166" fontId="32" fillId="0" borderId="60" xfId="0" applyNumberFormat="1" applyFont="1" applyBorder="1" applyAlignment="1">
      <alignment horizontal="center" vertical="center" wrapText="1"/>
    </xf>
    <xf numFmtId="166" fontId="32" fillId="0" borderId="61" xfId="0" applyNumberFormat="1" applyFont="1" applyBorder="1" applyAlignment="1">
      <alignment horizontal="center" vertical="center" wrapText="1"/>
    </xf>
    <xf numFmtId="166" fontId="37" fillId="0" borderId="50" xfId="0" applyNumberFormat="1" applyFont="1" applyBorder="1" applyAlignment="1">
      <alignment horizontal="center" vertical="center" wrapText="1"/>
    </xf>
    <xf numFmtId="166" fontId="32" fillId="0" borderId="62" xfId="0" applyNumberFormat="1" applyFont="1" applyBorder="1" applyAlignment="1">
      <alignment horizontal="center" vertical="center" wrapText="1"/>
    </xf>
    <xf numFmtId="166" fontId="32" fillId="0" borderId="63" xfId="0" applyNumberFormat="1" applyFont="1" applyBorder="1" applyAlignment="1">
      <alignment horizontal="center" vertical="center" wrapText="1"/>
    </xf>
    <xf numFmtId="166" fontId="29" fillId="0" borderId="0" xfId="4" applyNumberFormat="1" applyFont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14" fillId="0" borderId="29" xfId="4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14" fillId="0" borderId="28" xfId="4" applyFont="1" applyBorder="1" applyAlignment="1">
      <alignment horizontal="center" vertical="center" wrapText="1"/>
    </xf>
    <xf numFmtId="0" fontId="14" fillId="0" borderId="22" xfId="4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14" fillId="0" borderId="23" xfId="4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0" fontId="32" fillId="0" borderId="6" xfId="4" applyFont="1" applyBorder="1" applyAlignment="1">
      <alignment horizontal="left"/>
    </xf>
    <xf numFmtId="0" fontId="32" fillId="0" borderId="7" xfId="4" applyFont="1" applyBorder="1" applyAlignment="1">
      <alignment horizontal="left"/>
    </xf>
    <xf numFmtId="0" fontId="18" fillId="0" borderId="50" xfId="4" applyFont="1" applyBorder="1" applyAlignment="1">
      <alignment horizontal="justify" vertical="center" wrapText="1"/>
    </xf>
    <xf numFmtId="3" fontId="7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166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35" fillId="0" borderId="4" xfId="0" applyFont="1" applyBorder="1" applyAlignment="1">
      <alignment horizontal="left" indent="1"/>
    </xf>
    <xf numFmtId="0" fontId="35" fillId="0" borderId="16" xfId="0" applyFont="1" applyBorder="1" applyAlignment="1">
      <alignment horizontal="left" indent="1"/>
    </xf>
    <xf numFmtId="0" fontId="35" fillId="0" borderId="18" xfId="0" applyFont="1" applyBorder="1" applyAlignment="1">
      <alignment horizontal="left" indent="1"/>
    </xf>
    <xf numFmtId="0" fontId="5" fillId="0" borderId="2" xfId="0" applyFont="1" applyBorder="1" applyAlignment="1" applyProtection="1">
      <alignment horizontal="right" indent="1"/>
      <protection locked="0"/>
    </xf>
    <xf numFmtId="0" fontId="5" fillId="0" borderId="29" xfId="0" applyFont="1" applyBorder="1" applyAlignment="1" applyProtection="1">
      <alignment horizontal="right" indent="1"/>
      <protection locked="0"/>
    </xf>
    <xf numFmtId="0" fontId="5" fillId="0" borderId="23" xfId="0" applyFont="1" applyBorder="1" applyAlignment="1" applyProtection="1">
      <alignment horizontal="right" indent="1"/>
      <protection locked="0"/>
    </xf>
    <xf numFmtId="0" fontId="5" fillId="0" borderId="24" xfId="0" applyFont="1" applyBorder="1" applyAlignment="1" applyProtection="1">
      <alignment horizontal="right" indent="1"/>
      <protection locked="0"/>
    </xf>
    <xf numFmtId="0" fontId="35" fillId="0" borderId="7" xfId="0" applyFont="1" applyBorder="1" applyAlignment="1">
      <alignment horizontal="right" indent="1"/>
    </xf>
    <xf numFmtId="0" fontId="35" fillId="0" borderId="8" xfId="0" applyFont="1" applyBorder="1" applyAlignment="1">
      <alignment horizontal="right" indent="1"/>
    </xf>
    <xf numFmtId="0" fontId="35" fillId="0" borderId="5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0" fontId="5" fillId="0" borderId="1" xfId="0" applyFont="1" applyBorder="1" applyAlignment="1" applyProtection="1">
      <alignment horizontal="left" indent="1"/>
      <protection locked="0"/>
    </xf>
    <xf numFmtId="0" fontId="5" fillId="0" borderId="66" xfId="0" applyFont="1" applyBorder="1" applyAlignment="1" applyProtection="1">
      <alignment horizontal="left" indent="1"/>
      <protection locked="0"/>
    </xf>
    <xf numFmtId="0" fontId="5" fillId="0" borderId="67" xfId="0" applyFont="1" applyBorder="1" applyAlignment="1" applyProtection="1">
      <alignment horizontal="left" indent="1"/>
      <protection locked="0"/>
    </xf>
    <xf numFmtId="0" fontId="5" fillId="0" borderId="9" xfId="0" applyFont="1" applyBorder="1" applyAlignment="1" applyProtection="1">
      <alignment horizontal="left" indent="1"/>
      <protection locked="0"/>
    </xf>
    <xf numFmtId="0" fontId="5" fillId="0" borderId="10" xfId="0" applyFont="1" applyBorder="1" applyAlignment="1" applyProtection="1">
      <alignment horizontal="left" indent="1"/>
      <protection locked="0"/>
    </xf>
    <xf numFmtId="0" fontId="5" fillId="0" borderId="59" xfId="0" applyFont="1" applyBorder="1" applyAlignment="1" applyProtection="1">
      <alignment horizontal="left" indent="1"/>
      <protection locked="0"/>
    </xf>
    <xf numFmtId="166" fontId="8" fillId="0" borderId="52" xfId="4" applyNumberFormat="1" applyFont="1" applyBorder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 wrapText="1"/>
    </xf>
    <xf numFmtId="166" fontId="7" fillId="0" borderId="0" xfId="0" applyNumberFormat="1" applyFont="1" applyAlignment="1">
      <alignment horizontal="center" vertical="center" wrapText="1"/>
    </xf>
    <xf numFmtId="166" fontId="32" fillId="0" borderId="4" xfId="0" applyNumberFormat="1" applyFont="1" applyBorder="1" applyAlignment="1">
      <alignment horizontal="left" vertical="center" wrapText="1" indent="2"/>
    </xf>
    <xf numFmtId="166" fontId="32" fillId="0" borderId="53" xfId="0" applyNumberFormat="1" applyFont="1" applyBorder="1" applyAlignment="1">
      <alignment horizontal="left" vertical="center" wrapText="1" indent="2"/>
    </xf>
    <xf numFmtId="166" fontId="32" fillId="0" borderId="60" xfId="0" applyNumberFormat="1" applyFont="1" applyBorder="1" applyAlignment="1">
      <alignment horizontal="center" vertical="center"/>
    </xf>
    <xf numFmtId="166" fontId="32" fillId="0" borderId="61" xfId="0" applyNumberFormat="1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 vertical="center"/>
    </xf>
    <xf numFmtId="166" fontId="32" fillId="0" borderId="66" xfId="0" applyNumberFormat="1" applyFont="1" applyBorder="1" applyAlignment="1">
      <alignment horizontal="center" vertical="center"/>
    </xf>
    <xf numFmtId="166" fontId="32" fillId="0" borderId="57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justify" vertical="center" wrapText="1"/>
    </xf>
    <xf numFmtId="0" fontId="41" fillId="0" borderId="0" xfId="0" applyFont="1" applyAlignment="1">
      <alignment horizontal="center" wrapText="1"/>
    </xf>
    <xf numFmtId="0" fontId="42" fillId="0" borderId="42" xfId="5" applyFont="1" applyBorder="1" applyAlignment="1">
      <alignment horizontal="left" vertical="center" indent="1"/>
    </xf>
    <xf numFmtId="0" fontId="42" fillId="0" borderId="16" xfId="5" applyFont="1" applyBorder="1" applyAlignment="1">
      <alignment horizontal="left" vertical="center" indent="1"/>
    </xf>
    <xf numFmtId="0" fontId="42" fillId="0" borderId="53" xfId="5" applyFont="1" applyBorder="1" applyAlignment="1">
      <alignment horizontal="left" vertical="center" indent="1"/>
    </xf>
    <xf numFmtId="0" fontId="41" fillId="0" borderId="0" xfId="5" applyFont="1" applyAlignment="1">
      <alignment horizontal="center" wrapText="1"/>
    </xf>
    <xf numFmtId="0" fontId="41" fillId="0" borderId="0" xfId="5" applyFont="1" applyAlignment="1">
      <alignment horizontal="center"/>
    </xf>
    <xf numFmtId="0" fontId="42" fillId="0" borderId="54" xfId="5" applyFont="1" applyBorder="1" applyAlignment="1">
      <alignment horizontal="left" vertical="center" indent="1"/>
    </xf>
    <xf numFmtId="0" fontId="42" fillId="0" borderId="52" xfId="5" applyFont="1" applyBorder="1" applyAlignment="1">
      <alignment horizontal="left" vertical="center" indent="1"/>
    </xf>
    <xf numFmtId="0" fontId="42" fillId="0" borderId="36" xfId="5" applyFont="1" applyBorder="1" applyAlignment="1">
      <alignment horizontal="left" vertical="center" indent="1"/>
    </xf>
    <xf numFmtId="0" fontId="46" fillId="0" borderId="0" xfId="5" applyFont="1" applyAlignment="1" applyProtection="1">
      <alignment horizontal="center"/>
      <protection locked="0"/>
    </xf>
    <xf numFmtId="0" fontId="7" fillId="0" borderId="4" xfId="0" applyFont="1" applyBorder="1" applyAlignment="1">
      <alignment horizontal="left" vertical="center" indent="2"/>
    </xf>
    <xf numFmtId="0" fontId="7" fillId="0" borderId="18" xfId="0" applyFont="1" applyBorder="1" applyAlignment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nzugy3\Asztal\K&#246;lts&#233;gvet&#233;s\K&#246;lts&#233;gvet&#233;s-2015\Ktgv-2015-M&#369;v.H&#225;z\Ktgv.2.m&#243;d-2015.09-M&#369;v.H&#225;z\Ktgv.2.m&#243;d-2015.09-M&#369;v.H&#225;z\Ktgv.2.m&#243;d-ervik-M&#369;v.H-2015.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FFC000"/>
  </sheetPr>
  <dimension ref="A1:G163"/>
  <sheetViews>
    <sheetView view="pageLayout" zoomScaleNormal="98" zoomScaleSheetLayoutView="100" workbookViewId="0">
      <selection activeCell="C2" sqref="C2"/>
    </sheetView>
  </sheetViews>
  <sheetFormatPr defaultRowHeight="12.75"/>
  <cols>
    <col min="1" max="1" width="9.5" style="422" customWidth="1"/>
    <col min="2" max="2" width="77.5" style="422" bestFit="1" customWidth="1"/>
    <col min="3" max="3" width="19" style="624" bestFit="1" customWidth="1"/>
    <col min="4" max="7" width="21.6640625" style="624" bestFit="1" customWidth="1"/>
    <col min="8" max="16384" width="9.33203125" style="422"/>
  </cols>
  <sheetData>
    <row r="1" spans="1:7">
      <c r="B1" s="621" t="s">
        <v>644</v>
      </c>
    </row>
    <row r="2" spans="1:7">
      <c r="B2" s="621" t="s">
        <v>672</v>
      </c>
    </row>
    <row r="5" spans="1:7">
      <c r="A5" s="787" t="s">
        <v>11</v>
      </c>
      <c r="B5" s="787"/>
      <c r="C5" s="422"/>
      <c r="D5" s="422"/>
      <c r="E5" s="422"/>
      <c r="F5" s="422"/>
      <c r="G5" s="422"/>
    </row>
    <row r="6" spans="1:7" ht="14.25" thickBot="1">
      <c r="A6" s="786" t="s">
        <v>142</v>
      </c>
      <c r="B6" s="786"/>
      <c r="C6" s="484" t="s">
        <v>581</v>
      </c>
      <c r="D6" s="484" t="s">
        <v>581</v>
      </c>
      <c r="E6" s="484" t="s">
        <v>581</v>
      </c>
      <c r="F6" s="484" t="s">
        <v>581</v>
      </c>
      <c r="G6" s="484" t="s">
        <v>581</v>
      </c>
    </row>
    <row r="7" spans="1:7" ht="26.25" thickBot="1">
      <c r="A7" s="219" t="s">
        <v>64</v>
      </c>
      <c r="B7" s="220" t="s">
        <v>13</v>
      </c>
      <c r="C7" s="535" t="s">
        <v>690</v>
      </c>
      <c r="D7" s="569" t="s">
        <v>716</v>
      </c>
      <c r="E7" s="569" t="s">
        <v>719</v>
      </c>
      <c r="F7" s="569" t="s">
        <v>729</v>
      </c>
      <c r="G7" s="569" t="s">
        <v>750</v>
      </c>
    </row>
    <row r="8" spans="1:7" s="41" customFormat="1" ht="13.5" thickBot="1">
      <c r="A8" s="525" t="s">
        <v>483</v>
      </c>
      <c r="B8" s="526" t="s">
        <v>484</v>
      </c>
      <c r="C8" s="530" t="s">
        <v>485</v>
      </c>
      <c r="D8" s="530" t="s">
        <v>485</v>
      </c>
      <c r="E8" s="530" t="s">
        <v>485</v>
      </c>
      <c r="F8" s="530" t="s">
        <v>485</v>
      </c>
      <c r="G8" s="530" t="s">
        <v>485</v>
      </c>
    </row>
    <row r="9" spans="1:7" s="41" customFormat="1" ht="13.5" thickBot="1">
      <c r="A9" s="221" t="s">
        <v>14</v>
      </c>
      <c r="B9" s="222" t="s">
        <v>241</v>
      </c>
      <c r="C9" s="504">
        <f>+C10+C11+C12+C13+C14+C15</f>
        <v>223966276</v>
      </c>
      <c r="D9" s="504">
        <f>+D10+D11+D12+D13+D14+D15</f>
        <v>233099072</v>
      </c>
      <c r="E9" s="504">
        <f>+E10+E11+E12+E13+E14+E15</f>
        <v>234553676</v>
      </c>
      <c r="F9" s="504">
        <f>+F10+F11+F12+F13+F14+F15</f>
        <v>239005928</v>
      </c>
      <c r="G9" s="504">
        <f>+G10+G11+G12+G13+G14+G15</f>
        <v>260181308</v>
      </c>
    </row>
    <row r="10" spans="1:7" s="41" customFormat="1">
      <c r="A10" s="223" t="s">
        <v>93</v>
      </c>
      <c r="B10" s="109" t="s">
        <v>242</v>
      </c>
      <c r="C10" s="501">
        <v>118506104</v>
      </c>
      <c r="D10" s="501">
        <f>118774024</f>
        <v>118774024</v>
      </c>
      <c r="E10" s="501">
        <f>119109265</f>
        <v>119109265</v>
      </c>
      <c r="F10" s="501">
        <f>120907086</f>
        <v>120907086</v>
      </c>
      <c r="G10" s="501">
        <v>121219867</v>
      </c>
    </row>
    <row r="11" spans="1:7" s="41" customFormat="1">
      <c r="A11" s="224" t="s">
        <v>94</v>
      </c>
      <c r="B11" s="110" t="s">
        <v>243</v>
      </c>
      <c r="C11" s="496">
        <v>64532484</v>
      </c>
      <c r="D11" s="496">
        <f>64532484</f>
        <v>64532484</v>
      </c>
      <c r="E11" s="496">
        <f>64896126</f>
        <v>64896126</v>
      </c>
      <c r="F11" s="496">
        <f>66066126</f>
        <v>66066126</v>
      </c>
      <c r="G11" s="496">
        <v>65887942</v>
      </c>
    </row>
    <row r="12" spans="1:7" s="41" customFormat="1">
      <c r="A12" s="224" t="s">
        <v>95</v>
      </c>
      <c r="B12" s="110" t="s">
        <v>244</v>
      </c>
      <c r="C12" s="496">
        <v>37842188</v>
      </c>
      <c r="D12" s="496">
        <f>37842188</f>
        <v>37842188</v>
      </c>
      <c r="E12" s="496">
        <f>37842188</f>
        <v>37842188</v>
      </c>
      <c r="F12" s="496">
        <f>36493302</f>
        <v>36493302</v>
      </c>
      <c r="G12" s="496">
        <v>36360302</v>
      </c>
    </row>
    <row r="13" spans="1:7" s="41" customFormat="1">
      <c r="A13" s="224" t="s">
        <v>96</v>
      </c>
      <c r="B13" s="110" t="s">
        <v>245</v>
      </c>
      <c r="C13" s="496">
        <v>3085500</v>
      </c>
      <c r="D13" s="496">
        <f>3430376</f>
        <v>3430376</v>
      </c>
      <c r="E13" s="496">
        <f>4186097</f>
        <v>4186097</v>
      </c>
      <c r="F13" s="496">
        <f>4618364</f>
        <v>4618364</v>
      </c>
      <c r="G13" s="496">
        <v>4833547</v>
      </c>
    </row>
    <row r="14" spans="1:7" s="41" customFormat="1">
      <c r="A14" s="224" t="s">
        <v>139</v>
      </c>
      <c r="B14" s="225" t="s">
        <v>426</v>
      </c>
      <c r="C14" s="496"/>
      <c r="D14" s="496">
        <f>8520000</f>
        <v>8520000</v>
      </c>
      <c r="E14" s="496">
        <f>8520000</f>
        <v>8520000</v>
      </c>
      <c r="F14" s="496">
        <f>10921050</f>
        <v>10921050</v>
      </c>
      <c r="G14" s="496">
        <v>31879650</v>
      </c>
    </row>
    <row r="15" spans="1:7" s="41" customFormat="1" ht="13.5" thickBot="1">
      <c r="A15" s="226" t="s">
        <v>97</v>
      </c>
      <c r="B15" s="227" t="s">
        <v>427</v>
      </c>
      <c r="C15" s="496"/>
      <c r="D15" s="496"/>
      <c r="E15" s="496"/>
      <c r="F15" s="496"/>
      <c r="G15" s="496"/>
    </row>
    <row r="16" spans="1:7" s="41" customFormat="1" ht="13.5" thickBot="1">
      <c r="A16" s="221" t="s">
        <v>15</v>
      </c>
      <c r="B16" s="228" t="s">
        <v>246</v>
      </c>
      <c r="C16" s="504">
        <f>+C17+C18+C19+C20+C21</f>
        <v>75745329</v>
      </c>
      <c r="D16" s="504">
        <f>+D17+D18+D19+D20+D21</f>
        <v>80592522</v>
      </c>
      <c r="E16" s="504">
        <f>+E17+E18+E19+E20+E21</f>
        <v>85492481</v>
      </c>
      <c r="F16" s="504">
        <f>+F17+F18+F19+F20+F21</f>
        <v>89736948</v>
      </c>
      <c r="G16" s="504">
        <f>+G17+G18+G19+G20+G21</f>
        <v>77975959</v>
      </c>
    </row>
    <row r="17" spans="1:7" s="41" customFormat="1">
      <c r="A17" s="223" t="s">
        <v>99</v>
      </c>
      <c r="B17" s="109" t="s">
        <v>247</v>
      </c>
      <c r="C17" s="501"/>
      <c r="D17" s="501"/>
      <c r="E17" s="501">
        <f>139498</f>
        <v>139498</v>
      </c>
      <c r="F17" s="501"/>
      <c r="G17" s="501"/>
    </row>
    <row r="18" spans="1:7" s="41" customFormat="1">
      <c r="A18" s="224" t="s">
        <v>100</v>
      </c>
      <c r="B18" s="110" t="s">
        <v>248</v>
      </c>
      <c r="C18" s="496"/>
      <c r="D18" s="496"/>
      <c r="E18" s="496"/>
      <c r="F18" s="496"/>
      <c r="G18" s="496"/>
    </row>
    <row r="19" spans="1:7" s="41" customFormat="1">
      <c r="A19" s="224" t="s">
        <v>101</v>
      </c>
      <c r="B19" s="110" t="s">
        <v>416</v>
      </c>
      <c r="C19" s="496"/>
      <c r="D19" s="496"/>
      <c r="E19" s="496"/>
      <c r="F19" s="496"/>
      <c r="G19" s="496"/>
    </row>
    <row r="20" spans="1:7" s="41" customFormat="1">
      <c r="A20" s="224" t="s">
        <v>102</v>
      </c>
      <c r="B20" s="110" t="s">
        <v>417</v>
      </c>
      <c r="C20" s="496"/>
      <c r="D20" s="496"/>
      <c r="E20" s="496"/>
      <c r="F20" s="496"/>
      <c r="G20" s="496"/>
    </row>
    <row r="21" spans="1:7" s="41" customFormat="1">
      <c r="A21" s="224" t="s">
        <v>103</v>
      </c>
      <c r="B21" s="110" t="s">
        <v>249</v>
      </c>
      <c r="C21" s="496">
        <f>75066371+678958</f>
        <v>75745329</v>
      </c>
      <c r="D21" s="496">
        <f>79913564+678958</f>
        <v>80592522</v>
      </c>
      <c r="E21" s="496">
        <f>85352983</f>
        <v>85352983</v>
      </c>
      <c r="F21" s="496">
        <f>87759849+1298141+678958</f>
        <v>89736948</v>
      </c>
      <c r="G21" s="496">
        <f>77975959</f>
        <v>77975959</v>
      </c>
    </row>
    <row r="22" spans="1:7" s="41" customFormat="1" ht="13.5" thickBot="1">
      <c r="A22" s="226" t="s">
        <v>112</v>
      </c>
      <c r="B22" s="227" t="s">
        <v>250</v>
      </c>
      <c r="C22" s="497"/>
      <c r="D22" s="497"/>
      <c r="E22" s="497"/>
      <c r="F22" s="497"/>
      <c r="G22" s="497"/>
    </row>
    <row r="23" spans="1:7" s="41" customFormat="1" ht="13.5" thickBot="1">
      <c r="A23" s="221" t="s">
        <v>16</v>
      </c>
      <c r="B23" s="222" t="s">
        <v>251</v>
      </c>
      <c r="C23" s="504">
        <f>+C24+C25+C26+C27+C28</f>
        <v>39844721</v>
      </c>
      <c r="D23" s="504">
        <f>+D24+D25+D26+D27+D28</f>
        <v>32531109</v>
      </c>
      <c r="E23" s="504">
        <f>+E24+E25+E26+E27+E28</f>
        <v>32531109</v>
      </c>
      <c r="F23" s="504">
        <f>+F24+F25+F26+F27+F28</f>
        <v>35321341</v>
      </c>
      <c r="G23" s="504">
        <f>+G24+G25+G26+G27+G28</f>
        <v>285894704</v>
      </c>
    </row>
    <row r="24" spans="1:7" s="41" customFormat="1">
      <c r="A24" s="223" t="s">
        <v>82</v>
      </c>
      <c r="B24" s="109" t="s">
        <v>252</v>
      </c>
      <c r="C24" s="501"/>
      <c r="D24" s="501"/>
      <c r="E24" s="501"/>
      <c r="F24" s="501"/>
      <c r="G24" s="501"/>
    </row>
    <row r="25" spans="1:7" s="41" customFormat="1">
      <c r="A25" s="224" t="s">
        <v>83</v>
      </c>
      <c r="B25" s="110" t="s">
        <v>253</v>
      </c>
      <c r="C25" s="496"/>
      <c r="D25" s="496"/>
      <c r="E25" s="496"/>
      <c r="F25" s="496"/>
      <c r="G25" s="496"/>
    </row>
    <row r="26" spans="1:7" s="41" customFormat="1">
      <c r="A26" s="224" t="s">
        <v>84</v>
      </c>
      <c r="B26" s="110" t="s">
        <v>418</v>
      </c>
      <c r="C26" s="496"/>
      <c r="D26" s="496"/>
      <c r="E26" s="496"/>
      <c r="F26" s="496"/>
      <c r="G26" s="496"/>
    </row>
    <row r="27" spans="1:7" s="41" customFormat="1">
      <c r="A27" s="224" t="s">
        <v>85</v>
      </c>
      <c r="B27" s="110" t="s">
        <v>419</v>
      </c>
      <c r="C27" s="496"/>
      <c r="D27" s="496"/>
      <c r="E27" s="496"/>
      <c r="F27" s="496"/>
      <c r="G27" s="496"/>
    </row>
    <row r="28" spans="1:7" s="41" customFormat="1">
      <c r="A28" s="224" t="s">
        <v>160</v>
      </c>
      <c r="B28" s="110" t="s">
        <v>254</v>
      </c>
      <c r="C28" s="496">
        <v>39844721</v>
      </c>
      <c r="D28" s="496">
        <f>32531109</f>
        <v>32531109</v>
      </c>
      <c r="E28" s="496">
        <f>32531109</f>
        <v>32531109</v>
      </c>
      <c r="F28" s="496">
        <f>35321341</f>
        <v>35321341</v>
      </c>
      <c r="G28" s="496">
        <v>285894704</v>
      </c>
    </row>
    <row r="29" spans="1:7" s="41" customFormat="1" ht="13.5" thickBot="1">
      <c r="A29" s="226" t="s">
        <v>161</v>
      </c>
      <c r="B29" s="112" t="s">
        <v>255</v>
      </c>
      <c r="C29" s="497"/>
      <c r="D29" s="497"/>
      <c r="E29" s="497"/>
      <c r="F29" s="497"/>
      <c r="G29" s="497"/>
    </row>
    <row r="30" spans="1:7" s="41" customFormat="1" ht="13.5" thickBot="1">
      <c r="A30" s="221" t="s">
        <v>162</v>
      </c>
      <c r="B30" s="222" t="s">
        <v>256</v>
      </c>
      <c r="C30" s="505">
        <f>+C31+C35+C36+C37</f>
        <v>137750000</v>
      </c>
      <c r="D30" s="505">
        <f>+D31+D35+D36+D37</f>
        <v>137750000</v>
      </c>
      <c r="E30" s="505">
        <f>+E31+E35+E36+E37</f>
        <v>137750000</v>
      </c>
      <c r="F30" s="505">
        <f>+F31+F35+F36+F37</f>
        <v>138050000</v>
      </c>
      <c r="G30" s="505">
        <f>+G31+G35+G36+G37</f>
        <v>150310000</v>
      </c>
    </row>
    <row r="31" spans="1:7" s="41" customFormat="1">
      <c r="A31" s="223" t="s">
        <v>257</v>
      </c>
      <c r="B31" s="109" t="s">
        <v>433</v>
      </c>
      <c r="C31" s="531">
        <f>+C32+C33+C34</f>
        <v>100000000</v>
      </c>
      <c r="D31" s="531">
        <f>+D32+D33+D34</f>
        <v>100000000</v>
      </c>
      <c r="E31" s="531">
        <f>+E32+E33+E34</f>
        <v>100000000</v>
      </c>
      <c r="F31" s="531">
        <f>+F32+F33+F34</f>
        <v>100000000</v>
      </c>
      <c r="G31" s="531">
        <f>+G32+G33+G34</f>
        <v>109740000</v>
      </c>
    </row>
    <row r="32" spans="1:7" s="41" customFormat="1">
      <c r="A32" s="224" t="s">
        <v>258</v>
      </c>
      <c r="B32" s="110" t="s">
        <v>263</v>
      </c>
      <c r="C32" s="496">
        <v>58000000</v>
      </c>
      <c r="D32" s="496">
        <v>58000000</v>
      </c>
      <c r="E32" s="496">
        <v>58000000</v>
      </c>
      <c r="F32" s="496">
        <v>58000000</v>
      </c>
      <c r="G32" s="496">
        <v>58540000</v>
      </c>
    </row>
    <row r="33" spans="1:7" s="41" customFormat="1">
      <c r="A33" s="224" t="s">
        <v>259</v>
      </c>
      <c r="B33" s="110" t="s">
        <v>264</v>
      </c>
      <c r="C33" s="496"/>
      <c r="D33" s="496"/>
      <c r="E33" s="496"/>
      <c r="F33" s="496"/>
      <c r="G33" s="496"/>
    </row>
    <row r="34" spans="1:7" s="41" customFormat="1">
      <c r="A34" s="224" t="s">
        <v>431</v>
      </c>
      <c r="B34" s="111" t="s">
        <v>432</v>
      </c>
      <c r="C34" s="496">
        <v>42000000</v>
      </c>
      <c r="D34" s="496">
        <v>42000000</v>
      </c>
      <c r="E34" s="496">
        <v>42000000</v>
      </c>
      <c r="F34" s="496">
        <v>42000000</v>
      </c>
      <c r="G34" s="496">
        <v>51200000</v>
      </c>
    </row>
    <row r="35" spans="1:7" s="41" customFormat="1">
      <c r="A35" s="224" t="s">
        <v>260</v>
      </c>
      <c r="B35" s="110" t="s">
        <v>265</v>
      </c>
      <c r="C35" s="496">
        <v>9000000</v>
      </c>
      <c r="D35" s="496">
        <v>9000000</v>
      </c>
      <c r="E35" s="496">
        <v>9000000</v>
      </c>
      <c r="F35" s="496">
        <v>9000000</v>
      </c>
      <c r="G35" s="496">
        <v>9770000</v>
      </c>
    </row>
    <row r="36" spans="1:7" s="41" customFormat="1">
      <c r="A36" s="224" t="s">
        <v>261</v>
      </c>
      <c r="B36" s="110" t="s">
        <v>266</v>
      </c>
      <c r="C36" s="496">
        <v>27500000</v>
      </c>
      <c r="D36" s="496">
        <v>27500000</v>
      </c>
      <c r="E36" s="496">
        <v>27500000</v>
      </c>
      <c r="F36" s="496">
        <v>27500000</v>
      </c>
      <c r="G36" s="496">
        <v>28790000</v>
      </c>
    </row>
    <row r="37" spans="1:7" s="41" customFormat="1" ht="13.5" thickBot="1">
      <c r="A37" s="226" t="s">
        <v>262</v>
      </c>
      <c r="B37" s="112" t="s">
        <v>267</v>
      </c>
      <c r="C37" s="497">
        <f>200000+1050000</f>
        <v>1250000</v>
      </c>
      <c r="D37" s="497">
        <f>200000+1050000</f>
        <v>1250000</v>
      </c>
      <c r="E37" s="497">
        <f>200000+1050000</f>
        <v>1250000</v>
      </c>
      <c r="F37" s="497">
        <f>500000+1050000</f>
        <v>1550000</v>
      </c>
      <c r="G37" s="497">
        <v>2010000</v>
      </c>
    </row>
    <row r="38" spans="1:7" s="41" customFormat="1" ht="13.5" thickBot="1">
      <c r="A38" s="221" t="s">
        <v>18</v>
      </c>
      <c r="B38" s="222" t="s">
        <v>428</v>
      </c>
      <c r="C38" s="504">
        <f>SUM(C39:C49)</f>
        <v>133382632</v>
      </c>
      <c r="D38" s="504">
        <f>SUM(D39:D49)</f>
        <v>133598589</v>
      </c>
      <c r="E38" s="504">
        <f>SUM(E39:E49)</f>
        <v>134323709</v>
      </c>
      <c r="F38" s="504">
        <f>SUM(F39:F49)</f>
        <v>173624709</v>
      </c>
      <c r="G38" s="504">
        <f>SUM(G39:G49)</f>
        <v>175264709</v>
      </c>
    </row>
    <row r="39" spans="1:7" s="41" customFormat="1">
      <c r="A39" s="223" t="s">
        <v>86</v>
      </c>
      <c r="B39" s="109" t="s">
        <v>270</v>
      </c>
      <c r="C39" s="501"/>
      <c r="D39" s="501"/>
      <c r="E39" s="501"/>
      <c r="F39" s="501"/>
      <c r="G39" s="501"/>
    </row>
    <row r="40" spans="1:7" s="41" customFormat="1">
      <c r="A40" s="224" t="s">
        <v>87</v>
      </c>
      <c r="B40" s="110" t="s">
        <v>271</v>
      </c>
      <c r="C40" s="496">
        <f>'1.3.sz.mell.'!C41+4214790+3149606+2120000</f>
        <v>101843710</v>
      </c>
      <c r="D40" s="496">
        <f>99893755+2120000</f>
        <v>102013755</v>
      </c>
      <c r="E40" s="496">
        <f>11921575+90092180</f>
        <v>102013755</v>
      </c>
      <c r="F40" s="496">
        <f>23208883+5000+3820000+102684872</f>
        <v>129718755</v>
      </c>
      <c r="G40" s="496">
        <f>28139883+102378872</f>
        <v>130518755</v>
      </c>
    </row>
    <row r="41" spans="1:7" s="41" customFormat="1">
      <c r="A41" s="224" t="s">
        <v>88</v>
      </c>
      <c r="B41" s="110" t="s">
        <v>272</v>
      </c>
      <c r="C41" s="496">
        <f>1650000+500000+100000</f>
        <v>2250000</v>
      </c>
      <c r="D41" s="496">
        <f>1650000+500000+100000</f>
        <v>2250000</v>
      </c>
      <c r="E41" s="496">
        <f>1650000+500000+100000</f>
        <v>2250000</v>
      </c>
      <c r="F41" s="496">
        <f>1650000+500000+100000</f>
        <v>2250000</v>
      </c>
      <c r="G41" s="496">
        <f>2680000</f>
        <v>2680000</v>
      </c>
    </row>
    <row r="42" spans="1:7" s="41" customFormat="1">
      <c r="A42" s="224" t="s">
        <v>164</v>
      </c>
      <c r="B42" s="110" t="s">
        <v>273</v>
      </c>
      <c r="C42" s="496"/>
      <c r="D42" s="496"/>
      <c r="E42" s="496"/>
      <c r="F42" s="496"/>
      <c r="G42" s="496"/>
    </row>
    <row r="43" spans="1:7" s="41" customFormat="1">
      <c r="A43" s="224" t="s">
        <v>165</v>
      </c>
      <c r="B43" s="110" t="s">
        <v>274</v>
      </c>
      <c r="C43" s="496">
        <f>1500000</f>
        <v>1500000</v>
      </c>
      <c r="D43" s="496">
        <f>1500000</f>
        <v>1500000</v>
      </c>
      <c r="E43" s="496">
        <f>1500000</f>
        <v>1500000</v>
      </c>
      <c r="F43" s="496">
        <f>1500000</f>
        <v>1500000</v>
      </c>
      <c r="G43" s="496">
        <v>1600000</v>
      </c>
    </row>
    <row r="44" spans="1:7" s="41" customFormat="1">
      <c r="A44" s="224" t="s">
        <v>166</v>
      </c>
      <c r="B44" s="110" t="s">
        <v>275</v>
      </c>
      <c r="C44" s="496">
        <f>'1.3.sz.mell.'!C45+850394+1137993</f>
        <v>27775902</v>
      </c>
      <c r="D44" s="496">
        <f>27821814</f>
        <v>27821814</v>
      </c>
      <c r="E44" s="496">
        <f>2646424+25314710</f>
        <v>27961134</v>
      </c>
      <c r="F44" s="496">
        <f>1206570+33774564</f>
        <v>34981134</v>
      </c>
      <c r="G44" s="496">
        <f>1560120+33721014</f>
        <v>35281134</v>
      </c>
    </row>
    <row r="45" spans="1:7" s="41" customFormat="1">
      <c r="A45" s="224" t="s">
        <v>167</v>
      </c>
      <c r="B45" s="110" t="s">
        <v>276</v>
      </c>
      <c r="C45" s="496"/>
      <c r="D45" s="496"/>
      <c r="E45" s="496"/>
      <c r="F45" s="496">
        <f>4316000</f>
        <v>4316000</v>
      </c>
      <c r="G45" s="496">
        <f>4316000</f>
        <v>4316000</v>
      </c>
    </row>
    <row r="46" spans="1:7" s="41" customFormat="1">
      <c r="A46" s="224" t="s">
        <v>168</v>
      </c>
      <c r="B46" s="110" t="s">
        <v>277</v>
      </c>
      <c r="C46" s="496">
        <f>1000+10+10</f>
        <v>1020</v>
      </c>
      <c r="D46" s="496">
        <f>1000+10+10</f>
        <v>1020</v>
      </c>
      <c r="E46" s="496">
        <f>1000+10+10</f>
        <v>1020</v>
      </c>
      <c r="F46" s="496">
        <f>1000+10+10</f>
        <v>1020</v>
      </c>
      <c r="G46" s="496">
        <f>1000+10+10</f>
        <v>1020</v>
      </c>
    </row>
    <row r="47" spans="1:7" s="41" customFormat="1">
      <c r="A47" s="224" t="s">
        <v>268</v>
      </c>
      <c r="B47" s="110" t="s">
        <v>278</v>
      </c>
      <c r="C47" s="614"/>
      <c r="D47" s="614"/>
      <c r="E47" s="614"/>
      <c r="F47" s="614"/>
      <c r="G47" s="614"/>
    </row>
    <row r="48" spans="1:7" s="41" customFormat="1">
      <c r="A48" s="226" t="s">
        <v>269</v>
      </c>
      <c r="B48" s="112" t="s">
        <v>430</v>
      </c>
      <c r="C48" s="615"/>
      <c r="D48" s="615"/>
      <c r="E48" s="615"/>
      <c r="F48" s="615"/>
      <c r="G48" s="615"/>
    </row>
    <row r="49" spans="1:7" s="41" customFormat="1" ht="13.5" thickBot="1">
      <c r="A49" s="226" t="s">
        <v>429</v>
      </c>
      <c r="B49" s="227" t="s">
        <v>279</v>
      </c>
      <c r="C49" s="615">
        <f>10000+1000+1000</f>
        <v>12000</v>
      </c>
      <c r="D49" s="615">
        <f>10000+1000+1000</f>
        <v>12000</v>
      </c>
      <c r="E49" s="615">
        <f>81800+516000</f>
        <v>597800</v>
      </c>
      <c r="F49" s="615">
        <f>309800+6000+26000+516000</f>
        <v>857800</v>
      </c>
      <c r="G49" s="615">
        <f>351800+516000</f>
        <v>867800</v>
      </c>
    </row>
    <row r="50" spans="1:7" s="41" customFormat="1" ht="13.5" thickBot="1">
      <c r="A50" s="221" t="s">
        <v>19</v>
      </c>
      <c r="B50" s="222" t="s">
        <v>280</v>
      </c>
      <c r="C50" s="504">
        <f>SUM(C51:C55)</f>
        <v>7000000</v>
      </c>
      <c r="D50" s="504">
        <f>SUM(D51:D55)</f>
        <v>7000000</v>
      </c>
      <c r="E50" s="504">
        <f>SUM(E51:E55)</f>
        <v>7000000</v>
      </c>
      <c r="F50" s="504">
        <f>SUM(F51:F55)</f>
        <v>7000000</v>
      </c>
      <c r="G50" s="504">
        <f>SUM(G51:G55)</f>
        <v>7000000</v>
      </c>
    </row>
    <row r="51" spans="1:7" s="41" customFormat="1">
      <c r="A51" s="223" t="s">
        <v>89</v>
      </c>
      <c r="B51" s="109" t="s">
        <v>284</v>
      </c>
      <c r="C51" s="616"/>
      <c r="D51" s="616"/>
      <c r="E51" s="616"/>
      <c r="F51" s="616"/>
      <c r="G51" s="616"/>
    </row>
    <row r="52" spans="1:7" s="41" customFormat="1">
      <c r="A52" s="224" t="s">
        <v>90</v>
      </c>
      <c r="B52" s="110" t="s">
        <v>285</v>
      </c>
      <c r="C52" s="614">
        <f>7000000</f>
        <v>7000000</v>
      </c>
      <c r="D52" s="614">
        <f>7000000</f>
        <v>7000000</v>
      </c>
      <c r="E52" s="614">
        <f>7000000</f>
        <v>7000000</v>
      </c>
      <c r="F52" s="614">
        <f>7000000</f>
        <v>7000000</v>
      </c>
      <c r="G52" s="614">
        <f>7000000</f>
        <v>7000000</v>
      </c>
    </row>
    <row r="53" spans="1:7" s="41" customFormat="1">
      <c r="A53" s="224" t="s">
        <v>281</v>
      </c>
      <c r="B53" s="110" t="s">
        <v>286</v>
      </c>
      <c r="C53" s="614"/>
      <c r="D53" s="614"/>
      <c r="E53" s="614"/>
      <c r="F53" s="614"/>
      <c r="G53" s="614"/>
    </row>
    <row r="54" spans="1:7" s="41" customFormat="1">
      <c r="A54" s="224" t="s">
        <v>282</v>
      </c>
      <c r="B54" s="110" t="s">
        <v>287</v>
      </c>
      <c r="C54" s="614"/>
      <c r="D54" s="614"/>
      <c r="E54" s="614"/>
      <c r="F54" s="614"/>
      <c r="G54" s="614"/>
    </row>
    <row r="55" spans="1:7" s="41" customFormat="1" ht="13.5" thickBot="1">
      <c r="A55" s="226" t="s">
        <v>283</v>
      </c>
      <c r="B55" s="227" t="s">
        <v>288</v>
      </c>
      <c r="C55" s="615"/>
      <c r="D55" s="615"/>
      <c r="E55" s="615"/>
      <c r="F55" s="615"/>
      <c r="G55" s="615"/>
    </row>
    <row r="56" spans="1:7" s="41" customFormat="1" ht="13.5" thickBot="1">
      <c r="A56" s="221" t="s">
        <v>169</v>
      </c>
      <c r="B56" s="222" t="s">
        <v>289</v>
      </c>
      <c r="C56" s="504">
        <f>SUM(C57:C59)</f>
        <v>505503</v>
      </c>
      <c r="D56" s="504">
        <f>SUM(D57:D59)</f>
        <v>505503</v>
      </c>
      <c r="E56" s="504">
        <f>SUM(E57:E59)</f>
        <v>505503</v>
      </c>
      <c r="F56" s="504">
        <f>SUM(F57:F59)</f>
        <v>505503</v>
      </c>
      <c r="G56" s="504">
        <f>SUM(G57:G59)</f>
        <v>505503</v>
      </c>
    </row>
    <row r="57" spans="1:7" s="41" customFormat="1">
      <c r="A57" s="223" t="s">
        <v>91</v>
      </c>
      <c r="B57" s="109" t="s">
        <v>290</v>
      </c>
      <c r="C57" s="501"/>
      <c r="D57" s="501"/>
      <c r="E57" s="501"/>
      <c r="F57" s="501"/>
      <c r="G57" s="501"/>
    </row>
    <row r="58" spans="1:7" s="41" customFormat="1">
      <c r="A58" s="224" t="s">
        <v>92</v>
      </c>
      <c r="B58" s="110" t="s">
        <v>420</v>
      </c>
      <c r="C58" s="496"/>
      <c r="D58" s="496"/>
      <c r="E58" s="496"/>
      <c r="F58" s="496"/>
      <c r="G58" s="496"/>
    </row>
    <row r="59" spans="1:7" s="41" customFormat="1">
      <c r="A59" s="224" t="s">
        <v>293</v>
      </c>
      <c r="B59" s="110" t="s">
        <v>291</v>
      </c>
      <c r="C59" s="496">
        <v>505503</v>
      </c>
      <c r="D59" s="496">
        <v>505503</v>
      </c>
      <c r="E59" s="496">
        <v>505503</v>
      </c>
      <c r="F59" s="496">
        <v>505503</v>
      </c>
      <c r="G59" s="496">
        <v>505503</v>
      </c>
    </row>
    <row r="60" spans="1:7" s="41" customFormat="1" ht="13.5" thickBot="1">
      <c r="A60" s="226" t="s">
        <v>294</v>
      </c>
      <c r="B60" s="227" t="s">
        <v>292</v>
      </c>
      <c r="C60" s="497"/>
      <c r="D60" s="497"/>
      <c r="E60" s="497"/>
      <c r="F60" s="497"/>
      <c r="G60" s="497"/>
    </row>
    <row r="61" spans="1:7" s="41" customFormat="1" ht="13.5" thickBot="1">
      <c r="A61" s="221" t="s">
        <v>21</v>
      </c>
      <c r="B61" s="228" t="s">
        <v>295</v>
      </c>
      <c r="C61" s="504">
        <f>SUM(C62:C64)</f>
        <v>100000</v>
      </c>
      <c r="D61" s="504">
        <f>SUM(D62:D64)</f>
        <v>100000</v>
      </c>
      <c r="E61" s="504">
        <f>SUM(E62:E64)</f>
        <v>1052500</v>
      </c>
      <c r="F61" s="504">
        <f>SUM(F62:F64)</f>
        <v>1052500</v>
      </c>
      <c r="G61" s="504">
        <f>SUM(G62:G64)</f>
        <v>1052500</v>
      </c>
    </row>
    <row r="62" spans="1:7" s="41" customFormat="1">
      <c r="A62" s="223" t="s">
        <v>170</v>
      </c>
      <c r="B62" s="109" t="s">
        <v>297</v>
      </c>
      <c r="C62" s="614"/>
      <c r="D62" s="614"/>
      <c r="E62" s="614"/>
      <c r="F62" s="614"/>
      <c r="G62" s="614"/>
    </row>
    <row r="63" spans="1:7" s="41" customFormat="1">
      <c r="A63" s="224" t="s">
        <v>171</v>
      </c>
      <c r="B63" s="110" t="s">
        <v>421</v>
      </c>
      <c r="C63" s="614">
        <f>100000</f>
        <v>100000</v>
      </c>
      <c r="D63" s="614">
        <f>100000</f>
        <v>100000</v>
      </c>
      <c r="E63" s="614">
        <f>100000</f>
        <v>100000</v>
      </c>
      <c r="F63" s="614">
        <f>100000</f>
        <v>100000</v>
      </c>
      <c r="G63" s="614">
        <v>100000</v>
      </c>
    </row>
    <row r="64" spans="1:7" s="41" customFormat="1">
      <c r="A64" s="224" t="s">
        <v>218</v>
      </c>
      <c r="B64" s="110" t="s">
        <v>298</v>
      </c>
      <c r="C64" s="614"/>
      <c r="D64" s="614"/>
      <c r="E64" s="614">
        <f>635000+317500</f>
        <v>952500</v>
      </c>
      <c r="F64" s="614">
        <f>635000+317500</f>
        <v>952500</v>
      </c>
      <c r="G64" s="614">
        <f>635000+317500</f>
        <v>952500</v>
      </c>
    </row>
    <row r="65" spans="1:7" s="41" customFormat="1" ht="13.5" thickBot="1">
      <c r="A65" s="226" t="s">
        <v>296</v>
      </c>
      <c r="B65" s="227" t="s">
        <v>299</v>
      </c>
      <c r="C65" s="614"/>
      <c r="D65" s="614"/>
      <c r="E65" s="614"/>
      <c r="F65" s="614"/>
      <c r="G65" s="614"/>
    </row>
    <row r="66" spans="1:7" s="41" customFormat="1" ht="13.5" thickBot="1">
      <c r="A66" s="229" t="s">
        <v>472</v>
      </c>
      <c r="B66" s="222" t="s">
        <v>300</v>
      </c>
      <c r="C66" s="505">
        <f>+C9+C16+C23+C30+C38+C50+C56+C61</f>
        <v>618294461</v>
      </c>
      <c r="D66" s="505">
        <f>+D9+D16+D23+D30+D38+D50+D56+D61</f>
        <v>625176795</v>
      </c>
      <c r="E66" s="505">
        <f>+E9+E16+E23+E30+E38+E50+E56+E61</f>
        <v>633208978</v>
      </c>
      <c r="F66" s="505">
        <f>+F9+F16+F23+F30+F38+F50+F56+F61</f>
        <v>684296929</v>
      </c>
      <c r="G66" s="505">
        <f>+G9+G16+G23+G30+G38+G50+G56+G61</f>
        <v>958184683</v>
      </c>
    </row>
    <row r="67" spans="1:7" s="41" customFormat="1" ht="13.5" thickBot="1">
      <c r="A67" s="230" t="s">
        <v>301</v>
      </c>
      <c r="B67" s="228" t="s">
        <v>302</v>
      </c>
      <c r="C67" s="504">
        <f>SUM(C68:C70)</f>
        <v>0</v>
      </c>
      <c r="D67" s="504">
        <f>SUM(D68:D70)</f>
        <v>0</v>
      </c>
      <c r="E67" s="504">
        <f>SUM(E68:E70)</f>
        <v>0</v>
      </c>
      <c r="F67" s="504">
        <f>SUM(F68:F70)</f>
        <v>0</v>
      </c>
      <c r="G67" s="504">
        <f>SUM(G68:G70)</f>
        <v>0</v>
      </c>
    </row>
    <row r="68" spans="1:7" s="41" customFormat="1">
      <c r="A68" s="223" t="s">
        <v>333</v>
      </c>
      <c r="B68" s="109" t="s">
        <v>303</v>
      </c>
      <c r="C68" s="614"/>
      <c r="D68" s="614"/>
      <c r="E68" s="614"/>
      <c r="F68" s="614"/>
      <c r="G68" s="614"/>
    </row>
    <row r="69" spans="1:7" s="41" customFormat="1">
      <c r="A69" s="224" t="s">
        <v>342</v>
      </c>
      <c r="B69" s="110" t="s">
        <v>304</v>
      </c>
      <c r="C69" s="614"/>
      <c r="D69" s="614"/>
      <c r="E69" s="614"/>
      <c r="F69" s="614"/>
      <c r="G69" s="614"/>
    </row>
    <row r="70" spans="1:7" s="41" customFormat="1" ht="13.5" thickBot="1">
      <c r="A70" s="226" t="s">
        <v>343</v>
      </c>
      <c r="B70" s="231" t="s">
        <v>457</v>
      </c>
      <c r="C70" s="614"/>
      <c r="D70" s="614"/>
      <c r="E70" s="614"/>
      <c r="F70" s="614"/>
      <c r="G70" s="614"/>
    </row>
    <row r="71" spans="1:7" s="41" customFormat="1" ht="13.5" thickBot="1">
      <c r="A71" s="230" t="s">
        <v>306</v>
      </c>
      <c r="B71" s="228" t="s">
        <v>307</v>
      </c>
      <c r="C71" s="504">
        <f>SUM(C72:C75)</f>
        <v>0</v>
      </c>
      <c r="D71" s="504">
        <f>SUM(D72:D75)</f>
        <v>0</v>
      </c>
      <c r="E71" s="504">
        <f>SUM(E72:E75)</f>
        <v>0</v>
      </c>
      <c r="F71" s="504">
        <f>SUM(F72:F75)</f>
        <v>0</v>
      </c>
      <c r="G71" s="504">
        <f>SUM(G72:G75)</f>
        <v>0</v>
      </c>
    </row>
    <row r="72" spans="1:7" s="41" customFormat="1">
      <c r="A72" s="223" t="s">
        <v>140</v>
      </c>
      <c r="B72" s="109" t="s">
        <v>308</v>
      </c>
      <c r="C72" s="614"/>
      <c r="D72" s="614"/>
      <c r="E72" s="614"/>
      <c r="F72" s="614"/>
      <c r="G72" s="614"/>
    </row>
    <row r="73" spans="1:7" s="41" customFormat="1">
      <c r="A73" s="224" t="s">
        <v>141</v>
      </c>
      <c r="B73" s="110" t="s">
        <v>309</v>
      </c>
      <c r="C73" s="614"/>
      <c r="D73" s="614"/>
      <c r="E73" s="614"/>
      <c r="F73" s="614"/>
      <c r="G73" s="614"/>
    </row>
    <row r="74" spans="1:7" s="41" customFormat="1">
      <c r="A74" s="224" t="s">
        <v>334</v>
      </c>
      <c r="B74" s="110" t="s">
        <v>310</v>
      </c>
      <c r="C74" s="614"/>
      <c r="D74" s="614"/>
      <c r="E74" s="614"/>
      <c r="F74" s="614"/>
      <c r="G74" s="614"/>
    </row>
    <row r="75" spans="1:7" s="41" customFormat="1" ht="13.5" thickBot="1">
      <c r="A75" s="226" t="s">
        <v>335</v>
      </c>
      <c r="B75" s="227" t="s">
        <v>311</v>
      </c>
      <c r="C75" s="614"/>
      <c r="D75" s="614"/>
      <c r="E75" s="614"/>
      <c r="F75" s="614"/>
      <c r="G75" s="614"/>
    </row>
    <row r="76" spans="1:7" s="41" customFormat="1" ht="13.5" thickBot="1">
      <c r="A76" s="230" t="s">
        <v>312</v>
      </c>
      <c r="B76" s="228" t="s">
        <v>313</v>
      </c>
      <c r="C76" s="504">
        <f>SUM(C77:C78)</f>
        <v>541000000</v>
      </c>
      <c r="D76" s="504">
        <f>SUM(D77:D78)</f>
        <v>541475499</v>
      </c>
      <c r="E76" s="504">
        <f>SUM(E77:E78)</f>
        <v>544670024</v>
      </c>
      <c r="F76" s="504">
        <f>SUM(F77:F78)</f>
        <v>544670024</v>
      </c>
      <c r="G76" s="504">
        <f>SUM(G77:G78)</f>
        <v>544670024</v>
      </c>
    </row>
    <row r="77" spans="1:7" s="41" customFormat="1">
      <c r="A77" s="223" t="s">
        <v>336</v>
      </c>
      <c r="B77" s="109" t="s">
        <v>314</v>
      </c>
      <c r="C77" s="614">
        <v>541000000</v>
      </c>
      <c r="D77" s="614">
        <f>541475499</f>
        <v>541475499</v>
      </c>
      <c r="E77" s="614">
        <f>544670024</f>
        <v>544670024</v>
      </c>
      <c r="F77" s="614">
        <f>541475499+1776671+1417854</f>
        <v>544670024</v>
      </c>
      <c r="G77" s="614">
        <f>541475499+1776671+1417854</f>
        <v>544670024</v>
      </c>
    </row>
    <row r="78" spans="1:7" s="41" customFormat="1" ht="13.5" thickBot="1">
      <c r="A78" s="226" t="s">
        <v>337</v>
      </c>
      <c r="B78" s="227" t="s">
        <v>315</v>
      </c>
      <c r="C78" s="614"/>
      <c r="D78" s="614"/>
      <c r="E78" s="614"/>
      <c r="F78" s="614"/>
      <c r="G78" s="614"/>
    </row>
    <row r="79" spans="1:7" s="41" customFormat="1" ht="13.5" thickBot="1">
      <c r="A79" s="230" t="s">
        <v>316</v>
      </c>
      <c r="B79" s="228" t="s">
        <v>317</v>
      </c>
      <c r="C79" s="504">
        <f>SUM(C80:C82)</f>
        <v>0</v>
      </c>
      <c r="D79" s="504">
        <f>SUM(D80:D82)</f>
        <v>0</v>
      </c>
      <c r="E79" s="504">
        <f>SUM(E80:E82)</f>
        <v>262090</v>
      </c>
      <c r="F79" s="504">
        <f>SUM(F80:F82)</f>
        <v>262090</v>
      </c>
      <c r="G79" s="504">
        <f>SUM(G80:G82)</f>
        <v>262090</v>
      </c>
    </row>
    <row r="80" spans="1:7" s="41" customFormat="1">
      <c r="A80" s="223" t="s">
        <v>338</v>
      </c>
      <c r="B80" s="109" t="s">
        <v>318</v>
      </c>
      <c r="C80" s="614"/>
      <c r="D80" s="614"/>
      <c r="E80" s="614">
        <f>262090</f>
        <v>262090</v>
      </c>
      <c r="F80" s="614">
        <f>262090</f>
        <v>262090</v>
      </c>
      <c r="G80" s="614">
        <f>262090</f>
        <v>262090</v>
      </c>
    </row>
    <row r="81" spans="1:7" s="41" customFormat="1">
      <c r="A81" s="224" t="s">
        <v>339</v>
      </c>
      <c r="B81" s="110" t="s">
        <v>319</v>
      </c>
      <c r="C81" s="614"/>
      <c r="D81" s="614"/>
      <c r="E81" s="614"/>
      <c r="F81" s="614"/>
      <c r="G81" s="614"/>
    </row>
    <row r="82" spans="1:7" s="41" customFormat="1" ht="13.5" thickBot="1">
      <c r="A82" s="226" t="s">
        <v>340</v>
      </c>
      <c r="B82" s="227" t="s">
        <v>320</v>
      </c>
      <c r="C82" s="614"/>
      <c r="D82" s="614"/>
      <c r="E82" s="614"/>
      <c r="F82" s="614"/>
      <c r="G82" s="614"/>
    </row>
    <row r="83" spans="1:7" s="41" customFormat="1" ht="13.5" thickBot="1">
      <c r="A83" s="230" t="s">
        <v>321</v>
      </c>
      <c r="B83" s="228" t="s">
        <v>341</v>
      </c>
      <c r="C83" s="504">
        <f>SUM(C84:C87)</f>
        <v>0</v>
      </c>
      <c r="D83" s="504">
        <f>SUM(D84:D87)</f>
        <v>0</v>
      </c>
      <c r="E83" s="504">
        <f>SUM(E84:E87)</f>
        <v>0</v>
      </c>
      <c r="F83" s="504">
        <f>SUM(F84:F87)</f>
        <v>0</v>
      </c>
      <c r="G83" s="504">
        <f>SUM(G84:G87)</f>
        <v>0</v>
      </c>
    </row>
    <row r="84" spans="1:7" s="41" customFormat="1">
      <c r="A84" s="232" t="s">
        <v>322</v>
      </c>
      <c r="B84" s="109" t="s">
        <v>323</v>
      </c>
      <c r="C84" s="614"/>
      <c r="D84" s="614"/>
      <c r="E84" s="614"/>
      <c r="F84" s="614"/>
      <c r="G84" s="614"/>
    </row>
    <row r="85" spans="1:7" s="41" customFormat="1">
      <c r="A85" s="233" t="s">
        <v>324</v>
      </c>
      <c r="B85" s="110" t="s">
        <v>325</v>
      </c>
      <c r="C85" s="614"/>
      <c r="D85" s="614"/>
      <c r="E85" s="614"/>
      <c r="F85" s="614"/>
      <c r="G85" s="614"/>
    </row>
    <row r="86" spans="1:7" s="41" customFormat="1">
      <c r="A86" s="233" t="s">
        <v>326</v>
      </c>
      <c r="B86" s="110" t="s">
        <v>327</v>
      </c>
      <c r="C86" s="614"/>
      <c r="D86" s="614"/>
      <c r="E86" s="614"/>
      <c r="F86" s="614"/>
      <c r="G86" s="614"/>
    </row>
    <row r="87" spans="1:7" s="41" customFormat="1" ht="13.5" thickBot="1">
      <c r="A87" s="234" t="s">
        <v>328</v>
      </c>
      <c r="B87" s="227" t="s">
        <v>329</v>
      </c>
      <c r="C87" s="614"/>
      <c r="D87" s="614"/>
      <c r="E87" s="614"/>
      <c r="F87" s="614"/>
      <c r="G87" s="614"/>
    </row>
    <row r="88" spans="1:7" s="41" customFormat="1" ht="13.5" thickBot="1">
      <c r="A88" s="230" t="s">
        <v>330</v>
      </c>
      <c r="B88" s="228" t="s">
        <v>471</v>
      </c>
      <c r="C88" s="532"/>
      <c r="D88" s="532"/>
      <c r="E88" s="532"/>
      <c r="F88" s="532"/>
      <c r="G88" s="532"/>
    </row>
    <row r="89" spans="1:7" s="41" customFormat="1" ht="13.5" thickBot="1">
      <c r="A89" s="230" t="s">
        <v>332</v>
      </c>
      <c r="B89" s="228" t="s">
        <v>331</v>
      </c>
      <c r="C89" s="532"/>
      <c r="D89" s="532"/>
      <c r="E89" s="532"/>
      <c r="F89" s="532"/>
      <c r="G89" s="532"/>
    </row>
    <row r="90" spans="1:7" s="41" customFormat="1" ht="13.5" thickBot="1">
      <c r="A90" s="230" t="s">
        <v>344</v>
      </c>
      <c r="B90" s="235" t="s">
        <v>474</v>
      </c>
      <c r="C90" s="505">
        <f>+C67+C71+C76+C79+C83+C89+C88</f>
        <v>541000000</v>
      </c>
      <c r="D90" s="505">
        <f>+D67+D71+D76+D79+D83+D89+D88</f>
        <v>541475499</v>
      </c>
      <c r="E90" s="505">
        <f>+E67+E71+E76+E79+E83+E89+E88</f>
        <v>544932114</v>
      </c>
      <c r="F90" s="505">
        <f>+F67+F71+F76+F79+F83+F89+F88</f>
        <v>544932114</v>
      </c>
      <c r="G90" s="505">
        <f>+G67+G71+G76+G79+G83+G89+G88</f>
        <v>544932114</v>
      </c>
    </row>
    <row r="91" spans="1:7" s="41" customFormat="1" ht="13.5" thickBot="1">
      <c r="A91" s="527" t="s">
        <v>473</v>
      </c>
      <c r="B91" s="237" t="s">
        <v>475</v>
      </c>
      <c r="C91" s="505">
        <f>+C66+C90</f>
        <v>1159294461</v>
      </c>
      <c r="D91" s="505">
        <f>+D66+D90</f>
        <v>1166652294</v>
      </c>
      <c r="E91" s="505">
        <f>+E66+E90</f>
        <v>1178141092</v>
      </c>
      <c r="F91" s="505">
        <f>+F66+F90</f>
        <v>1229229043</v>
      </c>
      <c r="G91" s="505">
        <f>+G66+G90</f>
        <v>1503116797</v>
      </c>
    </row>
    <row r="92" spans="1:7" s="41" customFormat="1">
      <c r="A92" s="528"/>
      <c r="B92" s="529"/>
      <c r="C92" s="533"/>
      <c r="D92" s="533"/>
      <c r="E92" s="533"/>
      <c r="F92" s="533"/>
      <c r="G92" s="533"/>
    </row>
    <row r="93" spans="1:7">
      <c r="A93" s="787" t="s">
        <v>42</v>
      </c>
      <c r="B93" s="787"/>
      <c r="C93" s="422"/>
      <c r="D93" s="422"/>
      <c r="E93" s="422"/>
      <c r="F93" s="422"/>
      <c r="G93" s="422"/>
    </row>
    <row r="94" spans="1:7" ht="14.25" thickBot="1">
      <c r="A94" s="788" t="s">
        <v>143</v>
      </c>
      <c r="B94" s="788"/>
      <c r="C94" s="534"/>
      <c r="D94" s="534"/>
      <c r="E94" s="534"/>
      <c r="F94" s="534"/>
      <c r="G94" s="534"/>
    </row>
    <row r="95" spans="1:7" ht="26.25" thickBot="1">
      <c r="A95" s="219" t="s">
        <v>64</v>
      </c>
      <c r="B95" s="220" t="s">
        <v>43</v>
      </c>
      <c r="C95" s="535" t="s">
        <v>690</v>
      </c>
      <c r="D95" s="569" t="s">
        <v>716</v>
      </c>
      <c r="E95" s="569" t="s">
        <v>719</v>
      </c>
      <c r="F95" s="569" t="s">
        <v>729</v>
      </c>
      <c r="G95" s="569" t="s">
        <v>729</v>
      </c>
    </row>
    <row r="96" spans="1:7" s="41" customFormat="1" ht="13.5" thickBot="1">
      <c r="A96" s="219" t="s">
        <v>483</v>
      </c>
      <c r="B96" s="220" t="s">
        <v>484</v>
      </c>
      <c r="C96" s="535" t="s">
        <v>485</v>
      </c>
      <c r="D96" s="535" t="s">
        <v>485</v>
      </c>
      <c r="E96" s="535" t="s">
        <v>485</v>
      </c>
      <c r="F96" s="535" t="s">
        <v>485</v>
      </c>
      <c r="G96" s="535" t="s">
        <v>485</v>
      </c>
    </row>
    <row r="97" spans="1:7" ht="13.5" thickBot="1">
      <c r="A97" s="238" t="s">
        <v>14</v>
      </c>
      <c r="B97" s="239" t="s">
        <v>630</v>
      </c>
      <c r="C97" s="494">
        <f>C98+C99+C100+C101+C102+C115</f>
        <v>753411780</v>
      </c>
      <c r="D97" s="494">
        <f>D98+D99+D100+D101+D102+D115</f>
        <v>775269838</v>
      </c>
      <c r="E97" s="494">
        <f>E98+E99+E100+E101+E102+E115</f>
        <v>784734546</v>
      </c>
      <c r="F97" s="494">
        <f>F98+F99+F100+F101+F102+F115</f>
        <v>827849265</v>
      </c>
      <c r="G97" s="494">
        <f>G98+G99+G100+G101+G102+G115</f>
        <v>850878004</v>
      </c>
    </row>
    <row r="98" spans="1:7">
      <c r="A98" s="240" t="s">
        <v>93</v>
      </c>
      <c r="B98" s="241" t="s">
        <v>44</v>
      </c>
      <c r="C98" s="495">
        <f>81039317+78369300+21392976</f>
        <v>180801593</v>
      </c>
      <c r="D98" s="495">
        <f>85455893+78369300+21392976</f>
        <v>185218169</v>
      </c>
      <c r="E98" s="495">
        <f>180069415+14648077</f>
        <v>194717492</v>
      </c>
      <c r="F98" s="495">
        <f>73743632+86542642+21977976+19511900</f>
        <v>201776150</v>
      </c>
      <c r="G98" s="495">
        <f>186982053+19205900</f>
        <v>206187953</v>
      </c>
    </row>
    <row r="99" spans="1:7">
      <c r="A99" s="224" t="s">
        <v>94</v>
      </c>
      <c r="B99" s="242" t="s">
        <v>172</v>
      </c>
      <c r="C99" s="496">
        <f>17133121+15968871+4668631</f>
        <v>37770623</v>
      </c>
      <c r="D99" s="496">
        <f>17563738+15968871+4668631</f>
        <v>38201240</v>
      </c>
      <c r="E99" s="496">
        <f>36966912+3103928</f>
        <v>40070840</v>
      </c>
      <c r="F99" s="496">
        <f>15013580+17557374+4776706+3955097</f>
        <v>41302757</v>
      </c>
      <c r="G99" s="496">
        <f>38400412+3901547</f>
        <v>42301959</v>
      </c>
    </row>
    <row r="100" spans="1:7">
      <c r="A100" s="224" t="s">
        <v>95</v>
      </c>
      <c r="B100" s="242" t="s">
        <v>131</v>
      </c>
      <c r="C100" s="622">
        <f>263854593+27824468+29148920</f>
        <v>320827981</v>
      </c>
      <c r="D100" s="622">
        <f>263943550+27824468+29148920</f>
        <v>320916938</v>
      </c>
      <c r="E100" s="622">
        <f>237887164+80747185</f>
        <v>318634349</v>
      </c>
      <c r="F100" s="622">
        <f>188338515+27922986+30496420+94192185</f>
        <v>340950106</v>
      </c>
      <c r="G100" s="622">
        <f>252433687+94192185</f>
        <v>346625872</v>
      </c>
    </row>
    <row r="101" spans="1:7">
      <c r="A101" s="224" t="s">
        <v>96</v>
      </c>
      <c r="B101" s="243" t="s">
        <v>173</v>
      </c>
      <c r="C101" s="497">
        <f>7330000</f>
        <v>7330000</v>
      </c>
      <c r="D101" s="497">
        <f>7330000</f>
        <v>7330000</v>
      </c>
      <c r="E101" s="497">
        <f>8770000</f>
        <v>8770000</v>
      </c>
      <c r="F101" s="497">
        <f>8770000</f>
        <v>8770000</v>
      </c>
      <c r="G101" s="497">
        <f>11104260</f>
        <v>11104260</v>
      </c>
    </row>
    <row r="102" spans="1:7">
      <c r="A102" s="224" t="s">
        <v>107</v>
      </c>
      <c r="B102" s="244" t="s">
        <v>174</v>
      </c>
      <c r="C102" s="497">
        <f>C103+C104+C105+C106+C107+C108+C109+C110+C111+C112+C113+C114</f>
        <v>173511355</v>
      </c>
      <c r="D102" s="497">
        <f>D103+D104+D105+D106+D107+D108+D109+D110+D111+D112+D113+D114</f>
        <v>176463084</v>
      </c>
      <c r="E102" s="497">
        <f>E103+E104+E105+E106+E107+E108+E109+E110+E111+E112+E113+E114</f>
        <v>174478690</v>
      </c>
      <c r="F102" s="497">
        <f>F103+F104+F105+F106+F107+F108+F109+F110+F111+F112+F113+F114</f>
        <v>174328690</v>
      </c>
      <c r="G102" s="497">
        <f>G103+G104+G105+G106+G107+G108+G109+G110+G111+G112+G113+G114</f>
        <v>172087290</v>
      </c>
    </row>
    <row r="103" spans="1:7">
      <c r="A103" s="224" t="s">
        <v>97</v>
      </c>
      <c r="B103" s="242" t="s">
        <v>438</v>
      </c>
      <c r="C103" s="497"/>
      <c r="D103" s="497"/>
      <c r="E103" s="497"/>
      <c r="F103" s="497"/>
      <c r="G103" s="497"/>
    </row>
    <row r="104" spans="1:7">
      <c r="A104" s="224" t="s">
        <v>98</v>
      </c>
      <c r="B104" s="245" t="s">
        <v>437</v>
      </c>
      <c r="C104" s="497"/>
      <c r="D104" s="497"/>
      <c r="E104" s="497"/>
      <c r="F104" s="497"/>
      <c r="G104" s="497"/>
    </row>
    <row r="105" spans="1:7">
      <c r="A105" s="224" t="s">
        <v>108</v>
      </c>
      <c r="B105" s="245" t="s">
        <v>436</v>
      </c>
      <c r="C105" s="497">
        <v>1505503</v>
      </c>
      <c r="D105" s="497">
        <f>4457232</f>
        <v>4457232</v>
      </c>
      <c r="E105" s="497">
        <f>4457232</f>
        <v>4457232</v>
      </c>
      <c r="F105" s="497">
        <f>4457232</f>
        <v>4457232</v>
      </c>
      <c r="G105" s="497">
        <f>4457232</f>
        <v>4457232</v>
      </c>
    </row>
    <row r="106" spans="1:7">
      <c r="A106" s="224" t="s">
        <v>109</v>
      </c>
      <c r="B106" s="246" t="s">
        <v>347</v>
      </c>
      <c r="C106" s="497"/>
      <c r="D106" s="497"/>
      <c r="E106" s="497"/>
      <c r="F106" s="497"/>
      <c r="G106" s="497"/>
    </row>
    <row r="107" spans="1:7">
      <c r="A107" s="224" t="s">
        <v>110</v>
      </c>
      <c r="B107" s="247" t="s">
        <v>348</v>
      </c>
      <c r="C107" s="497"/>
      <c r="D107" s="497"/>
      <c r="E107" s="497"/>
      <c r="F107" s="497"/>
      <c r="G107" s="497"/>
    </row>
    <row r="108" spans="1:7">
      <c r="A108" s="224" t="s">
        <v>111</v>
      </c>
      <c r="B108" s="247" t="s">
        <v>349</v>
      </c>
      <c r="C108" s="497"/>
      <c r="D108" s="497"/>
      <c r="E108" s="497"/>
      <c r="F108" s="497"/>
      <c r="G108" s="497"/>
    </row>
    <row r="109" spans="1:7">
      <c r="A109" s="224" t="s">
        <v>113</v>
      </c>
      <c r="B109" s="246" t="s">
        <v>350</v>
      </c>
      <c r="C109" s="497">
        <v>129940852</v>
      </c>
      <c r="D109" s="497">
        <v>129940852</v>
      </c>
      <c r="E109" s="497">
        <f>129321458</f>
        <v>129321458</v>
      </c>
      <c r="F109" s="497">
        <f>129321458</f>
        <v>129321458</v>
      </c>
      <c r="G109" s="497">
        <f>129321458</f>
        <v>129321458</v>
      </c>
    </row>
    <row r="110" spans="1:7">
      <c r="A110" s="224" t="s">
        <v>175</v>
      </c>
      <c r="B110" s="246" t="s">
        <v>351</v>
      </c>
      <c r="C110" s="497"/>
      <c r="D110" s="497"/>
      <c r="E110" s="497"/>
      <c r="F110" s="497"/>
      <c r="G110" s="497"/>
    </row>
    <row r="111" spans="1:7">
      <c r="A111" s="224" t="s">
        <v>345</v>
      </c>
      <c r="B111" s="247" t="s">
        <v>352</v>
      </c>
      <c r="C111" s="497"/>
      <c r="D111" s="497"/>
      <c r="E111" s="497"/>
      <c r="F111" s="497"/>
      <c r="G111" s="497"/>
    </row>
    <row r="112" spans="1:7">
      <c r="A112" s="248" t="s">
        <v>346</v>
      </c>
      <c r="B112" s="245" t="s">
        <v>353</v>
      </c>
      <c r="C112" s="497"/>
      <c r="D112" s="497"/>
      <c r="E112" s="497"/>
      <c r="F112" s="497"/>
      <c r="G112" s="497"/>
    </row>
    <row r="113" spans="1:7">
      <c r="A113" s="224" t="s">
        <v>434</v>
      </c>
      <c r="B113" s="245" t="s">
        <v>354</v>
      </c>
      <c r="C113" s="497"/>
      <c r="D113" s="497"/>
      <c r="E113" s="497"/>
      <c r="F113" s="497"/>
      <c r="G113" s="497"/>
    </row>
    <row r="114" spans="1:7">
      <c r="A114" s="226" t="s">
        <v>435</v>
      </c>
      <c r="B114" s="245" t="s">
        <v>355</v>
      </c>
      <c r="C114" s="497">
        <f>42065000</f>
        <v>42065000</v>
      </c>
      <c r="D114" s="497">
        <f>42065000</f>
        <v>42065000</v>
      </c>
      <c r="E114" s="497">
        <f>40700000</f>
        <v>40700000</v>
      </c>
      <c r="F114" s="497">
        <f>40550000</f>
        <v>40550000</v>
      </c>
      <c r="G114" s="497">
        <f>38308600</f>
        <v>38308600</v>
      </c>
    </row>
    <row r="115" spans="1:7">
      <c r="A115" s="224" t="s">
        <v>439</v>
      </c>
      <c r="B115" s="243" t="s">
        <v>45</v>
      </c>
      <c r="C115" s="496">
        <f>C116+C117</f>
        <v>33170228</v>
      </c>
      <c r="D115" s="496">
        <f>D116+D117</f>
        <v>47140407</v>
      </c>
      <c r="E115" s="496">
        <f>E116+E117</f>
        <v>48063175</v>
      </c>
      <c r="F115" s="496">
        <f>F116+F117</f>
        <v>60721562</v>
      </c>
      <c r="G115" s="496">
        <f>G116+G117</f>
        <v>72570670</v>
      </c>
    </row>
    <row r="116" spans="1:7">
      <c r="A116" s="224" t="s">
        <v>440</v>
      </c>
      <c r="B116" s="242" t="s">
        <v>442</v>
      </c>
      <c r="C116" s="496">
        <v>4078482</v>
      </c>
      <c r="D116" s="496">
        <f>8497082</f>
        <v>8497082</v>
      </c>
      <c r="E116" s="496">
        <f>13721429</f>
        <v>13721429</v>
      </c>
      <c r="F116" s="496">
        <v>22190816</v>
      </c>
      <c r="G116" s="496">
        <v>22125576</v>
      </c>
    </row>
    <row r="117" spans="1:7" ht="13.5" thickBot="1">
      <c r="A117" s="249" t="s">
        <v>441</v>
      </c>
      <c r="B117" s="250" t="s">
        <v>443</v>
      </c>
      <c r="C117" s="499">
        <f>29091746</f>
        <v>29091746</v>
      </c>
      <c r="D117" s="499">
        <f>38643325</f>
        <v>38643325</v>
      </c>
      <c r="E117" s="499">
        <f>34341746</f>
        <v>34341746</v>
      </c>
      <c r="F117" s="499">
        <f>38530746</f>
        <v>38530746</v>
      </c>
      <c r="G117" s="499">
        <f>50445094</f>
        <v>50445094</v>
      </c>
    </row>
    <row r="118" spans="1:7" ht="13.5" thickBot="1">
      <c r="A118" s="251" t="s">
        <v>15</v>
      </c>
      <c r="B118" s="252" t="s">
        <v>631</v>
      </c>
      <c r="C118" s="500">
        <f>+C119+C121+C123</f>
        <v>397774961</v>
      </c>
      <c r="D118" s="500">
        <f>+D119+D121+D123</f>
        <v>383274736</v>
      </c>
      <c r="E118" s="500">
        <f>+E119+E121+E123</f>
        <v>385036736</v>
      </c>
      <c r="F118" s="500">
        <f>+F119+F121+F123</f>
        <v>393009968</v>
      </c>
      <c r="G118" s="500">
        <f>+G119+G121+G123</f>
        <v>643868983</v>
      </c>
    </row>
    <row r="119" spans="1:7">
      <c r="A119" s="223" t="s">
        <v>99</v>
      </c>
      <c r="B119" s="242" t="s">
        <v>217</v>
      </c>
      <c r="C119" s="501">
        <f>304198564+825500+2513000</f>
        <v>307537064</v>
      </c>
      <c r="D119" s="501">
        <f>289698339+825500+2513000</f>
        <v>293036839</v>
      </c>
      <c r="E119" s="501">
        <f>275648839+18415000</f>
        <v>294063839</v>
      </c>
      <c r="F119" s="501">
        <f>275565217+825500+3032000+20307554</f>
        <v>299730271</v>
      </c>
      <c r="G119" s="501">
        <f>530081732+20307554</f>
        <v>550389286</v>
      </c>
    </row>
    <row r="120" spans="1:7">
      <c r="A120" s="223" t="s">
        <v>100</v>
      </c>
      <c r="B120" s="253" t="s">
        <v>359</v>
      </c>
      <c r="C120" s="501"/>
      <c r="D120" s="501"/>
      <c r="E120" s="501"/>
      <c r="F120" s="501"/>
      <c r="G120" s="501"/>
    </row>
    <row r="121" spans="1:7">
      <c r="A121" s="223" t="s">
        <v>101</v>
      </c>
      <c r="B121" s="253" t="s">
        <v>176</v>
      </c>
      <c r="C121" s="496">
        <f>89587897</f>
        <v>89587897</v>
      </c>
      <c r="D121" s="496">
        <f>89587897</f>
        <v>89587897</v>
      </c>
      <c r="E121" s="496">
        <f>83896697+6426200</f>
        <v>90322897</v>
      </c>
      <c r="F121" s="496">
        <f>84898397+6426200</f>
        <v>91324597</v>
      </c>
      <c r="G121" s="496">
        <f>84898397+6426200</f>
        <v>91324597</v>
      </c>
    </row>
    <row r="122" spans="1:7">
      <c r="A122" s="223" t="s">
        <v>102</v>
      </c>
      <c r="B122" s="253" t="s">
        <v>360</v>
      </c>
      <c r="C122" s="502"/>
      <c r="D122" s="502"/>
      <c r="E122" s="502"/>
      <c r="F122" s="502"/>
      <c r="G122" s="502"/>
    </row>
    <row r="123" spans="1:7">
      <c r="A123" s="223" t="s">
        <v>103</v>
      </c>
      <c r="B123" s="227" t="s">
        <v>219</v>
      </c>
      <c r="C123" s="502">
        <f>C124+C125+C126+C127+C128+C129+C130+C131</f>
        <v>650000</v>
      </c>
      <c r="D123" s="502">
        <f>D124+D125+D126+D127+D128+D129+D130+D131</f>
        <v>650000</v>
      </c>
      <c r="E123" s="502">
        <f>E124+E125+E126+E127+E128+E129+E130+E131</f>
        <v>650000</v>
      </c>
      <c r="F123" s="502">
        <f>F124+F125+F126+F127+F128+F129+F130+F131</f>
        <v>1955100</v>
      </c>
      <c r="G123" s="502">
        <f>G124+G125+G126+G127+G128+G129+G130+G131</f>
        <v>2155100</v>
      </c>
    </row>
    <row r="124" spans="1:7">
      <c r="A124" s="223" t="s">
        <v>112</v>
      </c>
      <c r="B124" s="225" t="s">
        <v>422</v>
      </c>
      <c r="C124" s="502"/>
      <c r="D124" s="502"/>
      <c r="E124" s="502"/>
      <c r="F124" s="502"/>
      <c r="G124" s="502"/>
    </row>
    <row r="125" spans="1:7">
      <c r="A125" s="223" t="s">
        <v>114</v>
      </c>
      <c r="B125" s="254" t="s">
        <v>365</v>
      </c>
      <c r="C125" s="502"/>
      <c r="D125" s="502"/>
      <c r="E125" s="502"/>
      <c r="F125" s="502"/>
      <c r="G125" s="502"/>
    </row>
    <row r="126" spans="1:7">
      <c r="A126" s="223" t="s">
        <v>177</v>
      </c>
      <c r="B126" s="247" t="s">
        <v>349</v>
      </c>
      <c r="C126" s="502"/>
      <c r="D126" s="502"/>
      <c r="E126" s="502"/>
      <c r="F126" s="502"/>
      <c r="G126" s="502"/>
    </row>
    <row r="127" spans="1:7">
      <c r="A127" s="223" t="s">
        <v>178</v>
      </c>
      <c r="B127" s="247" t="s">
        <v>364</v>
      </c>
      <c r="C127" s="502"/>
      <c r="D127" s="502"/>
      <c r="E127" s="502"/>
      <c r="F127" s="502">
        <f>5100</f>
        <v>5100</v>
      </c>
      <c r="G127" s="502">
        <f>5100</f>
        <v>5100</v>
      </c>
    </row>
    <row r="128" spans="1:7">
      <c r="A128" s="223" t="s">
        <v>179</v>
      </c>
      <c r="B128" s="247" t="s">
        <v>363</v>
      </c>
      <c r="C128" s="502"/>
      <c r="D128" s="502"/>
      <c r="E128" s="502"/>
      <c r="F128" s="502"/>
      <c r="G128" s="502"/>
    </row>
    <row r="129" spans="1:7">
      <c r="A129" s="223" t="s">
        <v>356</v>
      </c>
      <c r="B129" s="247" t="s">
        <v>352</v>
      </c>
      <c r="C129" s="502"/>
      <c r="D129" s="502"/>
      <c r="E129" s="502"/>
      <c r="F129" s="502"/>
      <c r="G129" s="502"/>
    </row>
    <row r="130" spans="1:7">
      <c r="A130" s="223" t="s">
        <v>357</v>
      </c>
      <c r="B130" s="247" t="s">
        <v>362</v>
      </c>
      <c r="C130" s="502"/>
      <c r="D130" s="502"/>
      <c r="E130" s="502"/>
      <c r="F130" s="502"/>
      <c r="G130" s="502"/>
    </row>
    <row r="131" spans="1:7" ht="13.5" thickBot="1">
      <c r="A131" s="248" t="s">
        <v>358</v>
      </c>
      <c r="B131" s="247" t="s">
        <v>361</v>
      </c>
      <c r="C131" s="503">
        <v>650000</v>
      </c>
      <c r="D131" s="503">
        <v>650000</v>
      </c>
      <c r="E131" s="503">
        <v>650000</v>
      </c>
      <c r="F131" s="503">
        <v>1950000</v>
      </c>
      <c r="G131" s="503">
        <f>2150000</f>
        <v>2150000</v>
      </c>
    </row>
    <row r="132" spans="1:7" ht="13.5" thickBot="1">
      <c r="A132" s="221" t="s">
        <v>16</v>
      </c>
      <c r="B132" s="255" t="s">
        <v>444</v>
      </c>
      <c r="C132" s="504">
        <f>+C97+C118</f>
        <v>1151186741</v>
      </c>
      <c r="D132" s="504">
        <f>+D97+D118</f>
        <v>1158544574</v>
      </c>
      <c r="E132" s="504">
        <f>+E97+E118</f>
        <v>1169771282</v>
      </c>
      <c r="F132" s="504">
        <f>+F97+F118</f>
        <v>1220859233</v>
      </c>
      <c r="G132" s="504">
        <f>+G97+G118</f>
        <v>1494746987</v>
      </c>
    </row>
    <row r="133" spans="1:7" ht="13.5" thickBot="1">
      <c r="A133" s="221" t="s">
        <v>17</v>
      </c>
      <c r="B133" s="255" t="s">
        <v>445</v>
      </c>
      <c r="C133" s="504">
        <f>+C134+C135+C136</f>
        <v>0</v>
      </c>
      <c r="D133" s="504">
        <f>+D134+D135+D136</f>
        <v>0</v>
      </c>
      <c r="E133" s="504">
        <f>+E134+E135+E136</f>
        <v>0</v>
      </c>
      <c r="F133" s="504">
        <f>+F134+F135+F136</f>
        <v>0</v>
      </c>
      <c r="G133" s="504">
        <f>+G134+G135+G136</f>
        <v>0</v>
      </c>
    </row>
    <row r="134" spans="1:7">
      <c r="A134" s="223" t="s">
        <v>257</v>
      </c>
      <c r="B134" s="253" t="s">
        <v>452</v>
      </c>
      <c r="C134" s="502"/>
      <c r="D134" s="502"/>
      <c r="E134" s="502"/>
      <c r="F134" s="502"/>
      <c r="G134" s="502"/>
    </row>
    <row r="135" spans="1:7">
      <c r="A135" s="223" t="s">
        <v>260</v>
      </c>
      <c r="B135" s="253" t="s">
        <v>453</v>
      </c>
      <c r="C135" s="502"/>
      <c r="D135" s="502"/>
      <c r="E135" s="502"/>
      <c r="F135" s="502"/>
      <c r="G135" s="502"/>
    </row>
    <row r="136" spans="1:7" ht="13.5" thickBot="1">
      <c r="A136" s="248" t="s">
        <v>261</v>
      </c>
      <c r="B136" s="253" t="s">
        <v>454</v>
      </c>
      <c r="C136" s="502"/>
      <c r="D136" s="502"/>
      <c r="E136" s="502"/>
      <c r="F136" s="502"/>
      <c r="G136" s="502"/>
    </row>
    <row r="137" spans="1:7" ht="13.5" thickBot="1">
      <c r="A137" s="221" t="s">
        <v>18</v>
      </c>
      <c r="B137" s="255" t="s">
        <v>446</v>
      </c>
      <c r="C137" s="504">
        <f>SUM(C138:C143)</f>
        <v>0</v>
      </c>
      <c r="D137" s="504">
        <f>SUM(D138:D143)</f>
        <v>0</v>
      </c>
      <c r="E137" s="504">
        <f>SUM(E138:E143)</f>
        <v>0</v>
      </c>
      <c r="F137" s="504">
        <f>SUM(F138:F143)</f>
        <v>0</v>
      </c>
      <c r="G137" s="504">
        <f>SUM(G138:G143)</f>
        <v>0</v>
      </c>
    </row>
    <row r="138" spans="1:7">
      <c r="A138" s="223" t="s">
        <v>86</v>
      </c>
      <c r="B138" s="256" t="s">
        <v>455</v>
      </c>
      <c r="C138" s="502"/>
      <c r="D138" s="502"/>
      <c r="E138" s="502"/>
      <c r="F138" s="502"/>
      <c r="G138" s="502"/>
    </row>
    <row r="139" spans="1:7">
      <c r="A139" s="223" t="s">
        <v>87</v>
      </c>
      <c r="B139" s="256" t="s">
        <v>447</v>
      </c>
      <c r="C139" s="502"/>
      <c r="D139" s="502"/>
      <c r="E139" s="502"/>
      <c r="F139" s="502"/>
      <c r="G139" s="502"/>
    </row>
    <row r="140" spans="1:7">
      <c r="A140" s="223" t="s">
        <v>88</v>
      </c>
      <c r="B140" s="256" t="s">
        <v>448</v>
      </c>
      <c r="C140" s="502"/>
      <c r="D140" s="502"/>
      <c r="E140" s="502"/>
      <c r="F140" s="502"/>
      <c r="G140" s="502"/>
    </row>
    <row r="141" spans="1:7">
      <c r="A141" s="223" t="s">
        <v>164</v>
      </c>
      <c r="B141" s="256" t="s">
        <v>449</v>
      </c>
      <c r="C141" s="502"/>
      <c r="D141" s="502"/>
      <c r="E141" s="502"/>
      <c r="F141" s="502"/>
      <c r="G141" s="502"/>
    </row>
    <row r="142" spans="1:7">
      <c r="A142" s="223" t="s">
        <v>165</v>
      </c>
      <c r="B142" s="256" t="s">
        <v>450</v>
      </c>
      <c r="C142" s="502"/>
      <c r="D142" s="502"/>
      <c r="E142" s="502"/>
      <c r="F142" s="502"/>
      <c r="G142" s="502"/>
    </row>
    <row r="143" spans="1:7" ht="13.5" thickBot="1">
      <c r="A143" s="248" t="s">
        <v>166</v>
      </c>
      <c r="B143" s="256" t="s">
        <v>451</v>
      </c>
      <c r="C143" s="502"/>
      <c r="D143" s="502"/>
      <c r="E143" s="502"/>
      <c r="F143" s="502"/>
      <c r="G143" s="502"/>
    </row>
    <row r="144" spans="1:7" ht="13.5" thickBot="1">
      <c r="A144" s="221" t="s">
        <v>19</v>
      </c>
      <c r="B144" s="255" t="s">
        <v>459</v>
      </c>
      <c r="C144" s="505">
        <f>+C145+C146+C147+C148</f>
        <v>8107720</v>
      </c>
      <c r="D144" s="505">
        <f>+D145+D146+D147+D148</f>
        <v>8107720</v>
      </c>
      <c r="E144" s="505">
        <f>+E145+E146+E147+E148</f>
        <v>8369810</v>
      </c>
      <c r="F144" s="505">
        <f>+F145+F146+F147+F148</f>
        <v>8369810</v>
      </c>
      <c r="G144" s="505">
        <f>+G145+G146+G147+G148</f>
        <v>8369810</v>
      </c>
    </row>
    <row r="145" spans="1:7">
      <c r="A145" s="223" t="s">
        <v>89</v>
      </c>
      <c r="B145" s="256" t="s">
        <v>366</v>
      </c>
      <c r="C145" s="502"/>
      <c r="D145" s="502"/>
      <c r="E145" s="502"/>
      <c r="F145" s="502"/>
      <c r="G145" s="502"/>
    </row>
    <row r="146" spans="1:7">
      <c r="A146" s="223" t="s">
        <v>90</v>
      </c>
      <c r="B146" s="256" t="s">
        <v>367</v>
      </c>
      <c r="C146" s="502">
        <f>8107720</f>
        <v>8107720</v>
      </c>
      <c r="D146" s="502">
        <f>8107720</f>
        <v>8107720</v>
      </c>
      <c r="E146" s="502">
        <f>8369810</f>
        <v>8369810</v>
      </c>
      <c r="F146" s="502">
        <f>8369810</f>
        <v>8369810</v>
      </c>
      <c r="G146" s="502">
        <f>8369810</f>
        <v>8369810</v>
      </c>
    </row>
    <row r="147" spans="1:7">
      <c r="A147" s="223" t="s">
        <v>281</v>
      </c>
      <c r="B147" s="256" t="s">
        <v>460</v>
      </c>
      <c r="C147" s="502"/>
      <c r="D147" s="502"/>
      <c r="E147" s="502"/>
      <c r="F147" s="502"/>
      <c r="G147" s="502"/>
    </row>
    <row r="148" spans="1:7" ht="13.5" thickBot="1">
      <c r="A148" s="248" t="s">
        <v>282</v>
      </c>
      <c r="B148" s="257" t="s">
        <v>386</v>
      </c>
      <c r="C148" s="502"/>
      <c r="D148" s="502"/>
      <c r="E148" s="502"/>
      <c r="F148" s="502"/>
      <c r="G148" s="502"/>
    </row>
    <row r="149" spans="1:7" ht="13.5" thickBot="1">
      <c r="A149" s="221" t="s">
        <v>20</v>
      </c>
      <c r="B149" s="255" t="s">
        <v>461</v>
      </c>
      <c r="C149" s="506">
        <f>SUM(C150:C154)</f>
        <v>0</v>
      </c>
      <c r="D149" s="506">
        <f>SUM(D150:D154)</f>
        <v>0</v>
      </c>
      <c r="E149" s="506">
        <f>SUM(E150:E154)</f>
        <v>0</v>
      </c>
      <c r="F149" s="506">
        <f>SUM(F150:F154)</f>
        <v>0</v>
      </c>
      <c r="G149" s="506">
        <f>SUM(G150:G154)</f>
        <v>0</v>
      </c>
    </row>
    <row r="150" spans="1:7">
      <c r="A150" s="223" t="s">
        <v>91</v>
      </c>
      <c r="B150" s="256" t="s">
        <v>456</v>
      </c>
      <c r="C150" s="502"/>
      <c r="D150" s="502"/>
      <c r="E150" s="502"/>
      <c r="F150" s="502"/>
      <c r="G150" s="502"/>
    </row>
    <row r="151" spans="1:7">
      <c r="A151" s="223" t="s">
        <v>92</v>
      </c>
      <c r="B151" s="256" t="s">
        <v>463</v>
      </c>
      <c r="C151" s="502"/>
      <c r="D151" s="502"/>
      <c r="E151" s="502"/>
      <c r="F151" s="502"/>
      <c r="G151" s="502"/>
    </row>
    <row r="152" spans="1:7">
      <c r="A152" s="223" t="s">
        <v>293</v>
      </c>
      <c r="B152" s="256" t="s">
        <v>458</v>
      </c>
      <c r="C152" s="502"/>
      <c r="D152" s="502"/>
      <c r="E152" s="502"/>
      <c r="F152" s="502"/>
      <c r="G152" s="502"/>
    </row>
    <row r="153" spans="1:7">
      <c r="A153" s="223" t="s">
        <v>294</v>
      </c>
      <c r="B153" s="256" t="s">
        <v>464</v>
      </c>
      <c r="C153" s="502"/>
      <c r="D153" s="502"/>
      <c r="E153" s="502"/>
      <c r="F153" s="502"/>
      <c r="G153" s="502"/>
    </row>
    <row r="154" spans="1:7" ht="13.5" thickBot="1">
      <c r="A154" s="223" t="s">
        <v>462</v>
      </c>
      <c r="B154" s="256" t="s">
        <v>465</v>
      </c>
      <c r="C154" s="502"/>
      <c r="D154" s="502"/>
      <c r="E154" s="502"/>
      <c r="F154" s="502"/>
      <c r="G154" s="502"/>
    </row>
    <row r="155" spans="1:7" ht="13.5" thickBot="1">
      <c r="A155" s="221" t="s">
        <v>21</v>
      </c>
      <c r="B155" s="255" t="s">
        <v>466</v>
      </c>
      <c r="C155" s="507"/>
      <c r="D155" s="507"/>
      <c r="E155" s="507"/>
      <c r="F155" s="507"/>
      <c r="G155" s="507"/>
    </row>
    <row r="156" spans="1:7" ht="13.5" thickBot="1">
      <c r="A156" s="221" t="s">
        <v>22</v>
      </c>
      <c r="B156" s="255" t="s">
        <v>541</v>
      </c>
      <c r="C156" s="507"/>
      <c r="D156" s="507"/>
      <c r="E156" s="507"/>
      <c r="F156" s="507"/>
      <c r="G156" s="507"/>
    </row>
    <row r="157" spans="1:7" ht="13.5" thickBot="1">
      <c r="A157" s="221" t="s">
        <v>23</v>
      </c>
      <c r="B157" s="255" t="s">
        <v>469</v>
      </c>
      <c r="C157" s="508">
        <f>+C133+C137+C144+C149+C155+C156</f>
        <v>8107720</v>
      </c>
      <c r="D157" s="508">
        <f>+D133+D137+D144+D149+D155+D156</f>
        <v>8107720</v>
      </c>
      <c r="E157" s="508">
        <f>+E133+E137+E144+E149+E155+E156</f>
        <v>8369810</v>
      </c>
      <c r="F157" s="508">
        <f>+F133+F137+F144+F149+F155+F156</f>
        <v>8369810</v>
      </c>
      <c r="G157" s="508">
        <f>+G133+G137+G144+G149+G155+G156</f>
        <v>8369810</v>
      </c>
    </row>
    <row r="158" spans="1:7" s="41" customFormat="1" ht="13.5" thickBot="1">
      <c r="A158" s="259" t="s">
        <v>24</v>
      </c>
      <c r="B158" s="260" t="s">
        <v>468</v>
      </c>
      <c r="C158" s="508">
        <f>+C132+C157</f>
        <v>1159294461</v>
      </c>
      <c r="D158" s="508">
        <f>+D132+D157</f>
        <v>1166652294</v>
      </c>
      <c r="E158" s="508">
        <f>+E132+E157</f>
        <v>1178141092</v>
      </c>
      <c r="F158" s="508">
        <f>+F132+F157</f>
        <v>1229229043</v>
      </c>
      <c r="G158" s="508">
        <f>+G132+G157</f>
        <v>1503116797</v>
      </c>
    </row>
    <row r="160" spans="1:7">
      <c r="A160" s="623" t="s">
        <v>368</v>
      </c>
      <c r="B160" s="623"/>
      <c r="C160" s="422"/>
      <c r="D160" s="422"/>
      <c r="E160" s="422"/>
      <c r="F160" s="422"/>
      <c r="G160" s="422"/>
    </row>
    <row r="161" spans="1:7" ht="14.25" thickBot="1">
      <c r="A161" s="786" t="s">
        <v>144</v>
      </c>
      <c r="B161" s="786"/>
      <c r="C161" s="484" t="s">
        <v>662</v>
      </c>
      <c r="D161" s="484" t="s">
        <v>662</v>
      </c>
      <c r="E161" s="484" t="s">
        <v>662</v>
      </c>
      <c r="F161" s="484" t="s">
        <v>662</v>
      </c>
      <c r="G161" s="484" t="s">
        <v>662</v>
      </c>
    </row>
    <row r="162" spans="1:7" ht="26.25" thickBot="1">
      <c r="A162" s="221">
        <v>1</v>
      </c>
      <c r="B162" s="541" t="s">
        <v>470</v>
      </c>
      <c r="C162" s="504">
        <f>+C66-C132</f>
        <v>-532892280</v>
      </c>
      <c r="D162" s="504">
        <f>+D66-D132</f>
        <v>-533367779</v>
      </c>
      <c r="E162" s="504">
        <f>+E66-E132</f>
        <v>-536562304</v>
      </c>
      <c r="F162" s="504">
        <f>+F66-F132</f>
        <v>-536562304</v>
      </c>
      <c r="G162" s="504">
        <f>+G66-G132</f>
        <v>-536562304</v>
      </c>
    </row>
    <row r="163" spans="1:7" ht="39" thickBot="1">
      <c r="A163" s="221" t="s">
        <v>15</v>
      </c>
      <c r="B163" s="541" t="s">
        <v>476</v>
      </c>
      <c r="C163" s="504">
        <f>+C90-C157</f>
        <v>532892280</v>
      </c>
      <c r="D163" s="504">
        <f>+D90-D157</f>
        <v>533367779</v>
      </c>
      <c r="E163" s="504">
        <f>+E90-E157</f>
        <v>536562304</v>
      </c>
      <c r="F163" s="504">
        <f>+F90-F157</f>
        <v>536562304</v>
      </c>
      <c r="G163" s="504">
        <f>+G90-G157</f>
        <v>536562304</v>
      </c>
    </row>
  </sheetData>
  <mergeCells count="5">
    <mergeCell ref="A161:B161"/>
    <mergeCell ref="A93:B93"/>
    <mergeCell ref="A5:B5"/>
    <mergeCell ref="A6:B6"/>
    <mergeCell ref="A94:B94"/>
  </mergeCells>
  <phoneticPr fontId="0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83" fitToHeight="2" orientation="landscape" r:id="rId1"/>
  <headerFooter alignWithMargins="0">
    <oddHeader>&amp;R&amp;"Times New Roman CE,Félkövér dőlt"&amp;11 1.1. melléklet a 19/2019. (XII.20.) önkormányzati rendelethez</oddHeader>
    <oddFooter>&amp;P. oldal, összesen: &amp;N</oddFooter>
  </headerFooter>
  <rowBreaks count="5" manualBreakCount="5">
    <brk id="29" max="6" man="1"/>
    <brk id="66" max="6" man="1"/>
    <brk id="91" max="6" man="1"/>
    <brk id="117" max="6" man="1"/>
    <brk id="13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FFFF00"/>
  </sheetPr>
  <dimension ref="A1:P69"/>
  <sheetViews>
    <sheetView view="pageLayout" topLeftCell="A30" zoomScaleNormal="100" workbookViewId="0">
      <selection activeCell="G65" sqref="G65"/>
    </sheetView>
  </sheetViews>
  <sheetFormatPr defaultRowHeight="15.75"/>
  <cols>
    <col min="1" max="1" width="118.6640625" style="190" bestFit="1" customWidth="1"/>
    <col min="2" max="2" width="32.1640625" style="190" bestFit="1" customWidth="1"/>
    <col min="3" max="3" width="16.1640625" style="189" bestFit="1" customWidth="1"/>
    <col min="4" max="4" width="23.1640625" style="189" bestFit="1" customWidth="1"/>
    <col min="5" max="5" width="16.33203125" style="189" bestFit="1" customWidth="1"/>
    <col min="6" max="10" width="22.83203125" style="189" bestFit="1" customWidth="1"/>
    <col min="11" max="11" width="17.1640625" style="189" bestFit="1" customWidth="1"/>
    <col min="12" max="12" width="16.1640625" style="195" bestFit="1" customWidth="1"/>
    <col min="13" max="13" width="14.33203125" style="189" bestFit="1" customWidth="1"/>
    <col min="14" max="14" width="13.83203125" style="189" bestFit="1" customWidth="1"/>
    <col min="15" max="15" width="16.83203125" style="189" bestFit="1" customWidth="1"/>
    <col min="16" max="16" width="2.83203125" style="189" bestFit="1" customWidth="1"/>
    <col min="17" max="17" width="12.83203125" style="189" customWidth="1"/>
    <col min="18" max="18" width="13.83203125" style="189" customWidth="1"/>
    <col min="19" max="16384" width="9.33203125" style="189"/>
  </cols>
  <sheetData>
    <row r="1" spans="1:15" ht="19.5" customHeight="1">
      <c r="A1" s="811" t="s">
        <v>536</v>
      </c>
      <c r="B1" s="811"/>
      <c r="G1" s="810" t="s">
        <v>692</v>
      </c>
      <c r="H1" s="810"/>
      <c r="I1" s="810"/>
      <c r="J1" s="810"/>
      <c r="K1" s="810"/>
      <c r="L1" s="810"/>
      <c r="M1" s="810"/>
      <c r="N1" s="810"/>
      <c r="O1" s="810"/>
    </row>
    <row r="5" spans="1:15" ht="25.5" customHeight="1">
      <c r="A5" s="809" t="s">
        <v>709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</row>
    <row r="6" spans="1:15" ht="22.5" customHeight="1" thickBot="1">
      <c r="K6" s="586" t="s">
        <v>581</v>
      </c>
      <c r="L6" s="587" t="s">
        <v>581</v>
      </c>
    </row>
    <row r="7" spans="1:15" s="188" customFormat="1" ht="44.25" customHeight="1" thickBot="1">
      <c r="A7" s="191" t="s">
        <v>59</v>
      </c>
      <c r="B7" s="192" t="s">
        <v>615</v>
      </c>
      <c r="C7" s="588" t="s">
        <v>60</v>
      </c>
      <c r="D7" s="588" t="s">
        <v>61</v>
      </c>
      <c r="E7" s="588" t="s">
        <v>674</v>
      </c>
      <c r="F7" s="588" t="s">
        <v>690</v>
      </c>
      <c r="G7" s="588" t="s">
        <v>716</v>
      </c>
      <c r="H7" s="588" t="s">
        <v>719</v>
      </c>
      <c r="I7" s="588" t="s">
        <v>729</v>
      </c>
      <c r="J7" s="588" t="s">
        <v>750</v>
      </c>
      <c r="K7" s="589" t="s">
        <v>689</v>
      </c>
      <c r="L7" s="590" t="s">
        <v>608</v>
      </c>
      <c r="M7" s="591" t="s">
        <v>609</v>
      </c>
      <c r="N7" s="591" t="s">
        <v>610</v>
      </c>
      <c r="O7" s="592" t="s">
        <v>607</v>
      </c>
    </row>
    <row r="8" spans="1:15" ht="16.5" thickBot="1">
      <c r="A8" s="193" t="s">
        <v>483</v>
      </c>
      <c r="B8" s="194"/>
      <c r="C8" s="593" t="s">
        <v>484</v>
      </c>
      <c r="D8" s="593" t="s">
        <v>485</v>
      </c>
      <c r="E8" s="593" t="s">
        <v>487</v>
      </c>
      <c r="F8" s="594" t="s">
        <v>486</v>
      </c>
      <c r="G8" s="594" t="s">
        <v>486</v>
      </c>
      <c r="H8" s="594" t="s">
        <v>486</v>
      </c>
      <c r="I8" s="594" t="s">
        <v>486</v>
      </c>
      <c r="J8" s="594" t="s">
        <v>486</v>
      </c>
      <c r="K8" s="595" t="s">
        <v>489</v>
      </c>
      <c r="L8" s="596"/>
      <c r="M8" s="597"/>
      <c r="N8" s="597"/>
      <c r="O8" s="593"/>
    </row>
    <row r="9" spans="1:15" ht="24.75" customHeight="1">
      <c r="A9" s="383" t="s">
        <v>666</v>
      </c>
      <c r="B9" s="384" t="s">
        <v>617</v>
      </c>
      <c r="C9" s="575">
        <f>(50000*1.27)</f>
        <v>63500</v>
      </c>
      <c r="D9" s="576" t="s">
        <v>697</v>
      </c>
      <c r="E9" s="575"/>
      <c r="F9" s="575">
        <f>(50000*1.27)</f>
        <v>63500</v>
      </c>
      <c r="G9" s="575">
        <f>(50000*1.27)</f>
        <v>63500</v>
      </c>
      <c r="H9" s="575">
        <f>(50000*1.27)</f>
        <v>63500</v>
      </c>
      <c r="I9" s="575">
        <f>(50000*1.27)</f>
        <v>63500</v>
      </c>
      <c r="J9" s="575">
        <f>(50000*1.27)</f>
        <v>63500</v>
      </c>
      <c r="K9" s="577"/>
      <c r="L9" s="578">
        <f>M9+N9+O9</f>
        <v>63500</v>
      </c>
      <c r="M9" s="575">
        <f>(50000*1.27)</f>
        <v>63500</v>
      </c>
      <c r="N9" s="579"/>
      <c r="O9" s="575"/>
    </row>
    <row r="10" spans="1:15" ht="24.75" customHeight="1">
      <c r="A10" s="383" t="s">
        <v>718</v>
      </c>
      <c r="B10" s="384"/>
      <c r="C10" s="575">
        <v>127000</v>
      </c>
      <c r="D10" s="576"/>
      <c r="E10" s="575"/>
      <c r="F10" s="575"/>
      <c r="G10" s="575">
        <f>100000*1.27</f>
        <v>127000</v>
      </c>
      <c r="H10" s="575">
        <f>100000*1.27</f>
        <v>127000</v>
      </c>
      <c r="I10" s="575">
        <f>100000*1.27</f>
        <v>127000</v>
      </c>
      <c r="J10" s="575">
        <f>100000*1.27</f>
        <v>127000</v>
      </c>
      <c r="K10" s="577"/>
      <c r="L10" s="578">
        <f>M10+N10+O10</f>
        <v>127000</v>
      </c>
      <c r="M10" s="575">
        <f>100000*1.27</f>
        <v>127000</v>
      </c>
      <c r="N10" s="579"/>
      <c r="O10" s="575"/>
    </row>
    <row r="11" spans="1:15" ht="24.75" customHeight="1">
      <c r="A11" s="383" t="s">
        <v>745</v>
      </c>
      <c r="B11" s="384"/>
      <c r="C11" s="575">
        <f>69000*1.27</f>
        <v>87630</v>
      </c>
      <c r="D11" s="576"/>
      <c r="E11" s="575"/>
      <c r="F11" s="575"/>
      <c r="G11" s="575"/>
      <c r="H11" s="575"/>
      <c r="I11" s="575">
        <f>69000*1.27</f>
        <v>87630</v>
      </c>
      <c r="J11" s="575">
        <f>69000*1.27</f>
        <v>87630</v>
      </c>
      <c r="K11" s="577"/>
      <c r="L11" s="578">
        <f>M11+N11+O11</f>
        <v>87630</v>
      </c>
      <c r="M11" s="575"/>
      <c r="N11" s="579"/>
      <c r="O11" s="575">
        <f>69000*1.27</f>
        <v>87630</v>
      </c>
    </row>
    <row r="12" spans="1:15" s="387" customFormat="1" ht="24.75" customHeight="1">
      <c r="A12" s="385" t="s">
        <v>602</v>
      </c>
      <c r="B12" s="386"/>
      <c r="C12" s="581">
        <f>SUM(C9:C11)</f>
        <v>278130</v>
      </c>
      <c r="D12" s="581"/>
      <c r="E12" s="581"/>
      <c r="F12" s="581">
        <f t="shared" ref="F12:O12" si="0">SUM(F9:F11)</f>
        <v>63500</v>
      </c>
      <c r="G12" s="581">
        <f t="shared" si="0"/>
        <v>190500</v>
      </c>
      <c r="H12" s="581">
        <f t="shared" si="0"/>
        <v>190500</v>
      </c>
      <c r="I12" s="581">
        <f t="shared" si="0"/>
        <v>278130</v>
      </c>
      <c r="J12" s="581">
        <f>SUM(J9:J11)</f>
        <v>278130</v>
      </c>
      <c r="K12" s="581"/>
      <c r="L12" s="581">
        <f t="shared" si="0"/>
        <v>278130</v>
      </c>
      <c r="M12" s="581">
        <f t="shared" si="0"/>
        <v>190500</v>
      </c>
      <c r="N12" s="581">
        <f t="shared" si="0"/>
        <v>0</v>
      </c>
      <c r="O12" s="581">
        <f t="shared" si="0"/>
        <v>87630</v>
      </c>
    </row>
    <row r="13" spans="1:15" s="387" customFormat="1" ht="24.75" customHeight="1">
      <c r="A13" s="385"/>
      <c r="B13" s="386"/>
      <c r="C13" s="581"/>
      <c r="D13" s="582"/>
      <c r="E13" s="581"/>
      <c r="F13" s="585"/>
      <c r="G13" s="585"/>
      <c r="H13" s="585"/>
      <c r="I13" s="585"/>
      <c r="J13" s="585"/>
      <c r="K13" s="583"/>
      <c r="L13" s="584"/>
      <c r="M13" s="584"/>
      <c r="N13" s="584"/>
      <c r="O13" s="581"/>
    </row>
    <row r="14" spans="1:15">
      <c r="A14" s="383" t="s">
        <v>653</v>
      </c>
      <c r="B14" s="384" t="s">
        <v>654</v>
      </c>
      <c r="C14" s="575">
        <f>(600000*1.27)</f>
        <v>762000</v>
      </c>
      <c r="D14" s="576" t="s">
        <v>697</v>
      </c>
      <c r="E14" s="575"/>
      <c r="F14" s="575">
        <f>(600000*1.27)</f>
        <v>762000</v>
      </c>
      <c r="G14" s="575">
        <f>(600000*1.27)</f>
        <v>762000</v>
      </c>
      <c r="H14" s="575">
        <f>(600000*1.27)</f>
        <v>762000</v>
      </c>
      <c r="I14" s="575">
        <f>(600000*1.27)</f>
        <v>762000</v>
      </c>
      <c r="J14" s="575">
        <f>(600000*1.27)</f>
        <v>762000</v>
      </c>
      <c r="K14" s="580"/>
      <c r="L14" s="578">
        <f t="shared" ref="L14:L20" si="1">M14+N14+O14</f>
        <v>762000</v>
      </c>
      <c r="M14" s="575">
        <f>(600000*1.27)</f>
        <v>762000</v>
      </c>
      <c r="N14" s="579"/>
      <c r="O14" s="575"/>
    </row>
    <row r="15" spans="1:15">
      <c r="A15" s="383" t="s">
        <v>703</v>
      </c>
      <c r="B15" s="384" t="s">
        <v>616</v>
      </c>
      <c r="C15" s="575">
        <f>(200000*1.27)</f>
        <v>254000</v>
      </c>
      <c r="D15" s="576" t="s">
        <v>697</v>
      </c>
      <c r="E15" s="575"/>
      <c r="F15" s="575">
        <f>(200000*1.27)</f>
        <v>254000</v>
      </c>
      <c r="G15" s="575">
        <f>(200000*1.27)</f>
        <v>254000</v>
      </c>
      <c r="H15" s="575">
        <f>(200000*1.27)</f>
        <v>254000</v>
      </c>
      <c r="I15" s="575">
        <f>(200000*1.27)</f>
        <v>254000</v>
      </c>
      <c r="J15" s="575">
        <f>(200000*1.27)</f>
        <v>254000</v>
      </c>
      <c r="K15" s="580"/>
      <c r="L15" s="578">
        <f t="shared" si="1"/>
        <v>254000</v>
      </c>
      <c r="M15" s="575">
        <f>(200000*1.27)</f>
        <v>254000</v>
      </c>
      <c r="N15" s="579"/>
      <c r="O15" s="575"/>
    </row>
    <row r="16" spans="1:15">
      <c r="A16" s="383" t="s">
        <v>704</v>
      </c>
      <c r="B16" s="384" t="s">
        <v>616</v>
      </c>
      <c r="C16" s="575">
        <f>(2100000*1.27)+(150000*1.27)</f>
        <v>2857500</v>
      </c>
      <c r="D16" s="576" t="s">
        <v>697</v>
      </c>
      <c r="E16" s="575"/>
      <c r="F16" s="575">
        <f>(2100000*1.27)</f>
        <v>2667000</v>
      </c>
      <c r="G16" s="575">
        <f>(2100000*1.27)</f>
        <v>2667000</v>
      </c>
      <c r="H16" s="575">
        <f>(2100000*1.27)+(150000*1.27)</f>
        <v>2857500</v>
      </c>
      <c r="I16" s="575">
        <f>(2100000*1.27)+(150000*1.27)</f>
        <v>2857500</v>
      </c>
      <c r="J16" s="575">
        <f>(2100000*1.27)+(150000*1.27)</f>
        <v>2857500</v>
      </c>
      <c r="K16" s="580"/>
      <c r="L16" s="578">
        <f t="shared" si="1"/>
        <v>2857500</v>
      </c>
      <c r="M16" s="575">
        <f>(2100000*1.27)+(150000*1.27)</f>
        <v>2857500</v>
      </c>
      <c r="N16" s="579"/>
      <c r="O16" s="575"/>
    </row>
    <row r="17" spans="1:16">
      <c r="A17" s="383" t="s">
        <v>655</v>
      </c>
      <c r="B17" s="384" t="s">
        <v>616</v>
      </c>
      <c r="C17" s="575">
        <f>(2890000*1.27)</f>
        <v>3670300</v>
      </c>
      <c r="D17" s="576" t="s">
        <v>699</v>
      </c>
      <c r="E17" s="575"/>
      <c r="F17" s="575">
        <f>(2890000*1.27)</f>
        <v>3670300</v>
      </c>
      <c r="G17" s="575">
        <f>(2890000*1.27)</f>
        <v>3670300</v>
      </c>
      <c r="H17" s="575">
        <f>(2890000*1.27)</f>
        <v>3670300</v>
      </c>
      <c r="I17" s="575">
        <f>(2890000*1.27)</f>
        <v>3670300</v>
      </c>
      <c r="J17" s="575">
        <f>(2890000*1.27)</f>
        <v>3670300</v>
      </c>
      <c r="K17" s="580"/>
      <c r="L17" s="578">
        <f t="shared" si="1"/>
        <v>3670300</v>
      </c>
      <c r="M17" s="575">
        <f>(2890000*1.27)</f>
        <v>3670300</v>
      </c>
      <c r="N17" s="579"/>
      <c r="O17" s="579"/>
    </row>
    <row r="18" spans="1:16" ht="31.5">
      <c r="A18" s="383" t="s">
        <v>635</v>
      </c>
      <c r="B18" s="384" t="s">
        <v>616</v>
      </c>
      <c r="C18" s="575">
        <f>(124110246+32307664+1242604)</f>
        <v>157660514</v>
      </c>
      <c r="D18" s="576" t="s">
        <v>699</v>
      </c>
      <c r="E18" s="575"/>
      <c r="F18" s="575">
        <f>(124110246+32307664+1242604)</f>
        <v>157660514</v>
      </c>
      <c r="G18" s="575">
        <f>(124110246+32307664+1242604)</f>
        <v>157660514</v>
      </c>
      <c r="H18" s="575">
        <f>(124110246+32307664+1242604)</f>
        <v>157660514</v>
      </c>
      <c r="I18" s="575">
        <f>(124110246+32307664+1242604)</f>
        <v>157660514</v>
      </c>
      <c r="J18" s="575">
        <f>(124110246+32307664+1242604)</f>
        <v>157660514</v>
      </c>
      <c r="K18" s="577"/>
      <c r="L18" s="578">
        <f>M18+N18+O18</f>
        <v>157660514</v>
      </c>
      <c r="M18" s="579"/>
      <c r="N18" s="579"/>
      <c r="O18" s="575">
        <f>(124110246+32307664+1242604)</f>
        <v>157660514</v>
      </c>
      <c r="P18" s="641"/>
    </row>
    <row r="19" spans="1:16">
      <c r="A19" s="383" t="s">
        <v>632</v>
      </c>
      <c r="B19" s="384" t="s">
        <v>616</v>
      </c>
      <c r="C19" s="575">
        <f>(44017728+270000)</f>
        <v>44287728</v>
      </c>
      <c r="D19" s="576" t="s">
        <v>699</v>
      </c>
      <c r="E19" s="575"/>
      <c r="F19" s="575">
        <f>(44017728+270000)</f>
        <v>44287728</v>
      </c>
      <c r="G19" s="575">
        <f>(44017728+270000)</f>
        <v>44287728</v>
      </c>
      <c r="H19" s="575">
        <f>(44017728+270000)</f>
        <v>44287728</v>
      </c>
      <c r="I19" s="575">
        <f>(44017728+270000)</f>
        <v>44287728</v>
      </c>
      <c r="J19" s="575">
        <f>(44017728+270000)</f>
        <v>44287728</v>
      </c>
      <c r="K19" s="577"/>
      <c r="L19" s="578">
        <f>M19+N19+O19</f>
        <v>44287728</v>
      </c>
      <c r="M19" s="579"/>
      <c r="N19" s="579"/>
      <c r="O19" s="575">
        <f>(44017728+270000)</f>
        <v>44287728</v>
      </c>
    </row>
    <row r="20" spans="1:16" ht="24.75" customHeight="1">
      <c r="A20" s="383" t="s">
        <v>657</v>
      </c>
      <c r="B20" s="384" t="s">
        <v>617</v>
      </c>
      <c r="C20" s="575">
        <f>(8000000*1.27)</f>
        <v>10160000</v>
      </c>
      <c r="D20" s="576" t="s">
        <v>697</v>
      </c>
      <c r="E20" s="575"/>
      <c r="F20" s="575">
        <f>(8000000*1.27)</f>
        <v>10160000</v>
      </c>
      <c r="G20" s="575">
        <f>(8000000*1.27)</f>
        <v>10160000</v>
      </c>
      <c r="H20" s="575">
        <f>(8000000*1.27)</f>
        <v>10160000</v>
      </c>
      <c r="I20" s="575">
        <f>(8000000*1.27)</f>
        <v>10160000</v>
      </c>
      <c r="J20" s="575">
        <f>(8000000*1.27)</f>
        <v>10160000</v>
      </c>
      <c r="K20" s="580"/>
      <c r="L20" s="578">
        <f t="shared" si="1"/>
        <v>10160000</v>
      </c>
      <c r="M20" s="575">
        <f>(8000000*1.27)</f>
        <v>10160000</v>
      </c>
      <c r="N20" s="579"/>
      <c r="O20" s="575"/>
    </row>
    <row r="21" spans="1:16" ht="24.75" customHeight="1">
      <c r="A21" s="383" t="s">
        <v>724</v>
      </c>
      <c r="B21" s="384" t="s">
        <v>617</v>
      </c>
      <c r="C21" s="575">
        <f>(250000*1.27)</f>
        <v>317500</v>
      </c>
      <c r="D21" s="576" t="s">
        <v>697</v>
      </c>
      <c r="E21" s="575"/>
      <c r="F21" s="575"/>
      <c r="G21" s="575"/>
      <c r="H21" s="575">
        <f>(250000*1.27)</f>
        <v>317500</v>
      </c>
      <c r="I21" s="575">
        <f>(250000*1.27)</f>
        <v>317500</v>
      </c>
      <c r="J21" s="575">
        <f>(250000*1.27)</f>
        <v>317500</v>
      </c>
      <c r="K21" s="580"/>
      <c r="L21" s="578">
        <f t="shared" ref="L21:L28" si="2">M21+N21+O21</f>
        <v>317500</v>
      </c>
      <c r="M21" s="575">
        <f>(250000*1.27)</f>
        <v>317500</v>
      </c>
      <c r="N21" s="579"/>
      <c r="O21" s="575"/>
    </row>
    <row r="22" spans="1:16" ht="24.75" customHeight="1">
      <c r="A22" s="383" t="s">
        <v>664</v>
      </c>
      <c r="B22" s="384" t="s">
        <v>741</v>
      </c>
      <c r="C22" s="575">
        <f>(8725067+62322)+7000+11100</f>
        <v>8805489</v>
      </c>
      <c r="D22" s="576" t="s">
        <v>699</v>
      </c>
      <c r="E22" s="575"/>
      <c r="F22" s="575">
        <f>(8725067+62322)</f>
        <v>8787389</v>
      </c>
      <c r="G22" s="575">
        <f>(8725067+62322)</f>
        <v>8787389</v>
      </c>
      <c r="H22" s="575">
        <f>(8725067+62322)</f>
        <v>8787389</v>
      </c>
      <c r="I22" s="575">
        <f>(8725067+62322)+7000+11100</f>
        <v>8805489</v>
      </c>
      <c r="J22" s="575">
        <f>(8725067+62322)+7000+11100</f>
        <v>8805489</v>
      </c>
      <c r="K22" s="577"/>
      <c r="L22" s="578">
        <f t="shared" si="2"/>
        <v>8805489</v>
      </c>
      <c r="M22" s="579">
        <f>7000+11100</f>
        <v>18100</v>
      </c>
      <c r="N22" s="579"/>
      <c r="O22" s="575">
        <f>(8725067+62322)</f>
        <v>8787389</v>
      </c>
    </row>
    <row r="23" spans="1:16" ht="24.75" customHeight="1">
      <c r="A23" s="383" t="s">
        <v>665</v>
      </c>
      <c r="B23" s="384" t="s">
        <v>741</v>
      </c>
      <c r="C23" s="575">
        <f>6326590+7000+11100</f>
        <v>6344690</v>
      </c>
      <c r="D23" s="576" t="s">
        <v>699</v>
      </c>
      <c r="E23" s="575"/>
      <c r="F23" s="575">
        <f>6326590</f>
        <v>6326590</v>
      </c>
      <c r="G23" s="575">
        <f>6326590</f>
        <v>6326590</v>
      </c>
      <c r="H23" s="575">
        <f>6326590</f>
        <v>6326590</v>
      </c>
      <c r="I23" s="575">
        <f>6326590+7000+11100</f>
        <v>6344690</v>
      </c>
      <c r="J23" s="575">
        <f>6326590+7000+11100</f>
        <v>6344690</v>
      </c>
      <c r="K23" s="577"/>
      <c r="L23" s="578">
        <f t="shared" si="2"/>
        <v>6344690</v>
      </c>
      <c r="M23" s="575">
        <f>6326590+7000+11100</f>
        <v>6344690</v>
      </c>
      <c r="N23" s="579"/>
    </row>
    <row r="24" spans="1:16" ht="24.75" customHeight="1">
      <c r="A24" s="383" t="s">
        <v>669</v>
      </c>
      <c r="B24" s="384" t="s">
        <v>670</v>
      </c>
      <c r="C24" s="575">
        <f>(211000*1.27)</f>
        <v>267970</v>
      </c>
      <c r="D24" s="576" t="s">
        <v>697</v>
      </c>
      <c r="E24" s="575"/>
      <c r="F24" s="575">
        <f>(211000*1.27)</f>
        <v>267970</v>
      </c>
      <c r="G24" s="575">
        <f>(211000*1.27)</f>
        <v>267970</v>
      </c>
      <c r="H24" s="575">
        <f>(211000*1.27)</f>
        <v>267970</v>
      </c>
      <c r="I24" s="575">
        <f>(211000*1.27)</f>
        <v>267970</v>
      </c>
      <c r="J24" s="575">
        <f>(211000*1.27)</f>
        <v>267970</v>
      </c>
      <c r="K24" s="577"/>
      <c r="L24" s="578">
        <f t="shared" si="2"/>
        <v>267970</v>
      </c>
      <c r="M24" s="575"/>
      <c r="N24" s="579"/>
      <c r="O24" s="575">
        <f>(211000*1.27)</f>
        <v>267970</v>
      </c>
    </row>
    <row r="25" spans="1:16" ht="24.75" customHeight="1">
      <c r="A25" s="383" t="s">
        <v>746</v>
      </c>
      <c r="B25" s="384" t="s">
        <v>747</v>
      </c>
      <c r="C25" s="575">
        <f>(400000*1.27)</f>
        <v>508000</v>
      </c>
      <c r="D25" s="576" t="s">
        <v>697</v>
      </c>
      <c r="E25" s="575"/>
      <c r="F25" s="575"/>
      <c r="G25" s="575"/>
      <c r="H25" s="575"/>
      <c r="I25" s="575">
        <f>(400000*1.27)</f>
        <v>508000</v>
      </c>
      <c r="J25" s="575">
        <f>(400000*1.27)</f>
        <v>508000</v>
      </c>
      <c r="K25" s="577"/>
      <c r="L25" s="578">
        <f t="shared" si="2"/>
        <v>508000</v>
      </c>
      <c r="M25" s="575">
        <f>(400000*1.27)</f>
        <v>508000</v>
      </c>
      <c r="N25" s="579"/>
      <c r="O25" s="575"/>
    </row>
    <row r="26" spans="1:16" ht="24.75" customHeight="1">
      <c r="A26" s="383" t="s">
        <v>754</v>
      </c>
      <c r="B26" s="384" t="s">
        <v>741</v>
      </c>
      <c r="C26" s="575">
        <f>246514227</f>
        <v>246514227</v>
      </c>
      <c r="D26" s="576" t="s">
        <v>755</v>
      </c>
      <c r="E26" s="575"/>
      <c r="F26" s="575"/>
      <c r="G26" s="575"/>
      <c r="H26" s="575"/>
      <c r="I26" s="575"/>
      <c r="J26" s="575">
        <f>246514227</f>
        <v>246514227</v>
      </c>
      <c r="K26" s="577"/>
      <c r="L26" s="578">
        <f t="shared" si="2"/>
        <v>246514227</v>
      </c>
      <c r="M26" s="575"/>
      <c r="N26" s="579"/>
      <c r="O26" s="575">
        <f>246514227</f>
        <v>246514227</v>
      </c>
    </row>
    <row r="27" spans="1:16" ht="24.75" customHeight="1">
      <c r="A27" s="383" t="s">
        <v>756</v>
      </c>
      <c r="B27" s="384" t="s">
        <v>741</v>
      </c>
      <c r="C27" s="575">
        <v>3601136</v>
      </c>
      <c r="D27" s="576" t="s">
        <v>733</v>
      </c>
      <c r="E27" s="575"/>
      <c r="F27" s="575"/>
      <c r="G27" s="575"/>
      <c r="H27" s="575"/>
      <c r="I27" s="575"/>
      <c r="J27" s="575">
        <v>3601136</v>
      </c>
      <c r="K27" s="577"/>
      <c r="L27" s="578">
        <f t="shared" si="2"/>
        <v>3601136</v>
      </c>
      <c r="M27" s="575"/>
      <c r="N27" s="579"/>
      <c r="O27" s="575">
        <f>3601136</f>
        <v>3601136</v>
      </c>
    </row>
    <row r="28" spans="1:16" ht="24.75" customHeight="1">
      <c r="A28" s="383" t="s">
        <v>757</v>
      </c>
      <c r="B28" s="384" t="s">
        <v>616</v>
      </c>
      <c r="C28" s="575">
        <v>85652</v>
      </c>
      <c r="D28" s="576"/>
      <c r="E28" s="575"/>
      <c r="F28" s="575"/>
      <c r="G28" s="575"/>
      <c r="H28" s="575"/>
      <c r="I28" s="575"/>
      <c r="J28" s="575">
        <v>85652</v>
      </c>
      <c r="K28" s="577"/>
      <c r="L28" s="578">
        <f t="shared" si="2"/>
        <v>85652</v>
      </c>
      <c r="M28" s="575">
        <v>85652</v>
      </c>
      <c r="N28" s="579"/>
      <c r="O28" s="575"/>
    </row>
    <row r="29" spans="1:16" s="387" customFormat="1" ht="24.75" customHeight="1">
      <c r="A29" s="385" t="s">
        <v>603</v>
      </c>
      <c r="B29" s="386"/>
      <c r="C29" s="581">
        <f>SUM(C14:C28)</f>
        <v>486096706</v>
      </c>
      <c r="D29" s="581">
        <f t="shared" ref="D29:N29" si="3">SUM(D14:D28)</f>
        <v>0</v>
      </c>
      <c r="E29" s="581"/>
      <c r="F29" s="581">
        <f t="shared" si="3"/>
        <v>234843491</v>
      </c>
      <c r="G29" s="581">
        <f t="shared" si="3"/>
        <v>234843491</v>
      </c>
      <c r="H29" s="581">
        <f t="shared" si="3"/>
        <v>235351491</v>
      </c>
      <c r="I29" s="581">
        <f t="shared" si="3"/>
        <v>235895691</v>
      </c>
      <c r="J29" s="581">
        <f t="shared" si="3"/>
        <v>486096706</v>
      </c>
      <c r="K29" s="581"/>
      <c r="L29" s="581">
        <f t="shared" si="3"/>
        <v>486096706</v>
      </c>
      <c r="M29" s="581">
        <f t="shared" si="3"/>
        <v>24977742</v>
      </c>
      <c r="N29" s="581">
        <f t="shared" si="3"/>
        <v>0</v>
      </c>
      <c r="O29" s="581">
        <f>SUM(O14:O28)</f>
        <v>461118964</v>
      </c>
      <c r="P29" s="581">
        <f>SUM(P14:P28)</f>
        <v>0</v>
      </c>
    </row>
    <row r="30" spans="1:16" ht="24.75" customHeight="1">
      <c r="A30" s="383"/>
      <c r="B30" s="384"/>
      <c r="C30" s="575"/>
      <c r="D30" s="576"/>
      <c r="E30" s="575"/>
      <c r="F30" s="575"/>
      <c r="G30" s="575"/>
      <c r="H30" s="575"/>
      <c r="I30" s="575"/>
      <c r="J30" s="575"/>
      <c r="K30" s="580"/>
      <c r="L30" s="578"/>
      <c r="M30" s="579"/>
      <c r="N30" s="579"/>
      <c r="O30" s="575"/>
    </row>
    <row r="31" spans="1:16" ht="24.75" customHeight="1">
      <c r="A31" s="383" t="s">
        <v>599</v>
      </c>
      <c r="B31" s="384" t="s">
        <v>619</v>
      </c>
      <c r="C31" s="575">
        <f>(600000*1.27)</f>
        <v>762000</v>
      </c>
      <c r="D31" s="576" t="s">
        <v>697</v>
      </c>
      <c r="E31" s="575"/>
      <c r="F31" s="575">
        <f>(600000*1.27)</f>
        <v>762000</v>
      </c>
      <c r="G31" s="575">
        <f>(600000*1.27)</f>
        <v>762000</v>
      </c>
      <c r="H31" s="575">
        <f>(600000*1.27)</f>
        <v>762000</v>
      </c>
      <c r="I31" s="575">
        <f>(600000*1.27)</f>
        <v>762000</v>
      </c>
      <c r="J31" s="575">
        <f>(600000*1.27)</f>
        <v>762000</v>
      </c>
      <c r="K31" s="580"/>
      <c r="L31" s="578">
        <f>M31+N31+O31</f>
        <v>762000</v>
      </c>
      <c r="M31" s="575">
        <f>(600000*1.27)</f>
        <v>762000</v>
      </c>
      <c r="N31" s="579"/>
      <c r="O31" s="575"/>
    </row>
    <row r="32" spans="1:16" ht="24.75" customHeight="1">
      <c r="A32" s="383" t="s">
        <v>600</v>
      </c>
      <c r="B32" s="384" t="s">
        <v>620</v>
      </c>
      <c r="C32" s="575">
        <f>(50000*1.27)</f>
        <v>63500</v>
      </c>
      <c r="D32" s="576" t="s">
        <v>697</v>
      </c>
      <c r="E32" s="575"/>
      <c r="F32" s="575">
        <f>(50000*1.27)</f>
        <v>63500</v>
      </c>
      <c r="G32" s="575">
        <f>(50000*1.27)</f>
        <v>63500</v>
      </c>
      <c r="H32" s="575">
        <f>(50000*1.27)</f>
        <v>63500</v>
      </c>
      <c r="I32" s="575">
        <f>(50000*1.27)</f>
        <v>63500</v>
      </c>
      <c r="J32" s="575">
        <f>(50000*1.27)</f>
        <v>63500</v>
      </c>
      <c r="K32" s="580"/>
      <c r="L32" s="578">
        <f>M32+N32+O32</f>
        <v>63500</v>
      </c>
      <c r="M32" s="575">
        <f>(50000*1.27)</f>
        <v>63500</v>
      </c>
      <c r="N32" s="579"/>
      <c r="O32" s="575"/>
    </row>
    <row r="33" spans="1:15" ht="24.75" customHeight="1">
      <c r="A33" s="383" t="s">
        <v>735</v>
      </c>
      <c r="B33" s="384" t="s">
        <v>732</v>
      </c>
      <c r="C33" s="575">
        <v>172720</v>
      </c>
      <c r="D33" s="576" t="s">
        <v>733</v>
      </c>
      <c r="E33" s="575"/>
      <c r="F33" s="575"/>
      <c r="G33" s="575"/>
      <c r="H33" s="575"/>
      <c r="I33" s="575">
        <f>136000*1.27</f>
        <v>172720</v>
      </c>
      <c r="J33" s="575">
        <f>136000*1.27</f>
        <v>172720</v>
      </c>
      <c r="K33" s="577"/>
      <c r="L33" s="578">
        <f>M33+N33+O33</f>
        <v>172720</v>
      </c>
      <c r="M33" s="575"/>
      <c r="N33" s="579"/>
      <c r="O33" s="575">
        <f>136000*1.27</f>
        <v>172720</v>
      </c>
    </row>
    <row r="34" spans="1:15" s="387" customFormat="1" ht="24.75" customHeight="1">
      <c r="A34" s="385" t="s">
        <v>604</v>
      </c>
      <c r="B34" s="386"/>
      <c r="C34" s="581">
        <f>SUM(C31:C33)</f>
        <v>998220</v>
      </c>
      <c r="D34" s="581"/>
      <c r="E34" s="581"/>
      <c r="F34" s="581">
        <f t="shared" ref="F34:O34" si="4">SUM(F31:F33)</f>
        <v>825500</v>
      </c>
      <c r="G34" s="581">
        <f t="shared" si="4"/>
        <v>825500</v>
      </c>
      <c r="H34" s="581">
        <f t="shared" si="4"/>
        <v>825500</v>
      </c>
      <c r="I34" s="581">
        <f t="shared" si="4"/>
        <v>998220</v>
      </c>
      <c r="J34" s="581">
        <f>SUM(J31:J33)</f>
        <v>998220</v>
      </c>
      <c r="K34" s="581"/>
      <c r="L34" s="581">
        <f t="shared" si="4"/>
        <v>998220</v>
      </c>
      <c r="M34" s="581">
        <f t="shared" si="4"/>
        <v>825500</v>
      </c>
      <c r="N34" s="581">
        <f t="shared" si="4"/>
        <v>0</v>
      </c>
      <c r="O34" s="581">
        <f t="shared" si="4"/>
        <v>172720</v>
      </c>
    </row>
    <row r="35" spans="1:15" ht="24.75" customHeight="1">
      <c r="A35" s="383"/>
      <c r="B35" s="384"/>
      <c r="C35" s="575"/>
      <c r="D35" s="576"/>
      <c r="E35" s="575"/>
      <c r="F35" s="575"/>
      <c r="G35" s="575"/>
      <c r="H35" s="575"/>
      <c r="I35" s="575"/>
      <c r="J35" s="575"/>
      <c r="K35" s="580"/>
      <c r="L35" s="578"/>
      <c r="M35" s="579"/>
      <c r="N35" s="579"/>
      <c r="O35" s="575"/>
    </row>
    <row r="36" spans="1:15">
      <c r="A36" s="383" t="s">
        <v>701</v>
      </c>
      <c r="B36" s="384" t="s">
        <v>618</v>
      </c>
      <c r="C36" s="575">
        <f>(1500000*1.27)+500000+262000</f>
        <v>2667000</v>
      </c>
      <c r="D36" s="576" t="s">
        <v>697</v>
      </c>
      <c r="E36" s="575"/>
      <c r="F36" s="575">
        <f>(1500000*1.27)</f>
        <v>1905000</v>
      </c>
      <c r="G36" s="575">
        <f>(1500000*1.27)</f>
        <v>1905000</v>
      </c>
      <c r="H36" s="575">
        <f>(1500000*1.27)</f>
        <v>1905000</v>
      </c>
      <c r="I36" s="575">
        <f>(1500000*1.27)+500000+262000</f>
        <v>2667000</v>
      </c>
      <c r="J36" s="575">
        <f>(1500000*1.27)+500000+262000</f>
        <v>2667000</v>
      </c>
      <c r="K36" s="580"/>
      <c r="L36" s="578">
        <f>M36+N36+O36</f>
        <v>2667000.17</v>
      </c>
      <c r="M36" s="575">
        <f>(1500000*1.27)+500000+262000</f>
        <v>2667000</v>
      </c>
      <c r="N36" s="579">
        <f>(2162371*1.27)-(2162371+583840)</f>
        <v>0.16999999992549419</v>
      </c>
      <c r="O36" s="575"/>
    </row>
    <row r="37" spans="1:15" ht="24.75" customHeight="1">
      <c r="A37" s="383" t="s">
        <v>598</v>
      </c>
      <c r="B37" s="384" t="s">
        <v>619</v>
      </c>
      <c r="C37" s="575">
        <f>(300000*1.27)</f>
        <v>381000</v>
      </c>
      <c r="D37" s="576" t="s">
        <v>697</v>
      </c>
      <c r="E37" s="575"/>
      <c r="F37" s="575">
        <f>(300000*1.27)</f>
        <v>381000</v>
      </c>
      <c r="G37" s="575">
        <f>(300000*1.27)</f>
        <v>381000</v>
      </c>
      <c r="H37" s="575">
        <f>(300000*1.27)</f>
        <v>381000</v>
      </c>
      <c r="I37" s="575">
        <f>(300000*1.27)</f>
        <v>381000</v>
      </c>
      <c r="J37" s="575">
        <f>(300000*1.27)</f>
        <v>381000</v>
      </c>
      <c r="K37" s="580"/>
      <c r="L37" s="578">
        <f t="shared" ref="L37:L50" si="5">M37+N37+O37</f>
        <v>381000</v>
      </c>
      <c r="M37" s="575">
        <f>(300000*1.27)</f>
        <v>381000</v>
      </c>
      <c r="N37" s="579"/>
      <c r="O37" s="575"/>
    </row>
    <row r="38" spans="1:15" ht="24.75" customHeight="1">
      <c r="A38" s="383" t="s">
        <v>705</v>
      </c>
      <c r="B38" s="384" t="s">
        <v>616</v>
      </c>
      <c r="C38" s="575">
        <f>(1200000*1.27)+(690120*1.27)</f>
        <v>2400452.4</v>
      </c>
      <c r="D38" s="576" t="s">
        <v>697</v>
      </c>
      <c r="E38" s="575"/>
      <c r="F38" s="575">
        <f>(1200000*1.27)+(690120*1.27)</f>
        <v>2400452.4</v>
      </c>
      <c r="G38" s="575">
        <f>(1200000*1.27)+(690120*1.27)</f>
        <v>2400452.4</v>
      </c>
      <c r="H38" s="575">
        <f>(1200000*1.27)+(690120*1.27)</f>
        <v>2400452.4</v>
      </c>
      <c r="I38" s="575">
        <f>(1200000*1.27)+(690120*1.27)</f>
        <v>2400452.4</v>
      </c>
      <c r="J38" s="575">
        <f>(1200000*1.27)+(690120*1.27)</f>
        <v>2400452.4</v>
      </c>
      <c r="K38" s="575"/>
      <c r="L38" s="578">
        <f t="shared" si="5"/>
        <v>2400452.4</v>
      </c>
      <c r="M38" s="575">
        <f>(1200000*1.27)+(690120*1.27)</f>
        <v>2400452.4</v>
      </c>
      <c r="N38" s="579"/>
      <c r="O38" s="575"/>
    </row>
    <row r="39" spans="1:15" ht="24.75" customHeight="1">
      <c r="A39" s="383" t="s">
        <v>656</v>
      </c>
      <c r="B39" s="384" t="s">
        <v>616</v>
      </c>
      <c r="C39" s="575">
        <f>(100000*1.27)</f>
        <v>127000</v>
      </c>
      <c r="D39" s="576" t="s">
        <v>699</v>
      </c>
      <c r="E39" s="575"/>
      <c r="F39" s="575">
        <f>(100000*1.27)</f>
        <v>127000</v>
      </c>
      <c r="G39" s="575">
        <f>(100000*1.27)</f>
        <v>127000</v>
      </c>
      <c r="H39" s="575">
        <f>(100000*1.27)</f>
        <v>127000</v>
      </c>
      <c r="I39" s="575">
        <f>(100000*1.27)</f>
        <v>127000</v>
      </c>
      <c r="J39" s="575">
        <f>(100000*1.27)</f>
        <v>127000</v>
      </c>
      <c r="K39" s="575"/>
      <c r="L39" s="578">
        <f t="shared" si="5"/>
        <v>127000</v>
      </c>
      <c r="M39" s="575">
        <f>(100000*1.27)</f>
        <v>127000</v>
      </c>
      <c r="N39" s="579"/>
      <c r="O39" s="575"/>
    </row>
    <row r="40" spans="1:15" ht="30.95" customHeight="1">
      <c r="A40" s="383" t="s">
        <v>633</v>
      </c>
      <c r="B40" s="384" t="s">
        <v>616</v>
      </c>
      <c r="C40" s="575">
        <f>(2103040*1.27)</f>
        <v>2670860.7999999998</v>
      </c>
      <c r="D40" s="576" t="s">
        <v>699</v>
      </c>
      <c r="E40" s="575"/>
      <c r="F40" s="575">
        <f>(2103040*1.27)</f>
        <v>2670860.7999999998</v>
      </c>
      <c r="G40" s="575">
        <f>(2103040*1.27)</f>
        <v>2670860.7999999998</v>
      </c>
      <c r="H40" s="575">
        <f>(2103040*1.27)</f>
        <v>2670860.7999999998</v>
      </c>
      <c r="I40" s="575">
        <f>(2103040*1.27)</f>
        <v>2670860.7999999998</v>
      </c>
      <c r="J40" s="575">
        <f>(2103040*1.27)</f>
        <v>2670860.7999999998</v>
      </c>
      <c r="K40" s="575"/>
      <c r="L40" s="578">
        <f>M40+N40+O40</f>
        <v>2670860.7999999998</v>
      </c>
      <c r="M40" s="579"/>
      <c r="N40" s="579"/>
      <c r="O40" s="575">
        <f>(2103040*1.27)</f>
        <v>2670860.7999999998</v>
      </c>
    </row>
    <row r="41" spans="1:15" ht="32.450000000000003" customHeight="1">
      <c r="A41" s="383" t="s">
        <v>634</v>
      </c>
      <c r="B41" s="384" t="s">
        <v>616</v>
      </c>
      <c r="C41" s="575">
        <f>(28990434*1.27)</f>
        <v>36817851.18</v>
      </c>
      <c r="D41" s="576" t="s">
        <v>699</v>
      </c>
      <c r="E41" s="575"/>
      <c r="F41" s="575">
        <f>(28990434*1.27)</f>
        <v>36817851.18</v>
      </c>
      <c r="G41" s="575">
        <f>(28990434*1.27)</f>
        <v>36817851.18</v>
      </c>
      <c r="H41" s="575">
        <f>(28990434*1.27)</f>
        <v>36817851.18</v>
      </c>
      <c r="I41" s="575">
        <f>(28990434*1.27)</f>
        <v>36817851.18</v>
      </c>
      <c r="J41" s="575">
        <f>(28990434*1.27)</f>
        <v>36817851.18</v>
      </c>
      <c r="K41" s="575"/>
      <c r="L41" s="578">
        <f>M41+N41+O41</f>
        <v>36817851.18</v>
      </c>
      <c r="M41" s="579"/>
      <c r="N41" s="579"/>
      <c r="O41" s="575">
        <f>(28990434*1.27)</f>
        <v>36817851.18</v>
      </c>
    </row>
    <row r="42" spans="1:15" ht="24.75" customHeight="1">
      <c r="A42" s="383" t="s">
        <v>706</v>
      </c>
      <c r="B42" s="384" t="s">
        <v>616</v>
      </c>
      <c r="C42" s="575">
        <f>(11517500*1.27)</f>
        <v>14627225</v>
      </c>
      <c r="D42" s="576" t="s">
        <v>697</v>
      </c>
      <c r="E42" s="575"/>
      <c r="F42" s="575">
        <f>(11517500*1.27)</f>
        <v>14627225</v>
      </c>
      <c r="G42" s="575">
        <f>(11517500*1.27)-14627225</f>
        <v>0</v>
      </c>
      <c r="H42" s="575">
        <f>(11517500*1.27)-14627225</f>
        <v>0</v>
      </c>
      <c r="I42" s="575">
        <f>(11517500*1.27)-14627225</f>
        <v>0</v>
      </c>
      <c r="J42" s="575">
        <f>(11517500*1.27)-14627225</f>
        <v>0</v>
      </c>
      <c r="K42" s="575"/>
      <c r="L42" s="578">
        <f>M42+N42+O42</f>
        <v>0</v>
      </c>
      <c r="M42" s="579"/>
      <c r="N42" s="579">
        <f>G42-O42</f>
        <v>0</v>
      </c>
      <c r="O42" s="575">
        <f>7313612-7313612</f>
        <v>0</v>
      </c>
    </row>
    <row r="43" spans="1:15" ht="24.75" customHeight="1">
      <c r="A43" s="383" t="s">
        <v>707</v>
      </c>
      <c r="B43" s="384" t="s">
        <v>708</v>
      </c>
      <c r="C43" s="575">
        <f>(100000*1.27)+(30000*1.27)</f>
        <v>165100</v>
      </c>
      <c r="D43" s="576" t="s">
        <v>697</v>
      </c>
      <c r="E43" s="575"/>
      <c r="F43" s="575">
        <f>(100000*1.27)+(30000*1.27)</f>
        <v>165100</v>
      </c>
      <c r="G43" s="575">
        <f>(100000*1.27)+(30000*1.27)</f>
        <v>165100</v>
      </c>
      <c r="H43" s="575">
        <f>(100000*1.27)+(30000*1.27)</f>
        <v>165100</v>
      </c>
      <c r="I43" s="575">
        <f>(100000*1.27)+(30000*1.27)</f>
        <v>165100</v>
      </c>
      <c r="J43" s="575">
        <f>(100000*1.27)+(30000*1.27)</f>
        <v>165100</v>
      </c>
      <c r="K43" s="580"/>
      <c r="L43" s="578">
        <f t="shared" si="5"/>
        <v>165100</v>
      </c>
      <c r="M43" s="575">
        <f>(100000*1.27)+(30000*1.27)</f>
        <v>165100</v>
      </c>
      <c r="N43" s="579"/>
      <c r="O43" s="575"/>
    </row>
    <row r="44" spans="1:15" ht="24.75" customHeight="1">
      <c r="A44" s="383" t="s">
        <v>622</v>
      </c>
      <c r="B44" s="384" t="s">
        <v>620</v>
      </c>
      <c r="C44" s="575">
        <f>(300000*1.27)</f>
        <v>381000</v>
      </c>
      <c r="D44" s="576" t="s">
        <v>697</v>
      </c>
      <c r="E44" s="575"/>
      <c r="F44" s="575">
        <f>(300000*1.27)</f>
        <v>381000</v>
      </c>
      <c r="G44" s="575">
        <f>(300000*1.27)</f>
        <v>381000</v>
      </c>
      <c r="H44" s="575">
        <f>(300000*1.27)</f>
        <v>381000</v>
      </c>
      <c r="I44" s="575">
        <f>(300000*1.27)</f>
        <v>381000</v>
      </c>
      <c r="J44" s="575">
        <f>(300000*1.27)</f>
        <v>381000</v>
      </c>
      <c r="K44" s="580"/>
      <c r="L44" s="578">
        <f t="shared" si="5"/>
        <v>381000</v>
      </c>
      <c r="M44" s="575">
        <f>(300000*1.27)</f>
        <v>381000</v>
      </c>
      <c r="N44" s="579"/>
      <c r="O44" s="575"/>
    </row>
    <row r="45" spans="1:15" ht="24.75" customHeight="1">
      <c r="A45" s="383" t="s">
        <v>601</v>
      </c>
      <c r="B45" s="384" t="s">
        <v>621</v>
      </c>
      <c r="C45" s="575">
        <f>(180000*1.27)</f>
        <v>228600</v>
      </c>
      <c r="D45" s="576" t="s">
        <v>697</v>
      </c>
      <c r="E45" s="575"/>
      <c r="F45" s="575">
        <f>(180000*1.27)</f>
        <v>228600</v>
      </c>
      <c r="G45" s="575">
        <f>(180000*1.27)</f>
        <v>228600</v>
      </c>
      <c r="H45" s="575">
        <f>(180000*1.27)</f>
        <v>228600</v>
      </c>
      <c r="I45" s="575">
        <f>(180000*1.27)</f>
        <v>228600</v>
      </c>
      <c r="J45" s="575">
        <f>(180000*1.27)</f>
        <v>228600</v>
      </c>
      <c r="K45" s="580"/>
      <c r="L45" s="578">
        <f t="shared" si="5"/>
        <v>228600</v>
      </c>
      <c r="M45" s="575">
        <f>(180000*1.27)</f>
        <v>228600</v>
      </c>
      <c r="N45" s="579"/>
      <c r="O45" s="575"/>
    </row>
    <row r="46" spans="1:15" ht="24.75" customHeight="1">
      <c r="A46" s="383" t="s">
        <v>734</v>
      </c>
      <c r="B46" s="384" t="s">
        <v>732</v>
      </c>
      <c r="C46" s="575">
        <f>1992037+537845</f>
        <v>2529882</v>
      </c>
      <c r="D46" s="576" t="s">
        <v>733</v>
      </c>
      <c r="E46" s="575"/>
      <c r="F46" s="575"/>
      <c r="G46" s="575"/>
      <c r="H46" s="575"/>
      <c r="I46" s="575">
        <f>1992037+537845</f>
        <v>2529882</v>
      </c>
      <c r="J46" s="575">
        <f>1992037+537845</f>
        <v>2529882</v>
      </c>
      <c r="K46" s="580"/>
      <c r="L46" s="578">
        <f t="shared" si="5"/>
        <v>2529882</v>
      </c>
      <c r="M46" s="575"/>
      <c r="N46" s="579"/>
      <c r="O46" s="575">
        <f>1992037+537845</f>
        <v>2529882</v>
      </c>
    </row>
    <row r="47" spans="1:15" ht="24.75" customHeight="1">
      <c r="A47" s="383" t="s">
        <v>744</v>
      </c>
      <c r="B47" s="384" t="s">
        <v>617</v>
      </c>
      <c r="C47" s="575">
        <f>(6000000*1.27)+(200000*1.27)+(490200*1.27)+(1000000*1.27)</f>
        <v>9766554</v>
      </c>
      <c r="D47" s="576" t="s">
        <v>697</v>
      </c>
      <c r="E47" s="575"/>
      <c r="F47" s="575">
        <f>(6000000*1.27)+(200000*1.27)</f>
        <v>7874000</v>
      </c>
      <c r="G47" s="575">
        <f>(6000000*1.27)+(200000*1.27)</f>
        <v>7874000</v>
      </c>
      <c r="H47" s="575">
        <f>(6000000*1.27)+(200000*1.27)</f>
        <v>7874000</v>
      </c>
      <c r="I47" s="575">
        <f>(6000000*1.27)+(200000*1.27)+(490200*1.27)+(1000000*1.27)</f>
        <v>9766554</v>
      </c>
      <c r="J47" s="575">
        <f>(6000000*1.27)+(200000*1.27)+(490200*1.27)+(1000000*1.27)</f>
        <v>9766554</v>
      </c>
      <c r="K47" s="580"/>
      <c r="L47" s="578">
        <f t="shared" si="5"/>
        <v>9766554</v>
      </c>
      <c r="M47" s="575">
        <f>(6000000*1.27)+(200000*1.27)+(490200*1.27)+(1000000*1.27)</f>
        <v>9766554</v>
      </c>
      <c r="N47" s="579"/>
      <c r="O47" s="575"/>
    </row>
    <row r="48" spans="1:15" ht="24.75" customHeight="1">
      <c r="A48" s="383" t="s">
        <v>658</v>
      </c>
      <c r="B48" s="384" t="s">
        <v>614</v>
      </c>
      <c r="C48" s="575">
        <f>(490200*1.27)-622554</f>
        <v>0</v>
      </c>
      <c r="D48" s="576" t="s">
        <v>697</v>
      </c>
      <c r="E48" s="575"/>
      <c r="F48" s="575">
        <f>(490200*1.27)</f>
        <v>622554</v>
      </c>
      <c r="G48" s="575">
        <f>(490200*1.27)</f>
        <v>622554</v>
      </c>
      <c r="H48" s="575">
        <f>(490200*1.27)</f>
        <v>622554</v>
      </c>
      <c r="I48" s="575">
        <f>(490200*1.27)-622554</f>
        <v>0</v>
      </c>
      <c r="J48" s="575">
        <f>(490200*1.27)-622554</f>
        <v>0</v>
      </c>
      <c r="K48" s="577"/>
      <c r="L48" s="578">
        <f t="shared" si="5"/>
        <v>0</v>
      </c>
      <c r="M48" s="575">
        <f>(490200*1.27)-622554</f>
        <v>0</v>
      </c>
      <c r="N48" s="579"/>
      <c r="O48" s="575"/>
    </row>
    <row r="49" spans="1:15" ht="24.75" customHeight="1">
      <c r="A49" s="383" t="s">
        <v>671</v>
      </c>
      <c r="B49" s="384" t="s">
        <v>670</v>
      </c>
      <c r="C49" s="575">
        <f>(209000*1.27)</f>
        <v>265430</v>
      </c>
      <c r="D49" s="576" t="s">
        <v>697</v>
      </c>
      <c r="E49" s="575"/>
      <c r="F49" s="575">
        <f>(209000*1.27)</f>
        <v>265430</v>
      </c>
      <c r="G49" s="575">
        <f>(209000*1.27)</f>
        <v>265430</v>
      </c>
      <c r="H49" s="575">
        <f>(209000*1.27)</f>
        <v>265430</v>
      </c>
      <c r="I49" s="575">
        <f>(209000*1.27)</f>
        <v>265430</v>
      </c>
      <c r="J49" s="575">
        <f>(209000*1.27)</f>
        <v>265430</v>
      </c>
      <c r="K49" s="577"/>
      <c r="L49" s="578">
        <f t="shared" si="5"/>
        <v>265430</v>
      </c>
      <c r="M49" s="575">
        <v>26670</v>
      </c>
      <c r="N49" s="579"/>
      <c r="O49" s="575">
        <f>(209000*1.27)-26670</f>
        <v>238760</v>
      </c>
    </row>
    <row r="50" spans="1:15" ht="24.75" customHeight="1">
      <c r="A50" s="383" t="s">
        <v>739</v>
      </c>
      <c r="B50" s="384" t="s">
        <v>616</v>
      </c>
      <c r="C50" s="575">
        <v>300000</v>
      </c>
      <c r="D50" s="576" t="s">
        <v>697</v>
      </c>
      <c r="E50" s="575"/>
      <c r="F50" s="575"/>
      <c r="G50" s="575"/>
      <c r="H50" s="575"/>
      <c r="I50" s="575">
        <f>236220+63780</f>
        <v>300000</v>
      </c>
      <c r="J50" s="575">
        <f>236220+63780</f>
        <v>300000</v>
      </c>
      <c r="K50" s="577"/>
      <c r="L50" s="578">
        <f t="shared" si="5"/>
        <v>300000</v>
      </c>
      <c r="M50" s="575">
        <f>236220+63780</f>
        <v>300000</v>
      </c>
      <c r="N50" s="579"/>
      <c r="O50" s="575"/>
    </row>
    <row r="51" spans="1:15" s="387" customFormat="1" ht="24.75" customHeight="1">
      <c r="A51" s="385" t="s">
        <v>605</v>
      </c>
      <c r="B51" s="386"/>
      <c r="C51" s="581">
        <f>SUM(C36:C50)</f>
        <v>73327955.379999995</v>
      </c>
      <c r="D51" s="581"/>
      <c r="E51" s="581"/>
      <c r="F51" s="581">
        <f t="shared" ref="F51:O51" si="6">SUM(F36:F50)</f>
        <v>68466073.379999995</v>
      </c>
      <c r="G51" s="581">
        <f t="shared" si="6"/>
        <v>53838848.380000003</v>
      </c>
      <c r="H51" s="581">
        <f t="shared" si="6"/>
        <v>53838848.380000003</v>
      </c>
      <c r="I51" s="581">
        <f t="shared" si="6"/>
        <v>58700730.380000003</v>
      </c>
      <c r="J51" s="581">
        <f>SUM(J36:J50)</f>
        <v>58700730.380000003</v>
      </c>
      <c r="K51" s="581"/>
      <c r="L51" s="581">
        <f t="shared" si="6"/>
        <v>58700730.549999997</v>
      </c>
      <c r="M51" s="581">
        <f t="shared" si="6"/>
        <v>16443376.4</v>
      </c>
      <c r="N51" s="581">
        <f t="shared" si="6"/>
        <v>0.16999999992549419</v>
      </c>
      <c r="O51" s="581">
        <f t="shared" si="6"/>
        <v>42257353.979999997</v>
      </c>
    </row>
    <row r="52" spans="1:15" ht="15.95" customHeight="1">
      <c r="A52" s="383"/>
      <c r="B52" s="384"/>
      <c r="C52" s="575"/>
      <c r="D52" s="576"/>
      <c r="E52" s="575"/>
      <c r="F52" s="575"/>
      <c r="G52" s="575"/>
      <c r="H52" s="575"/>
      <c r="I52" s="575"/>
      <c r="J52" s="575"/>
      <c r="K52" s="580"/>
      <c r="L52" s="578"/>
      <c r="M52" s="579"/>
      <c r="N52" s="579"/>
      <c r="O52" s="575"/>
    </row>
    <row r="53" spans="1:15" ht="15.95" customHeight="1">
      <c r="A53" s="383" t="s">
        <v>702</v>
      </c>
      <c r="B53" s="384"/>
      <c r="C53" s="575"/>
      <c r="D53" s="576"/>
      <c r="E53" s="575"/>
      <c r="F53" s="575"/>
      <c r="G53" s="575"/>
      <c r="H53" s="575"/>
      <c r="I53" s="575"/>
      <c r="J53" s="575"/>
      <c r="K53" s="580"/>
      <c r="L53" s="578">
        <f>M53+N53+O53</f>
        <v>0</v>
      </c>
      <c r="M53" s="579"/>
      <c r="N53" s="579"/>
      <c r="O53" s="575"/>
    </row>
    <row r="54" spans="1:15" s="387" customFormat="1" ht="15.95" customHeight="1">
      <c r="A54" s="385" t="s">
        <v>628</v>
      </c>
      <c r="B54" s="386"/>
      <c r="C54" s="581">
        <f>SUM(C53)</f>
        <v>0</v>
      </c>
      <c r="D54" s="581"/>
      <c r="E54" s="581">
        <f t="shared" ref="E54:O54" si="7">SUM(E53)</f>
        <v>0</v>
      </c>
      <c r="F54" s="581">
        <f>SUM(F53)</f>
        <v>0</v>
      </c>
      <c r="G54" s="581">
        <f t="shared" si="7"/>
        <v>0</v>
      </c>
      <c r="H54" s="581">
        <f>SUM(H53)</f>
        <v>0</v>
      </c>
      <c r="I54" s="581">
        <f>SUM(I53)</f>
        <v>0</v>
      </c>
      <c r="J54" s="581">
        <f>SUM(J53)</f>
        <v>0</v>
      </c>
      <c r="K54" s="581">
        <f t="shared" si="7"/>
        <v>0</v>
      </c>
      <c r="L54" s="581">
        <f t="shared" si="7"/>
        <v>0</v>
      </c>
      <c r="M54" s="581">
        <f t="shared" si="7"/>
        <v>0</v>
      </c>
      <c r="N54" s="581">
        <f t="shared" si="7"/>
        <v>0</v>
      </c>
      <c r="O54" s="581">
        <f t="shared" si="7"/>
        <v>0</v>
      </c>
    </row>
    <row r="55" spans="1:15" ht="15.95" customHeight="1">
      <c r="A55" s="383"/>
      <c r="B55" s="384"/>
      <c r="C55" s="575"/>
      <c r="D55" s="576"/>
      <c r="E55" s="575"/>
      <c r="F55" s="575"/>
      <c r="G55" s="575"/>
      <c r="H55" s="575"/>
      <c r="I55" s="575"/>
      <c r="J55" s="575"/>
      <c r="K55" s="580"/>
      <c r="L55" s="578"/>
      <c r="M55" s="579"/>
      <c r="N55" s="579"/>
      <c r="O55" s="575"/>
    </row>
    <row r="56" spans="1:15" ht="15.95" customHeight="1">
      <c r="A56" s="383"/>
      <c r="B56" s="384"/>
      <c r="C56" s="575"/>
      <c r="D56" s="576"/>
      <c r="E56" s="575"/>
      <c r="F56" s="575"/>
      <c r="G56" s="575"/>
      <c r="H56" s="575"/>
      <c r="I56" s="575"/>
      <c r="J56" s="575"/>
      <c r="K56" s="580"/>
      <c r="L56" s="578"/>
      <c r="M56" s="579"/>
      <c r="N56" s="579"/>
      <c r="O56" s="575"/>
    </row>
    <row r="57" spans="1:15" ht="15.95" customHeight="1">
      <c r="A57" s="383"/>
      <c r="B57" s="384"/>
      <c r="C57" s="575"/>
      <c r="D57" s="576"/>
      <c r="E57" s="575"/>
      <c r="F57" s="575"/>
      <c r="G57" s="575"/>
      <c r="H57" s="575"/>
      <c r="I57" s="575"/>
      <c r="J57" s="575"/>
      <c r="K57" s="580"/>
      <c r="L57" s="578"/>
      <c r="M57" s="579"/>
      <c r="N57" s="579"/>
      <c r="O57" s="575"/>
    </row>
    <row r="58" spans="1:15" ht="15.95" customHeight="1">
      <c r="A58" s="383"/>
      <c r="B58" s="384"/>
      <c r="C58" s="575"/>
      <c r="D58" s="576"/>
      <c r="E58" s="575"/>
      <c r="F58" s="575"/>
      <c r="G58" s="575"/>
      <c r="H58" s="575"/>
      <c r="I58" s="575"/>
      <c r="J58" s="575"/>
      <c r="K58" s="580"/>
      <c r="L58" s="578"/>
      <c r="M58" s="579"/>
      <c r="N58" s="579"/>
      <c r="O58" s="575"/>
    </row>
    <row r="59" spans="1:15" ht="15.95" customHeight="1" thickBot="1">
      <c r="A59" s="383"/>
      <c r="B59" s="384"/>
      <c r="C59" s="575"/>
      <c r="D59" s="576"/>
      <c r="E59" s="575"/>
      <c r="F59" s="575"/>
      <c r="G59" s="575"/>
      <c r="H59" s="575"/>
      <c r="I59" s="575"/>
      <c r="J59" s="575"/>
      <c r="K59" s="580"/>
      <c r="L59" s="578"/>
      <c r="M59" s="579"/>
      <c r="N59" s="579"/>
      <c r="O59" s="575"/>
    </row>
    <row r="60" spans="1:15" s="195" customFormat="1" ht="18" customHeight="1" thickBot="1">
      <c r="A60" s="388" t="s">
        <v>606</v>
      </c>
      <c r="B60" s="389"/>
      <c r="C60" s="598">
        <f>C12+C29+C34+C51+C54</f>
        <v>560701011.38</v>
      </c>
      <c r="D60" s="598"/>
      <c r="E60" s="598">
        <f t="shared" ref="E60:O60" si="8">E12+E29+E34+E51+E54</f>
        <v>0</v>
      </c>
      <c r="F60" s="598">
        <f>F12+F29+F34+F51+F54</f>
        <v>304198564.38</v>
      </c>
      <c r="G60" s="598">
        <f t="shared" si="8"/>
        <v>289698339.38</v>
      </c>
      <c r="H60" s="598">
        <f>H12+H29+H34+H51+H54</f>
        <v>290206339.38</v>
      </c>
      <c r="I60" s="598">
        <f>I12+I29+I34+I51+I54</f>
        <v>295872771.38</v>
      </c>
      <c r="J60" s="598">
        <f>J12+J29+J34+J51+J54</f>
        <v>546073786.38</v>
      </c>
      <c r="K60" s="598">
        <f t="shared" si="8"/>
        <v>0</v>
      </c>
      <c r="L60" s="598">
        <f t="shared" si="8"/>
        <v>546073786.54999995</v>
      </c>
      <c r="M60" s="598">
        <f t="shared" si="8"/>
        <v>42437118.399999999</v>
      </c>
      <c r="N60" s="598">
        <f t="shared" si="8"/>
        <v>0.16999999992549419</v>
      </c>
      <c r="O60" s="598">
        <f t="shared" si="8"/>
        <v>503636667.98000002</v>
      </c>
    </row>
    <row r="65" spans="1:1">
      <c r="A65" s="363"/>
    </row>
    <row r="69" spans="1:1">
      <c r="A69" s="363"/>
    </row>
  </sheetData>
  <mergeCells count="3">
    <mergeCell ref="A5:O5"/>
    <mergeCell ref="G1:O1"/>
    <mergeCell ref="A1:B1"/>
  </mergeCells>
  <phoneticPr fontId="0" type="noConversion"/>
  <printOptions horizontalCentered="1"/>
  <pageMargins left="0.33" right="0.48" top="0.9055118110236221" bottom="0.5" header="0.6692913385826772" footer="0.28000000000000003"/>
  <pageSetup paperSize="8" scale="56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  <rowBreaks count="1" manualBreakCount="1">
    <brk id="2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FFFF00"/>
  </sheetPr>
  <dimension ref="A1:P23"/>
  <sheetViews>
    <sheetView view="pageLayout" zoomScaleNormal="100" workbookViewId="0">
      <selection activeCell="D36" sqref="D36"/>
    </sheetView>
  </sheetViews>
  <sheetFormatPr defaultRowHeight="12.75"/>
  <cols>
    <col min="1" max="1" width="40.33203125" style="754" bestFit="1" customWidth="1"/>
    <col min="2" max="2" width="21" style="754" bestFit="1" customWidth="1"/>
    <col min="3" max="3" width="14.33203125" style="752" bestFit="1" customWidth="1"/>
    <col min="4" max="4" width="13.6640625" style="752" bestFit="1" customWidth="1"/>
    <col min="5" max="5" width="13" style="752" bestFit="1" customWidth="1"/>
    <col min="6" max="10" width="12.1640625" style="752" bestFit="1" customWidth="1"/>
    <col min="11" max="11" width="11.1640625" style="752" bestFit="1" customWidth="1"/>
    <col min="12" max="12" width="12.1640625" style="218" bestFit="1" customWidth="1"/>
    <col min="13" max="13" width="11.5" style="752" bestFit="1" customWidth="1"/>
    <col min="14" max="15" width="12.1640625" style="752" bestFit="1" customWidth="1"/>
    <col min="16" max="16" width="12.83203125" style="752" customWidth="1"/>
    <col min="17" max="16384" width="9.33203125" style="752"/>
  </cols>
  <sheetData>
    <row r="1" spans="1:16">
      <c r="A1" s="812" t="s">
        <v>710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752"/>
    </row>
    <row r="2" spans="1:16" ht="14.25" thickBot="1">
      <c r="K2" s="545" t="s">
        <v>581</v>
      </c>
      <c r="L2" s="546" t="s">
        <v>581</v>
      </c>
    </row>
    <row r="3" spans="1:16" s="164" customFormat="1" ht="39" thickBot="1">
      <c r="A3" s="214" t="s">
        <v>62</v>
      </c>
      <c r="B3" s="215" t="s">
        <v>613</v>
      </c>
      <c r="C3" s="485" t="s">
        <v>60</v>
      </c>
      <c r="D3" s="485" t="s">
        <v>61</v>
      </c>
      <c r="E3" s="485" t="s">
        <v>674</v>
      </c>
      <c r="F3" s="485" t="s">
        <v>690</v>
      </c>
      <c r="G3" s="485" t="s">
        <v>716</v>
      </c>
      <c r="H3" s="485" t="s">
        <v>719</v>
      </c>
      <c r="I3" s="485" t="s">
        <v>729</v>
      </c>
      <c r="J3" s="485" t="s">
        <v>750</v>
      </c>
      <c r="K3" s="547" t="s">
        <v>689</v>
      </c>
      <c r="L3" s="548" t="s">
        <v>611</v>
      </c>
      <c r="M3" s="549" t="s">
        <v>609</v>
      </c>
      <c r="N3" s="549" t="s">
        <v>610</v>
      </c>
      <c r="O3" s="550" t="s">
        <v>607</v>
      </c>
    </row>
    <row r="4" spans="1:16" ht="13.5" thickBot="1">
      <c r="A4" s="216" t="s">
        <v>483</v>
      </c>
      <c r="B4" s="217"/>
      <c r="C4" s="551" t="s">
        <v>484</v>
      </c>
      <c r="D4" s="551" t="s">
        <v>485</v>
      </c>
      <c r="E4" s="551" t="s">
        <v>487</v>
      </c>
      <c r="F4" s="758" t="s">
        <v>486</v>
      </c>
      <c r="G4" s="758" t="s">
        <v>486</v>
      </c>
      <c r="H4" s="758" t="s">
        <v>486</v>
      </c>
      <c r="I4" s="758" t="s">
        <v>486</v>
      </c>
      <c r="J4" s="758" t="s">
        <v>486</v>
      </c>
      <c r="K4" s="552" t="s">
        <v>488</v>
      </c>
      <c r="L4" s="553"/>
      <c r="M4" s="554"/>
      <c r="N4" s="554"/>
      <c r="O4" s="551"/>
    </row>
    <row r="5" spans="1:16" s="379" customFormat="1">
      <c r="A5" s="377" t="s">
        <v>640</v>
      </c>
      <c r="B5" s="378" t="s">
        <v>614</v>
      </c>
      <c r="C5" s="542">
        <f>(200000*1.27)</f>
        <v>254000</v>
      </c>
      <c r="D5" s="543" t="s">
        <v>697</v>
      </c>
      <c r="E5" s="542"/>
      <c r="F5" s="542">
        <f>(200000*1.27)</f>
        <v>254000</v>
      </c>
      <c r="G5" s="542">
        <f>(200000*1.27)</f>
        <v>254000</v>
      </c>
      <c r="H5" s="542">
        <f>(200000*1.27)</f>
        <v>254000</v>
      </c>
      <c r="I5" s="542">
        <f>(200000*1.27)</f>
        <v>254000</v>
      </c>
      <c r="J5" s="542">
        <f>(200000*1.27)</f>
        <v>254000</v>
      </c>
      <c r="K5" s="544"/>
      <c r="L5" s="542">
        <f t="shared" ref="L5:L12" si="0">M5+N5+O5</f>
        <v>254000</v>
      </c>
      <c r="M5" s="759">
        <f>(200000*1.27)</f>
        <v>254000</v>
      </c>
      <c r="N5" s="759"/>
      <c r="O5" s="542"/>
      <c r="P5" s="752"/>
    </row>
    <row r="6" spans="1:16" s="379" customFormat="1">
      <c r="A6" s="377" t="s">
        <v>696</v>
      </c>
      <c r="B6" s="378" t="s">
        <v>740</v>
      </c>
      <c r="C6" s="542">
        <f>(250000*1.27)-317500</f>
        <v>0</v>
      </c>
      <c r="D6" s="543" t="s">
        <v>697</v>
      </c>
      <c r="E6" s="542"/>
      <c r="F6" s="542">
        <f>(250000*1.27)</f>
        <v>317500</v>
      </c>
      <c r="G6" s="542">
        <f>(250000*1.27)</f>
        <v>317500</v>
      </c>
      <c r="H6" s="542">
        <f>(250000*1.27)</f>
        <v>317500</v>
      </c>
      <c r="I6" s="542">
        <f>(250000*1.27)-317500</f>
        <v>0</v>
      </c>
      <c r="J6" s="542">
        <f>(250000*1.27)-317500</f>
        <v>0</v>
      </c>
      <c r="K6" s="544"/>
      <c r="L6" s="542">
        <f t="shared" si="0"/>
        <v>0</v>
      </c>
      <c r="M6" s="759">
        <f>(250000*1.27)-317500</f>
        <v>0</v>
      </c>
      <c r="N6" s="759"/>
      <c r="O6" s="542"/>
      <c r="P6" s="752"/>
    </row>
    <row r="7" spans="1:16" s="379" customFormat="1">
      <c r="A7" s="377" t="s">
        <v>641</v>
      </c>
      <c r="B7" s="378" t="s">
        <v>698</v>
      </c>
      <c r="C7" s="542">
        <f>81101957+1488240+635000+1219200</f>
        <v>84444397</v>
      </c>
      <c r="D7" s="543" t="s">
        <v>699</v>
      </c>
      <c r="E7" s="542"/>
      <c r="F7" s="542">
        <f>81101957+1488240</f>
        <v>82590197</v>
      </c>
      <c r="G7" s="542">
        <f>81101957+1488240</f>
        <v>82590197</v>
      </c>
      <c r="H7" s="542">
        <f>81101957+1488240+635000</f>
        <v>83225197</v>
      </c>
      <c r="I7" s="542">
        <f>81101957+1488240+635000+1219200</f>
        <v>84444397</v>
      </c>
      <c r="J7" s="542">
        <f>81101957+1488240+635000+1219200</f>
        <v>84444397</v>
      </c>
      <c r="K7" s="544"/>
      <c r="L7" s="542">
        <f t="shared" si="0"/>
        <v>84444397</v>
      </c>
      <c r="M7" s="555">
        <f>5512000*1.27+635000+1219200</f>
        <v>8854440</v>
      </c>
      <c r="N7" s="555">
        <v>40634177</v>
      </c>
      <c r="O7" s="542">
        <v>34955780</v>
      </c>
    </row>
    <row r="8" spans="1:16" s="379" customFormat="1">
      <c r="A8" s="377" t="s">
        <v>652</v>
      </c>
      <c r="B8" s="378" t="s">
        <v>617</v>
      </c>
      <c r="C8" s="542">
        <f>(5000000*1.27)</f>
        <v>6350000</v>
      </c>
      <c r="D8" s="543" t="s">
        <v>699</v>
      </c>
      <c r="E8" s="542"/>
      <c r="F8" s="542">
        <f>(5000000*1.27)</f>
        <v>6350000</v>
      </c>
      <c r="G8" s="542">
        <f>(5000000*1.27)</f>
        <v>6350000</v>
      </c>
      <c r="H8" s="542">
        <f>(5000000*1.27)</f>
        <v>6350000</v>
      </c>
      <c r="I8" s="542">
        <f>(5000000*1.27)</f>
        <v>6350000</v>
      </c>
      <c r="J8" s="542">
        <f>(5000000*1.27)</f>
        <v>6350000</v>
      </c>
      <c r="K8" s="544"/>
      <c r="L8" s="542">
        <f t="shared" si="0"/>
        <v>6350000</v>
      </c>
      <c r="M8" s="555">
        <f>(5000000*1.27)</f>
        <v>6350000</v>
      </c>
      <c r="N8" s="555"/>
      <c r="O8" s="542"/>
    </row>
    <row r="9" spans="1:16" s="379" customFormat="1">
      <c r="A9" s="377" t="s">
        <v>723</v>
      </c>
      <c r="B9" s="378" t="s">
        <v>627</v>
      </c>
      <c r="C9" s="542"/>
      <c r="D9" s="543"/>
      <c r="E9" s="542"/>
      <c r="F9" s="542"/>
      <c r="G9" s="542"/>
      <c r="H9" s="542">
        <f>100000</f>
        <v>100000</v>
      </c>
      <c r="I9" s="542">
        <f>100000</f>
        <v>100000</v>
      </c>
      <c r="J9" s="542">
        <f>100000</f>
        <v>100000</v>
      </c>
      <c r="K9" s="544"/>
      <c r="L9" s="542">
        <f t="shared" si="0"/>
        <v>100000</v>
      </c>
      <c r="M9" s="555">
        <v>100000</v>
      </c>
      <c r="N9" s="555"/>
      <c r="O9" s="542"/>
    </row>
    <row r="10" spans="1:16" s="379" customFormat="1">
      <c r="A10" s="377" t="s">
        <v>743</v>
      </c>
      <c r="B10" s="378" t="s">
        <v>740</v>
      </c>
      <c r="C10" s="542">
        <f>100000</f>
        <v>100000</v>
      </c>
      <c r="D10" s="543" t="s">
        <v>697</v>
      </c>
      <c r="E10" s="542"/>
      <c r="F10" s="542"/>
      <c r="G10" s="542"/>
      <c r="H10" s="542"/>
      <c r="I10" s="542">
        <f>100000</f>
        <v>100000</v>
      </c>
      <c r="J10" s="542">
        <f>100000</f>
        <v>100000</v>
      </c>
      <c r="K10" s="544"/>
      <c r="L10" s="542">
        <f t="shared" si="0"/>
        <v>100000</v>
      </c>
      <c r="M10" s="555">
        <v>100000</v>
      </c>
      <c r="N10" s="555"/>
      <c r="O10" s="542"/>
    </row>
    <row r="11" spans="1:16" s="379" customFormat="1">
      <c r="A11" s="377"/>
      <c r="B11" s="378"/>
      <c r="C11" s="542"/>
      <c r="D11" s="543"/>
      <c r="E11" s="542"/>
      <c r="F11" s="542"/>
      <c r="G11" s="542"/>
      <c r="H11" s="542"/>
      <c r="I11" s="542"/>
      <c r="J11" s="542"/>
      <c r="K11" s="544"/>
      <c r="L11" s="542">
        <f t="shared" si="0"/>
        <v>0</v>
      </c>
      <c r="M11" s="555"/>
      <c r="N11" s="555"/>
      <c r="O11" s="542"/>
    </row>
    <row r="12" spans="1:16" s="379" customFormat="1">
      <c r="A12" s="377" t="s">
        <v>700</v>
      </c>
      <c r="B12" s="378" t="s">
        <v>617</v>
      </c>
      <c r="C12" s="542">
        <f>(60000*1.27)</f>
        <v>76200</v>
      </c>
      <c r="D12" s="543" t="s">
        <v>697</v>
      </c>
      <c r="E12" s="542"/>
      <c r="F12" s="542">
        <f>(60000*1.27)</f>
        <v>76200</v>
      </c>
      <c r="G12" s="542">
        <f>(60000*1.27)</f>
        <v>76200</v>
      </c>
      <c r="H12" s="542">
        <f>(60000*1.27)</f>
        <v>76200</v>
      </c>
      <c r="I12" s="542">
        <f>(60000*1.27)</f>
        <v>76200</v>
      </c>
      <c r="J12" s="542">
        <f>(60000*1.27)</f>
        <v>76200</v>
      </c>
      <c r="K12" s="544"/>
      <c r="L12" s="542">
        <f t="shared" si="0"/>
        <v>76200</v>
      </c>
      <c r="M12" s="555">
        <f>(60000*1.27)</f>
        <v>76200</v>
      </c>
      <c r="N12" s="555"/>
      <c r="O12" s="542"/>
    </row>
    <row r="13" spans="1:16">
      <c r="A13" s="760"/>
      <c r="B13" s="761"/>
      <c r="C13" s="762"/>
      <c r="D13" s="763"/>
      <c r="E13" s="762"/>
      <c r="F13" s="762"/>
      <c r="G13" s="762"/>
      <c r="H13" s="762"/>
      <c r="I13" s="762"/>
      <c r="J13" s="762"/>
      <c r="K13" s="764"/>
      <c r="L13" s="762"/>
      <c r="M13" s="759"/>
      <c r="N13" s="759"/>
      <c r="O13" s="762"/>
    </row>
    <row r="14" spans="1:16">
      <c r="A14" s="760"/>
      <c r="B14" s="761"/>
      <c r="C14" s="762"/>
      <c r="D14" s="763"/>
      <c r="E14" s="762"/>
      <c r="F14" s="762"/>
      <c r="G14" s="762"/>
      <c r="H14" s="762"/>
      <c r="I14" s="762"/>
      <c r="J14" s="762"/>
      <c r="K14" s="764"/>
      <c r="L14" s="762"/>
      <c r="M14" s="759"/>
      <c r="N14" s="759"/>
      <c r="O14" s="762"/>
    </row>
    <row r="15" spans="1:16">
      <c r="A15" s="760"/>
      <c r="B15" s="761"/>
      <c r="C15" s="762"/>
      <c r="D15" s="763"/>
      <c r="E15" s="762"/>
      <c r="F15" s="762"/>
      <c r="G15" s="762"/>
      <c r="H15" s="762"/>
      <c r="I15" s="762"/>
      <c r="J15" s="762"/>
      <c r="K15" s="764"/>
      <c r="L15" s="762"/>
      <c r="M15" s="759"/>
      <c r="N15" s="759"/>
      <c r="O15" s="762"/>
    </row>
    <row r="16" spans="1:16">
      <c r="A16" s="760"/>
      <c r="B16" s="761"/>
      <c r="C16" s="762"/>
      <c r="D16" s="763"/>
      <c r="E16" s="762"/>
      <c r="F16" s="762"/>
      <c r="G16" s="762"/>
      <c r="H16" s="762"/>
      <c r="I16" s="762"/>
      <c r="J16" s="762"/>
      <c r="K16" s="764"/>
      <c r="L16" s="762"/>
      <c r="M16" s="759"/>
      <c r="N16" s="759"/>
      <c r="O16" s="762"/>
    </row>
    <row r="17" spans="1:16">
      <c r="A17" s="760"/>
      <c r="B17" s="761"/>
      <c r="C17" s="762"/>
      <c r="D17" s="763"/>
      <c r="E17" s="762"/>
      <c r="F17" s="762"/>
      <c r="G17" s="762"/>
      <c r="H17" s="762"/>
      <c r="I17" s="762"/>
      <c r="J17" s="762"/>
      <c r="K17" s="764"/>
      <c r="L17" s="762"/>
      <c r="M17" s="759"/>
      <c r="N17" s="759"/>
      <c r="O17" s="762"/>
    </row>
    <row r="18" spans="1:16">
      <c r="A18" s="760"/>
      <c r="B18" s="761"/>
      <c r="C18" s="762"/>
      <c r="D18" s="763"/>
      <c r="E18" s="762"/>
      <c r="F18" s="762"/>
      <c r="G18" s="762"/>
      <c r="H18" s="762"/>
      <c r="I18" s="762"/>
      <c r="J18" s="762"/>
      <c r="K18" s="764"/>
      <c r="L18" s="762"/>
      <c r="M18" s="759"/>
      <c r="N18" s="759"/>
      <c r="O18" s="762"/>
    </row>
    <row r="19" spans="1:16">
      <c r="A19" s="760"/>
      <c r="B19" s="761"/>
      <c r="C19" s="762"/>
      <c r="D19" s="763"/>
      <c r="E19" s="762"/>
      <c r="F19" s="762"/>
      <c r="G19" s="762"/>
      <c r="H19" s="762"/>
      <c r="I19" s="762"/>
      <c r="J19" s="762"/>
      <c r="K19" s="764"/>
      <c r="L19" s="762"/>
      <c r="M19" s="759"/>
      <c r="N19" s="759"/>
      <c r="O19" s="762"/>
    </row>
    <row r="20" spans="1:16">
      <c r="A20" s="760"/>
      <c r="B20" s="761"/>
      <c r="C20" s="762"/>
      <c r="D20" s="763"/>
      <c r="E20" s="762"/>
      <c r="F20" s="762"/>
      <c r="G20" s="762"/>
      <c r="H20" s="762"/>
      <c r="I20" s="762"/>
      <c r="J20" s="762"/>
      <c r="K20" s="764"/>
      <c r="L20" s="762"/>
      <c r="M20" s="759"/>
      <c r="N20" s="759"/>
      <c r="O20" s="762"/>
    </row>
    <row r="21" spans="1:16">
      <c r="A21" s="760"/>
      <c r="B21" s="761"/>
      <c r="C21" s="762"/>
      <c r="D21" s="763"/>
      <c r="E21" s="762"/>
      <c r="F21" s="762"/>
      <c r="G21" s="762"/>
      <c r="H21" s="762"/>
      <c r="I21" s="762"/>
      <c r="J21" s="762"/>
      <c r="K21" s="764"/>
      <c r="L21" s="762"/>
      <c r="M21" s="759"/>
      <c r="N21" s="759"/>
      <c r="O21" s="762"/>
    </row>
    <row r="22" spans="1:16" ht="14.25" thickBot="1">
      <c r="A22" s="765"/>
      <c r="B22" s="766"/>
      <c r="C22" s="767"/>
      <c r="D22" s="768"/>
      <c r="E22" s="767"/>
      <c r="F22" s="767"/>
      <c r="G22" s="767"/>
      <c r="H22" s="767"/>
      <c r="I22" s="767"/>
      <c r="J22" s="767"/>
      <c r="K22" s="769"/>
      <c r="L22" s="767"/>
      <c r="M22" s="556"/>
      <c r="N22" s="556"/>
      <c r="O22" s="767"/>
      <c r="P22" s="380"/>
    </row>
    <row r="23" spans="1:16" s="218" customFormat="1" ht="13.5" thickBot="1">
      <c r="A23" s="381" t="s">
        <v>58</v>
      </c>
      <c r="B23" s="382"/>
      <c r="C23" s="557">
        <f>C5+C6+C7+C8+C12</f>
        <v>91124597</v>
      </c>
      <c r="D23" s="557"/>
      <c r="E23" s="557">
        <f>E5+E6+E7+E8+E12</f>
        <v>0</v>
      </c>
      <c r="F23" s="557">
        <f>F5+F6+F7+F8+F12+F9+F10</f>
        <v>89587897</v>
      </c>
      <c r="G23" s="557">
        <f t="shared" ref="G23:O23" si="1">G5+G6+G7+G8+G12+G9+G10</f>
        <v>89587897</v>
      </c>
      <c r="H23" s="557">
        <f t="shared" si="1"/>
        <v>90322897</v>
      </c>
      <c r="I23" s="557">
        <f t="shared" si="1"/>
        <v>91324597</v>
      </c>
      <c r="J23" s="557">
        <f>J5+J6+J7+J8+J12+J9+J10</f>
        <v>91324597</v>
      </c>
      <c r="K23" s="557">
        <f t="shared" si="1"/>
        <v>0</v>
      </c>
      <c r="L23" s="557">
        <f t="shared" si="1"/>
        <v>91324597</v>
      </c>
      <c r="M23" s="557">
        <f t="shared" si="1"/>
        <v>15734640</v>
      </c>
      <c r="N23" s="557">
        <f t="shared" si="1"/>
        <v>40634177</v>
      </c>
      <c r="O23" s="557">
        <f t="shared" si="1"/>
        <v>34955780</v>
      </c>
      <c r="P23" s="752"/>
    </row>
  </sheetData>
  <mergeCells count="1">
    <mergeCell ref="A1:K1"/>
  </mergeCells>
  <phoneticPr fontId="0" type="noConversion"/>
  <printOptions horizontalCentered="1"/>
  <pageMargins left="0.33" right="0.48" top="0.9055118110236221" bottom="0.5" header="0.6692913385826772" footer="0.28000000000000003"/>
  <pageSetup paperSize="8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FFFF00"/>
  </sheetPr>
  <dimension ref="A2:G52"/>
  <sheetViews>
    <sheetView view="pageLayout" zoomScaleNormal="100" workbookViewId="0">
      <selection activeCell="I32" sqref="I32"/>
    </sheetView>
  </sheetViews>
  <sheetFormatPr defaultRowHeight="12.75"/>
  <cols>
    <col min="1" max="1" width="36.83203125" style="394" bestFit="1" customWidth="1"/>
    <col min="2" max="3" width="5.6640625" style="394" bestFit="1" customWidth="1"/>
    <col min="4" max="4" width="10.1640625" style="394" bestFit="1" customWidth="1"/>
    <col min="5" max="5" width="9.5" style="394" bestFit="1" customWidth="1"/>
    <col min="6" max="16384" width="9.33203125" style="394"/>
  </cols>
  <sheetData>
    <row r="2" spans="1:5">
      <c r="A2" s="287" t="s">
        <v>129</v>
      </c>
      <c r="B2" s="814"/>
      <c r="C2" s="814"/>
      <c r="D2" s="814"/>
      <c r="E2" s="814"/>
    </row>
    <row r="3" spans="1:5" ht="14.25" thickBot="1">
      <c r="D3" s="815" t="s">
        <v>581</v>
      </c>
      <c r="E3" s="815"/>
    </row>
    <row r="4" spans="1:5" ht="15" customHeight="1" thickBot="1">
      <c r="A4" s="369" t="s">
        <v>122</v>
      </c>
      <c r="B4" s="370" t="s">
        <v>595</v>
      </c>
      <c r="C4" s="370" t="s">
        <v>596</v>
      </c>
      <c r="D4" s="370" t="s">
        <v>675</v>
      </c>
      <c r="E4" s="371" t="s">
        <v>46</v>
      </c>
    </row>
    <row r="5" spans="1:5">
      <c r="A5" s="395" t="s">
        <v>123</v>
      </c>
      <c r="B5" s="396"/>
      <c r="C5" s="396"/>
      <c r="D5" s="396"/>
      <c r="E5" s="397">
        <f t="shared" ref="E5:E11" si="0">SUM(B5:D5)</f>
        <v>0</v>
      </c>
    </row>
    <row r="6" spans="1:5">
      <c r="A6" s="372" t="s">
        <v>136</v>
      </c>
      <c r="B6" s="373"/>
      <c r="C6" s="373"/>
      <c r="D6" s="373"/>
      <c r="E6" s="374">
        <f t="shared" si="0"/>
        <v>0</v>
      </c>
    </row>
    <row r="7" spans="1:5">
      <c r="A7" s="398" t="s">
        <v>124</v>
      </c>
      <c r="B7" s="399"/>
      <c r="C7" s="399"/>
      <c r="D7" s="399"/>
      <c r="E7" s="400">
        <f t="shared" si="0"/>
        <v>0</v>
      </c>
    </row>
    <row r="8" spans="1:5">
      <c r="A8" s="398" t="s">
        <v>138</v>
      </c>
      <c r="B8" s="399"/>
      <c r="C8" s="399"/>
      <c r="D8" s="399"/>
      <c r="E8" s="400">
        <f t="shared" si="0"/>
        <v>0</v>
      </c>
    </row>
    <row r="9" spans="1:5">
      <c r="A9" s="398" t="s">
        <v>125</v>
      </c>
      <c r="B9" s="399"/>
      <c r="C9" s="399"/>
      <c r="D9" s="399"/>
      <c r="E9" s="400">
        <f t="shared" si="0"/>
        <v>0</v>
      </c>
    </row>
    <row r="10" spans="1:5">
      <c r="A10" s="398" t="s">
        <v>126</v>
      </c>
      <c r="B10" s="399"/>
      <c r="C10" s="399"/>
      <c r="D10" s="399"/>
      <c r="E10" s="400">
        <f t="shared" si="0"/>
        <v>0</v>
      </c>
    </row>
    <row r="11" spans="1:5" ht="13.5" thickBot="1">
      <c r="A11" s="401"/>
      <c r="B11" s="402"/>
      <c r="C11" s="402"/>
      <c r="D11" s="402"/>
      <c r="E11" s="400">
        <f t="shared" si="0"/>
        <v>0</v>
      </c>
    </row>
    <row r="12" spans="1:5" ht="13.5" thickBot="1">
      <c r="A12" s="375" t="s">
        <v>128</v>
      </c>
      <c r="B12" s="403">
        <f>B5+SUM(B7:B11)</f>
        <v>0</v>
      </c>
      <c r="C12" s="403">
        <f>C5+SUM(C7:C11)</f>
        <v>0</v>
      </c>
      <c r="D12" s="403">
        <f>D5+SUM(D7:D11)</f>
        <v>0</v>
      </c>
      <c r="E12" s="404">
        <f>E5+SUM(E7:E11)</f>
        <v>0</v>
      </c>
    </row>
    <row r="13" spans="1:5" ht="13.5" thickBot="1">
      <c r="A13" s="405"/>
      <c r="B13" s="405"/>
      <c r="C13" s="405"/>
      <c r="D13" s="405"/>
      <c r="E13" s="405"/>
    </row>
    <row r="14" spans="1:5" ht="15" customHeight="1" thickBot="1">
      <c r="A14" s="369" t="s">
        <v>127</v>
      </c>
      <c r="B14" s="370" t="str">
        <f>+B4</f>
        <v>2019.</v>
      </c>
      <c r="C14" s="370" t="str">
        <f>+C4</f>
        <v>2020.</v>
      </c>
      <c r="D14" s="370" t="str">
        <f>+D4</f>
        <v>2020.után</v>
      </c>
      <c r="E14" s="371" t="s">
        <v>46</v>
      </c>
    </row>
    <row r="15" spans="1:5">
      <c r="A15" s="395" t="s">
        <v>132</v>
      </c>
      <c r="B15" s="396"/>
      <c r="C15" s="396"/>
      <c r="D15" s="396"/>
      <c r="E15" s="397">
        <f t="shared" ref="E15:E21" si="1">SUM(B15:D15)</f>
        <v>0</v>
      </c>
    </row>
    <row r="16" spans="1:5">
      <c r="A16" s="406" t="s">
        <v>133</v>
      </c>
      <c r="B16" s="399"/>
      <c r="C16" s="399"/>
      <c r="D16" s="399"/>
      <c r="E16" s="400">
        <f t="shared" si="1"/>
        <v>0</v>
      </c>
    </row>
    <row r="17" spans="1:5">
      <c r="A17" s="398" t="s">
        <v>134</v>
      </c>
      <c r="B17" s="399"/>
      <c r="C17" s="399"/>
      <c r="D17" s="399"/>
      <c r="E17" s="400">
        <f t="shared" si="1"/>
        <v>0</v>
      </c>
    </row>
    <row r="18" spans="1:5">
      <c r="A18" s="398" t="s">
        <v>135</v>
      </c>
      <c r="B18" s="399"/>
      <c r="C18" s="399"/>
      <c r="D18" s="399"/>
      <c r="E18" s="400">
        <f t="shared" si="1"/>
        <v>0</v>
      </c>
    </row>
    <row r="19" spans="1:5">
      <c r="A19" s="407"/>
      <c r="B19" s="399"/>
      <c r="C19" s="399"/>
      <c r="D19" s="399"/>
      <c r="E19" s="400">
        <f t="shared" si="1"/>
        <v>0</v>
      </c>
    </row>
    <row r="20" spans="1:5">
      <c r="A20" s="407"/>
      <c r="B20" s="399"/>
      <c r="C20" s="399"/>
      <c r="D20" s="399"/>
      <c r="E20" s="400">
        <f t="shared" si="1"/>
        <v>0</v>
      </c>
    </row>
    <row r="21" spans="1:5" ht="13.5" thickBot="1">
      <c r="A21" s="401"/>
      <c r="B21" s="402"/>
      <c r="C21" s="402"/>
      <c r="D21" s="402"/>
      <c r="E21" s="400">
        <f t="shared" si="1"/>
        <v>0</v>
      </c>
    </row>
    <row r="22" spans="1:5" ht="13.5" thickBot="1">
      <c r="A22" s="375" t="s">
        <v>48</v>
      </c>
      <c r="B22" s="403">
        <f>SUM(B15:B21)</f>
        <v>0</v>
      </c>
      <c r="C22" s="403">
        <f>SUM(C15:C21)</f>
        <v>0</v>
      </c>
      <c r="D22" s="403">
        <f>SUM(D15:D21)</f>
        <v>0</v>
      </c>
      <c r="E22" s="404">
        <f>SUM(E15:E21)</f>
        <v>0</v>
      </c>
    </row>
    <row r="25" spans="1:5">
      <c r="A25" s="287" t="s">
        <v>129</v>
      </c>
      <c r="B25" s="814"/>
      <c r="C25" s="814"/>
      <c r="D25" s="814"/>
      <c r="E25" s="814"/>
    </row>
    <row r="26" spans="1:5" ht="14.25" thickBot="1">
      <c r="D26" s="815" t="s">
        <v>581</v>
      </c>
      <c r="E26" s="815"/>
    </row>
    <row r="27" spans="1:5" ht="13.5" thickBot="1">
      <c r="A27" s="369" t="s">
        <v>122</v>
      </c>
      <c r="B27" s="370" t="str">
        <f>+B14</f>
        <v>2019.</v>
      </c>
      <c r="C27" s="370" t="str">
        <f>+C14</f>
        <v>2020.</v>
      </c>
      <c r="D27" s="370" t="str">
        <f>+D14</f>
        <v>2020.után</v>
      </c>
      <c r="E27" s="371" t="s">
        <v>46</v>
      </c>
    </row>
    <row r="28" spans="1:5">
      <c r="A28" s="395" t="s">
        <v>123</v>
      </c>
      <c r="B28" s="396"/>
      <c r="C28" s="396"/>
      <c r="D28" s="396"/>
      <c r="E28" s="397">
        <f t="shared" ref="E28:E34" si="2">SUM(B28:D28)</f>
        <v>0</v>
      </c>
    </row>
    <row r="29" spans="1:5">
      <c r="A29" s="372" t="s">
        <v>136</v>
      </c>
      <c r="B29" s="373"/>
      <c r="C29" s="373"/>
      <c r="D29" s="373"/>
      <c r="E29" s="374">
        <f t="shared" si="2"/>
        <v>0</v>
      </c>
    </row>
    <row r="30" spans="1:5">
      <c r="A30" s="398" t="s">
        <v>124</v>
      </c>
      <c r="B30" s="399"/>
      <c r="C30" s="399"/>
      <c r="D30" s="399"/>
      <c r="E30" s="400">
        <f t="shared" si="2"/>
        <v>0</v>
      </c>
    </row>
    <row r="31" spans="1:5">
      <c r="A31" s="398" t="s">
        <v>138</v>
      </c>
      <c r="B31" s="399"/>
      <c r="C31" s="399"/>
      <c r="D31" s="399"/>
      <c r="E31" s="400">
        <f t="shared" si="2"/>
        <v>0</v>
      </c>
    </row>
    <row r="32" spans="1:5">
      <c r="A32" s="398" t="s">
        <v>125</v>
      </c>
      <c r="B32" s="399"/>
      <c r="C32" s="399"/>
      <c r="D32" s="399"/>
      <c r="E32" s="400">
        <f t="shared" si="2"/>
        <v>0</v>
      </c>
    </row>
    <row r="33" spans="1:7">
      <c r="A33" s="398" t="s">
        <v>126</v>
      </c>
      <c r="B33" s="399"/>
      <c r="C33" s="399"/>
      <c r="D33" s="399"/>
      <c r="E33" s="400">
        <f t="shared" si="2"/>
        <v>0</v>
      </c>
    </row>
    <row r="34" spans="1:7" ht="13.5" thickBot="1">
      <c r="A34" s="401"/>
      <c r="B34" s="402"/>
      <c r="C34" s="402"/>
      <c r="D34" s="402"/>
      <c r="E34" s="400">
        <f t="shared" si="2"/>
        <v>0</v>
      </c>
    </row>
    <row r="35" spans="1:7" ht="13.5" thickBot="1">
      <c r="A35" s="375" t="s">
        <v>128</v>
      </c>
      <c r="B35" s="403">
        <f>B28+SUM(B30:B34)</f>
        <v>0</v>
      </c>
      <c r="C35" s="403">
        <f>C28+SUM(C30:C34)</f>
        <v>0</v>
      </c>
      <c r="D35" s="403">
        <f>D28+SUM(D30:D34)</f>
        <v>0</v>
      </c>
      <c r="E35" s="404">
        <f>E28+SUM(E30:E34)</f>
        <v>0</v>
      </c>
    </row>
    <row r="36" spans="1:7" ht="13.5" thickBot="1">
      <c r="A36" s="405"/>
      <c r="B36" s="405"/>
      <c r="C36" s="405"/>
      <c r="D36" s="405"/>
      <c r="E36" s="405"/>
    </row>
    <row r="37" spans="1:7" ht="13.5" thickBot="1">
      <c r="A37" s="369" t="s">
        <v>127</v>
      </c>
      <c r="B37" s="370" t="str">
        <f>+B27</f>
        <v>2019.</v>
      </c>
      <c r="C37" s="370" t="str">
        <f>+C27</f>
        <v>2020.</v>
      </c>
      <c r="D37" s="370" t="str">
        <f>+D27</f>
        <v>2020.után</v>
      </c>
      <c r="E37" s="371" t="s">
        <v>46</v>
      </c>
    </row>
    <row r="38" spans="1:7">
      <c r="A38" s="395" t="s">
        <v>132</v>
      </c>
      <c r="B38" s="396"/>
      <c r="C38" s="396"/>
      <c r="D38" s="396"/>
      <c r="E38" s="397">
        <f t="shared" ref="E38:E44" si="3">SUM(B38:D38)</f>
        <v>0</v>
      </c>
    </row>
    <row r="39" spans="1:7">
      <c r="A39" s="406" t="s">
        <v>133</v>
      </c>
      <c r="B39" s="399"/>
      <c r="C39" s="399"/>
      <c r="D39" s="399"/>
      <c r="E39" s="400">
        <f t="shared" si="3"/>
        <v>0</v>
      </c>
    </row>
    <row r="40" spans="1:7">
      <c r="A40" s="398" t="s">
        <v>134</v>
      </c>
      <c r="B40" s="399"/>
      <c r="C40" s="399"/>
      <c r="D40" s="399"/>
      <c r="E40" s="400">
        <f t="shared" si="3"/>
        <v>0</v>
      </c>
    </row>
    <row r="41" spans="1:7">
      <c r="A41" s="398" t="s">
        <v>135</v>
      </c>
      <c r="B41" s="399"/>
      <c r="C41" s="399"/>
      <c r="D41" s="399"/>
      <c r="E41" s="400">
        <f t="shared" si="3"/>
        <v>0</v>
      </c>
    </row>
    <row r="42" spans="1:7">
      <c r="A42" s="407"/>
      <c r="B42" s="399"/>
      <c r="C42" s="399"/>
      <c r="D42" s="399"/>
      <c r="E42" s="400">
        <f t="shared" si="3"/>
        <v>0</v>
      </c>
    </row>
    <row r="43" spans="1:7">
      <c r="A43" s="407"/>
      <c r="B43" s="399"/>
      <c r="C43" s="399"/>
      <c r="D43" s="399"/>
      <c r="E43" s="400">
        <f t="shared" si="3"/>
        <v>0</v>
      </c>
    </row>
    <row r="44" spans="1:7" ht="13.5" thickBot="1">
      <c r="A44" s="401"/>
      <c r="B44" s="402"/>
      <c r="C44" s="402"/>
      <c r="D44" s="402"/>
      <c r="E44" s="400">
        <f t="shared" si="3"/>
        <v>0</v>
      </c>
    </row>
    <row r="45" spans="1:7" ht="13.5" thickBot="1">
      <c r="A45" s="375" t="s">
        <v>48</v>
      </c>
      <c r="B45" s="403">
        <f>SUM(B38:B44)</f>
        <v>0</v>
      </c>
      <c r="C45" s="403">
        <f>SUM(C38:C44)</f>
        <v>0</v>
      </c>
      <c r="D45" s="403">
        <f>SUM(D38:D44)</f>
        <v>0</v>
      </c>
      <c r="E45" s="404">
        <f>SUM(E38:E44)</f>
        <v>0</v>
      </c>
    </row>
    <row r="47" spans="1:7">
      <c r="A47" s="813" t="s">
        <v>676</v>
      </c>
      <c r="B47" s="813"/>
      <c r="C47" s="813"/>
      <c r="D47" s="813"/>
      <c r="E47" s="813"/>
      <c r="F47" s="813"/>
      <c r="G47" s="813"/>
    </row>
    <row r="48" spans="1:7" ht="13.5" thickBot="1"/>
    <row r="49" spans="1:5" ht="13.5" thickBot="1">
      <c r="A49" s="827" t="s">
        <v>130</v>
      </c>
      <c r="B49" s="828"/>
      <c r="C49" s="829"/>
      <c r="D49" s="825" t="s">
        <v>597</v>
      </c>
      <c r="E49" s="826"/>
    </row>
    <row r="50" spans="1:5">
      <c r="A50" s="830"/>
      <c r="B50" s="831"/>
      <c r="C50" s="832"/>
      <c r="D50" s="819"/>
      <c r="E50" s="820"/>
    </row>
    <row r="51" spans="1:5" ht="13.5" thickBot="1">
      <c r="A51" s="833"/>
      <c r="B51" s="834"/>
      <c r="C51" s="835"/>
      <c r="D51" s="821"/>
      <c r="E51" s="822"/>
    </row>
    <row r="52" spans="1:5" ht="13.5" thickBot="1">
      <c r="A52" s="816" t="s">
        <v>48</v>
      </c>
      <c r="B52" s="817"/>
      <c r="C52" s="818"/>
      <c r="D52" s="823">
        <f>SUM(D50:E51)</f>
        <v>0</v>
      </c>
      <c r="E52" s="824"/>
    </row>
  </sheetData>
  <mergeCells count="13">
    <mergeCell ref="A49:C49"/>
    <mergeCell ref="A50:C50"/>
    <mergeCell ref="A51:C51"/>
    <mergeCell ref="A47:G47"/>
    <mergeCell ref="B2:E2"/>
    <mergeCell ref="B25:E25"/>
    <mergeCell ref="D3:E3"/>
    <mergeCell ref="D26:E26"/>
    <mergeCell ref="A52:C52"/>
    <mergeCell ref="D50:E50"/>
    <mergeCell ref="D51:E51"/>
    <mergeCell ref="D52:E52"/>
    <mergeCell ref="D49:E49"/>
  </mergeCells>
  <phoneticPr fontId="6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7030A0"/>
  </sheetPr>
  <dimension ref="A1:G161"/>
  <sheetViews>
    <sheetView zoomScale="94" zoomScaleNormal="94" zoomScaleSheetLayoutView="85" workbookViewId="0">
      <selection activeCell="B1" sqref="B1"/>
    </sheetView>
  </sheetViews>
  <sheetFormatPr defaultRowHeight="15.75"/>
  <cols>
    <col min="1" max="1" width="12.83203125" style="727" customWidth="1"/>
    <col min="2" max="2" width="87.33203125" style="653" bestFit="1" customWidth="1"/>
    <col min="3" max="7" width="19.33203125" style="728" bestFit="1" customWidth="1"/>
    <col min="8" max="16384" width="9.33203125" style="653"/>
  </cols>
  <sheetData>
    <row r="1" spans="1:7" s="100" customFormat="1" ht="16.5" thickBot="1">
      <c r="A1" s="1"/>
      <c r="B1" s="642" t="s">
        <v>760</v>
      </c>
      <c r="C1" s="642"/>
      <c r="D1" s="642"/>
      <c r="E1" s="642"/>
      <c r="F1" s="642"/>
      <c r="G1" s="642"/>
    </row>
    <row r="2" spans="1:7" s="103" customFormat="1" ht="31.5">
      <c r="A2" s="643" t="s">
        <v>56</v>
      </c>
      <c r="B2" s="644" t="s">
        <v>536</v>
      </c>
      <c r="C2" s="645" t="s">
        <v>49</v>
      </c>
      <c r="D2" s="645" t="s">
        <v>49</v>
      </c>
      <c r="E2" s="645" t="s">
        <v>49</v>
      </c>
      <c r="F2" s="645" t="s">
        <v>49</v>
      </c>
      <c r="G2" s="645" t="s">
        <v>49</v>
      </c>
    </row>
    <row r="3" spans="1:7" s="103" customFormat="1" ht="16.5" thickBot="1">
      <c r="A3" s="646" t="s">
        <v>191</v>
      </c>
      <c r="B3" s="647" t="s">
        <v>394</v>
      </c>
      <c r="C3" s="648" t="s">
        <v>49</v>
      </c>
      <c r="D3" s="648" t="s">
        <v>49</v>
      </c>
      <c r="E3" s="648" t="s">
        <v>49</v>
      </c>
      <c r="F3" s="648" t="s">
        <v>49</v>
      </c>
      <c r="G3" s="648" t="s">
        <v>49</v>
      </c>
    </row>
    <row r="4" spans="1:7" s="103" customFormat="1" ht="16.5" thickBot="1">
      <c r="C4" s="649" t="s">
        <v>581</v>
      </c>
      <c r="D4" s="649" t="s">
        <v>581</v>
      </c>
      <c r="E4" s="649" t="s">
        <v>581</v>
      </c>
      <c r="F4" s="649" t="s">
        <v>581</v>
      </c>
      <c r="G4" s="649" t="s">
        <v>581</v>
      </c>
    </row>
    <row r="5" spans="1:7" ht="48" thickBot="1">
      <c r="A5" s="650" t="s">
        <v>193</v>
      </c>
      <c r="B5" s="651" t="s">
        <v>50</v>
      </c>
      <c r="C5" s="656" t="s">
        <v>690</v>
      </c>
      <c r="D5" s="656" t="s">
        <v>716</v>
      </c>
      <c r="E5" s="656" t="s">
        <v>719</v>
      </c>
      <c r="F5" s="656" t="s">
        <v>729</v>
      </c>
      <c r="G5" s="656" t="s">
        <v>750</v>
      </c>
    </row>
    <row r="6" spans="1:7" s="107" customFormat="1" ht="16.5" thickBot="1">
      <c r="A6" s="730" t="s">
        <v>483</v>
      </c>
      <c r="B6" s="731" t="s">
        <v>484</v>
      </c>
      <c r="C6" s="732" t="s">
        <v>485</v>
      </c>
      <c r="D6" s="732" t="s">
        <v>485</v>
      </c>
      <c r="E6" s="732" t="s">
        <v>485</v>
      </c>
      <c r="F6" s="732" t="s">
        <v>485</v>
      </c>
      <c r="G6" s="732" t="s">
        <v>485</v>
      </c>
    </row>
    <row r="7" spans="1:7" s="107" customFormat="1" ht="16.5" thickBot="1">
      <c r="A7" s="733"/>
      <c r="B7" s="734" t="s">
        <v>51</v>
      </c>
      <c r="C7" s="735"/>
      <c r="D7" s="735"/>
      <c r="E7" s="735"/>
      <c r="F7" s="735"/>
      <c r="G7" s="735"/>
    </row>
    <row r="8" spans="1:7" s="661" customFormat="1" ht="16.5" thickBot="1">
      <c r="A8" s="662" t="s">
        <v>14</v>
      </c>
      <c r="B8" s="663" t="s">
        <v>241</v>
      </c>
      <c r="C8" s="736">
        <f>+C9+C10+C11+C12+C13+C14</f>
        <v>223966276</v>
      </c>
      <c r="D8" s="736">
        <f>+D9+D10+D11+D12+D13+D14</f>
        <v>233099072</v>
      </c>
      <c r="E8" s="736">
        <f>+E9+E10+E11+E12+E13+E14</f>
        <v>234553676</v>
      </c>
      <c r="F8" s="736">
        <f>+F9+F10+F11+F12+F13+F14</f>
        <v>239005928</v>
      </c>
      <c r="G8" s="736">
        <f>+G9+G10+G11+G12+G13+G14</f>
        <v>260181308</v>
      </c>
    </row>
    <row r="9" spans="1:7" s="661" customFormat="1">
      <c r="A9" s="665" t="s">
        <v>93</v>
      </c>
      <c r="B9" s="666" t="s">
        <v>242</v>
      </c>
      <c r="C9" s="737">
        <v>118506104</v>
      </c>
      <c r="D9" s="737">
        <f>118506104+267920</f>
        <v>118774024</v>
      </c>
      <c r="E9" s="737">
        <f>118774024+335241</f>
        <v>119109265</v>
      </c>
      <c r="F9" s="737">
        <f>118774024+335241+1500000+297821</f>
        <v>120907086</v>
      </c>
      <c r="G9" s="737">
        <f>118774024+335241+1500000+297821+312781</f>
        <v>121219867</v>
      </c>
    </row>
    <row r="10" spans="1:7" s="661" customFormat="1">
      <c r="A10" s="668" t="s">
        <v>94</v>
      </c>
      <c r="B10" s="669" t="s">
        <v>243</v>
      </c>
      <c r="C10" s="738">
        <v>64532484</v>
      </c>
      <c r="D10" s="738">
        <v>64532484</v>
      </c>
      <c r="E10" s="738">
        <f>64532484+363642</f>
        <v>64896126</v>
      </c>
      <c r="F10" s="738">
        <f>64532484+363642+1170000</f>
        <v>66066126</v>
      </c>
      <c r="G10" s="738">
        <f>64532484+363642+1170000-178184</f>
        <v>65887942</v>
      </c>
    </row>
    <row r="11" spans="1:7" s="661" customFormat="1">
      <c r="A11" s="668" t="s">
        <v>95</v>
      </c>
      <c r="B11" s="669" t="s">
        <v>244</v>
      </c>
      <c r="C11" s="738">
        <v>37842188</v>
      </c>
      <c r="D11" s="738">
        <v>37842188</v>
      </c>
      <c r="E11" s="738">
        <v>37842188</v>
      </c>
      <c r="F11" s="738">
        <f>37842188+160000+1254000-2762886</f>
        <v>36493302</v>
      </c>
      <c r="G11" s="738">
        <f>37842188+160000+1254000-2762886-133000</f>
        <v>36360302</v>
      </c>
    </row>
    <row r="12" spans="1:7" s="661" customFormat="1">
      <c r="A12" s="668" t="s">
        <v>96</v>
      </c>
      <c r="B12" s="669" t="s">
        <v>245</v>
      </c>
      <c r="C12" s="738">
        <v>3085500</v>
      </c>
      <c r="D12" s="738">
        <f>3085500+344876</f>
        <v>3430376</v>
      </c>
      <c r="E12" s="738">
        <f>3085500+344876+519000+236721</f>
        <v>4186097</v>
      </c>
      <c r="F12" s="738">
        <f>4186097+105000+327267</f>
        <v>4618364</v>
      </c>
      <c r="G12" s="738">
        <f>4186097+105000+327267+215183</f>
        <v>4833547</v>
      </c>
    </row>
    <row r="13" spans="1:7" s="661" customFormat="1">
      <c r="A13" s="668" t="s">
        <v>139</v>
      </c>
      <c r="B13" s="671" t="s">
        <v>426</v>
      </c>
      <c r="C13" s="738"/>
      <c r="D13" s="738">
        <f>8520000</f>
        <v>8520000</v>
      </c>
      <c r="E13" s="738">
        <f>8520000</f>
        <v>8520000</v>
      </c>
      <c r="F13" s="738">
        <f>8520000+2051050+350000</f>
        <v>10921050</v>
      </c>
      <c r="G13" s="738">
        <f>8520000+2051050+350000+20958600</f>
        <v>31879650</v>
      </c>
    </row>
    <row r="14" spans="1:7" s="661" customFormat="1" ht="16.5" thickBot="1">
      <c r="A14" s="672" t="s">
        <v>97</v>
      </c>
      <c r="B14" s="673" t="s">
        <v>427</v>
      </c>
      <c r="C14" s="738"/>
      <c r="D14" s="738"/>
      <c r="E14" s="738"/>
      <c r="F14" s="738"/>
      <c r="G14" s="738"/>
    </row>
    <row r="15" spans="1:7" s="661" customFormat="1" ht="16.5" thickBot="1">
      <c r="A15" s="662" t="s">
        <v>15</v>
      </c>
      <c r="B15" s="674" t="s">
        <v>246</v>
      </c>
      <c r="C15" s="736">
        <f>+C16+C17+C18+C19+C20</f>
        <v>75066371</v>
      </c>
      <c r="D15" s="736">
        <f>+D16+D17+D18+D19+D20</f>
        <v>79913564</v>
      </c>
      <c r="E15" s="736">
        <f>+E16+E17+E18+E19+E20</f>
        <v>83707341</v>
      </c>
      <c r="F15" s="736">
        <f>+F16+F17+F18+F19+F20</f>
        <v>87759849</v>
      </c>
      <c r="G15" s="736">
        <f>+G16+G17+G18+G19+G20</f>
        <v>74336629</v>
      </c>
    </row>
    <row r="16" spans="1:7" s="661" customFormat="1">
      <c r="A16" s="665" t="s">
        <v>99</v>
      </c>
      <c r="B16" s="666" t="s">
        <v>247</v>
      </c>
      <c r="C16" s="737"/>
      <c r="D16" s="737"/>
      <c r="E16" s="737">
        <f>139498</f>
        <v>139498</v>
      </c>
      <c r="F16" s="737">
        <f>139498-139498</f>
        <v>0</v>
      </c>
      <c r="G16" s="737">
        <f>139498-139498</f>
        <v>0</v>
      </c>
    </row>
    <row r="17" spans="1:7" s="661" customFormat="1">
      <c r="A17" s="668" t="s">
        <v>100</v>
      </c>
      <c r="B17" s="669" t="s">
        <v>248</v>
      </c>
      <c r="C17" s="738"/>
      <c r="D17" s="738"/>
      <c r="E17" s="738"/>
      <c r="F17" s="738"/>
      <c r="G17" s="738"/>
    </row>
    <row r="18" spans="1:7" s="661" customFormat="1">
      <c r="A18" s="668" t="s">
        <v>101</v>
      </c>
      <c r="B18" s="669" t="s">
        <v>416</v>
      </c>
      <c r="C18" s="738"/>
      <c r="D18" s="738"/>
      <c r="E18" s="738"/>
      <c r="F18" s="738"/>
      <c r="G18" s="738"/>
    </row>
    <row r="19" spans="1:7" s="661" customFormat="1">
      <c r="A19" s="668" t="s">
        <v>102</v>
      </c>
      <c r="B19" s="669" t="s">
        <v>417</v>
      </c>
      <c r="C19" s="738"/>
      <c r="D19" s="738"/>
      <c r="E19" s="738"/>
      <c r="F19" s="738"/>
      <c r="G19" s="738"/>
    </row>
    <row r="20" spans="1:7" s="661" customFormat="1">
      <c r="A20" s="668" t="s">
        <v>103</v>
      </c>
      <c r="B20" s="669" t="s">
        <v>249</v>
      </c>
      <c r="C20" s="738">
        <f>75066371</f>
        <v>75066371</v>
      </c>
      <c r="D20" s="738">
        <f>75066371+695378+4151815</f>
        <v>79913564</v>
      </c>
      <c r="E20" s="738">
        <f>79913564+3337921+316358</f>
        <v>83567843</v>
      </c>
      <c r="F20" s="738">
        <f>83567843+429000+803800+209700+43500+1602492+139498+670586+293430</f>
        <v>87759849</v>
      </c>
      <c r="G20" s="738">
        <f>83567843+429000+803800+209700+43500+1602492+139498+670586+293430+9125600+163200-23000000+287980</f>
        <v>74336629</v>
      </c>
    </row>
    <row r="21" spans="1:7" s="661" customFormat="1" ht="16.5" thickBot="1">
      <c r="A21" s="672" t="s">
        <v>112</v>
      </c>
      <c r="B21" s="673" t="s">
        <v>250</v>
      </c>
      <c r="C21" s="739"/>
      <c r="D21" s="739"/>
      <c r="E21" s="739"/>
      <c r="F21" s="739"/>
      <c r="G21" s="739"/>
    </row>
    <row r="22" spans="1:7" s="661" customFormat="1" ht="16.5" thickBot="1">
      <c r="A22" s="662" t="s">
        <v>16</v>
      </c>
      <c r="B22" s="663" t="s">
        <v>251</v>
      </c>
      <c r="C22" s="736">
        <f>+C23+C24+C25+C26+C27</f>
        <v>39844721</v>
      </c>
      <c r="D22" s="736">
        <f>+D23+D24+D25+D26+D27</f>
        <v>32531109</v>
      </c>
      <c r="E22" s="736">
        <f>+E23+E24+E25+E26+E27</f>
        <v>32531109</v>
      </c>
      <c r="F22" s="736">
        <f>+F23+F24+F25+F26+F27</f>
        <v>35321341</v>
      </c>
      <c r="G22" s="736">
        <f>+G23+G24+G25+G26+G27</f>
        <v>285894704</v>
      </c>
    </row>
    <row r="23" spans="1:7" s="661" customFormat="1">
      <c r="A23" s="665" t="s">
        <v>82</v>
      </c>
      <c r="B23" s="666" t="s">
        <v>252</v>
      </c>
      <c r="C23" s="737"/>
      <c r="D23" s="737"/>
      <c r="E23" s="737"/>
      <c r="F23" s="737"/>
      <c r="G23" s="737"/>
    </row>
    <row r="24" spans="1:7" s="661" customFormat="1">
      <c r="A24" s="668" t="s">
        <v>83</v>
      </c>
      <c r="B24" s="669" t="s">
        <v>253</v>
      </c>
      <c r="C24" s="738"/>
      <c r="D24" s="738"/>
      <c r="E24" s="738"/>
      <c r="F24" s="738"/>
      <c r="G24" s="738"/>
    </row>
    <row r="25" spans="1:7" s="661" customFormat="1">
      <c r="A25" s="668" t="s">
        <v>84</v>
      </c>
      <c r="B25" s="669" t="s">
        <v>418</v>
      </c>
      <c r="C25" s="738"/>
      <c r="D25" s="738"/>
      <c r="E25" s="738"/>
      <c r="F25" s="738"/>
      <c r="G25" s="738"/>
    </row>
    <row r="26" spans="1:7" s="661" customFormat="1">
      <c r="A26" s="668" t="s">
        <v>85</v>
      </c>
      <c r="B26" s="669" t="s">
        <v>419</v>
      </c>
      <c r="C26" s="738"/>
      <c r="D26" s="738"/>
      <c r="E26" s="738"/>
      <c r="F26" s="738"/>
      <c r="G26" s="738"/>
    </row>
    <row r="27" spans="1:7" s="661" customFormat="1">
      <c r="A27" s="668" t="s">
        <v>160</v>
      </c>
      <c r="B27" s="669" t="s">
        <v>254</v>
      </c>
      <c r="C27" s="738">
        <v>39844721</v>
      </c>
      <c r="D27" s="738">
        <f>39844721-7313612</f>
        <v>32531109</v>
      </c>
      <c r="E27" s="738">
        <f>39844721-7313612</f>
        <v>32531109</v>
      </c>
      <c r="F27" s="738">
        <f>32531109+2790232</f>
        <v>35321341</v>
      </c>
      <c r="G27" s="738">
        <f>32531109+2790232+458000+246514227+3601136</f>
        <v>285894704</v>
      </c>
    </row>
    <row r="28" spans="1:7" s="661" customFormat="1" ht="16.5" thickBot="1">
      <c r="A28" s="672" t="s">
        <v>161</v>
      </c>
      <c r="B28" s="676" t="s">
        <v>255</v>
      </c>
      <c r="C28" s="739"/>
      <c r="D28" s="739"/>
      <c r="E28" s="739"/>
      <c r="F28" s="739"/>
      <c r="G28" s="739"/>
    </row>
    <row r="29" spans="1:7" s="661" customFormat="1" ht="16.5" thickBot="1">
      <c r="A29" s="662" t="s">
        <v>162</v>
      </c>
      <c r="B29" s="663" t="s">
        <v>256</v>
      </c>
      <c r="C29" s="736">
        <f>+C30+C34+C35+C36</f>
        <v>136700000</v>
      </c>
      <c r="D29" s="736">
        <f>+D30+D34+D35+D36</f>
        <v>136700000</v>
      </c>
      <c r="E29" s="736">
        <f>+E30+E34+E35+E36</f>
        <v>136700000</v>
      </c>
      <c r="F29" s="736">
        <f>+F30+F34+F35+F36</f>
        <v>137000000</v>
      </c>
      <c r="G29" s="736">
        <f>+G30+G34+G35+G36</f>
        <v>149000000</v>
      </c>
    </row>
    <row r="30" spans="1:7" s="661" customFormat="1">
      <c r="A30" s="665" t="s">
        <v>257</v>
      </c>
      <c r="B30" s="666" t="s">
        <v>433</v>
      </c>
      <c r="C30" s="740">
        <f>C31+C32+C33</f>
        <v>100000000</v>
      </c>
      <c r="D30" s="740">
        <f>D31+D32+D33</f>
        <v>100000000</v>
      </c>
      <c r="E30" s="740">
        <f>E31+E32+E33</f>
        <v>100000000</v>
      </c>
      <c r="F30" s="740">
        <f>F31+F32+F33</f>
        <v>100000000</v>
      </c>
      <c r="G30" s="740">
        <f>G31+G32+G33</f>
        <v>109740000</v>
      </c>
    </row>
    <row r="31" spans="1:7" s="661" customFormat="1">
      <c r="A31" s="668" t="s">
        <v>258</v>
      </c>
      <c r="B31" s="669" t="s">
        <v>593</v>
      </c>
      <c r="C31" s="738">
        <f>58000000</f>
        <v>58000000</v>
      </c>
      <c r="D31" s="738">
        <f>58000000</f>
        <v>58000000</v>
      </c>
      <c r="E31" s="738">
        <f>58000000</f>
        <v>58000000</v>
      </c>
      <c r="F31" s="738">
        <f>58000000</f>
        <v>58000000</v>
      </c>
      <c r="G31" s="738">
        <f>58000000+540000</f>
        <v>58540000</v>
      </c>
    </row>
    <row r="32" spans="1:7" s="661" customFormat="1">
      <c r="A32" s="668" t="s">
        <v>259</v>
      </c>
      <c r="B32" s="669" t="s">
        <v>594</v>
      </c>
      <c r="C32" s="738"/>
      <c r="D32" s="738"/>
      <c r="E32" s="738"/>
      <c r="F32" s="738"/>
      <c r="G32" s="738"/>
    </row>
    <row r="33" spans="1:7" s="661" customFormat="1">
      <c r="A33" s="668" t="s">
        <v>431</v>
      </c>
      <c r="B33" s="679" t="s">
        <v>432</v>
      </c>
      <c r="C33" s="738">
        <f>42000000</f>
        <v>42000000</v>
      </c>
      <c r="D33" s="738">
        <f>42000000</f>
        <v>42000000</v>
      </c>
      <c r="E33" s="738">
        <f>42000000</f>
        <v>42000000</v>
      </c>
      <c r="F33" s="738">
        <f>42000000</f>
        <v>42000000</v>
      </c>
      <c r="G33" s="738">
        <f>42000000+9200000</f>
        <v>51200000</v>
      </c>
    </row>
    <row r="34" spans="1:7" s="661" customFormat="1">
      <c r="A34" s="668" t="s">
        <v>260</v>
      </c>
      <c r="B34" s="669" t="s">
        <v>265</v>
      </c>
      <c r="C34" s="738">
        <v>9000000</v>
      </c>
      <c r="D34" s="738">
        <v>9000000</v>
      </c>
      <c r="E34" s="738">
        <v>9000000</v>
      </c>
      <c r="F34" s="738">
        <v>9000000</v>
      </c>
      <c r="G34" s="738">
        <f>9000000+770000</f>
        <v>9770000</v>
      </c>
    </row>
    <row r="35" spans="1:7" s="661" customFormat="1">
      <c r="A35" s="668" t="s">
        <v>261</v>
      </c>
      <c r="B35" s="669" t="s">
        <v>575</v>
      </c>
      <c r="C35" s="738">
        <v>27500000</v>
      </c>
      <c r="D35" s="738">
        <v>27500000</v>
      </c>
      <c r="E35" s="738">
        <v>27500000</v>
      </c>
      <c r="F35" s="738">
        <v>27500000</v>
      </c>
      <c r="G35" s="738">
        <f>27500000+1290000</f>
        <v>28790000</v>
      </c>
    </row>
    <row r="36" spans="1:7" s="661" customFormat="1" ht="16.5" thickBot="1">
      <c r="A36" s="672" t="s">
        <v>262</v>
      </c>
      <c r="B36" s="676" t="s">
        <v>267</v>
      </c>
      <c r="C36" s="739">
        <v>200000</v>
      </c>
      <c r="D36" s="739">
        <v>200000</v>
      </c>
      <c r="E36" s="739">
        <v>200000</v>
      </c>
      <c r="F36" s="739">
        <f>200000+300000</f>
        <v>500000</v>
      </c>
      <c r="G36" s="739">
        <f>200000+300000+200000</f>
        <v>700000</v>
      </c>
    </row>
    <row r="37" spans="1:7" s="661" customFormat="1" ht="16.5" thickBot="1">
      <c r="A37" s="662" t="s">
        <v>18</v>
      </c>
      <c r="B37" s="663" t="s">
        <v>428</v>
      </c>
      <c r="C37" s="736">
        <f>SUM(C38:C48)</f>
        <v>130660612</v>
      </c>
      <c r="D37" s="736">
        <f>SUM(D38:D48)</f>
        <v>130876569</v>
      </c>
      <c r="E37" s="736">
        <f>SUM(E38:E48)</f>
        <v>131601689</v>
      </c>
      <c r="F37" s="736">
        <f>SUM(F38:F48)</f>
        <v>169167689</v>
      </c>
      <c r="G37" s="736">
        <f>SUM(G38:G48)</f>
        <v>170677689</v>
      </c>
    </row>
    <row r="38" spans="1:7" s="661" customFormat="1">
      <c r="A38" s="665" t="s">
        <v>86</v>
      </c>
      <c r="B38" s="666" t="s">
        <v>270</v>
      </c>
      <c r="C38" s="737"/>
      <c r="D38" s="737"/>
      <c r="E38" s="737"/>
      <c r="F38" s="737"/>
      <c r="G38" s="737"/>
    </row>
    <row r="39" spans="1:7" s="661" customFormat="1">
      <c r="A39" s="668" t="s">
        <v>87</v>
      </c>
      <c r="B39" s="669" t="s">
        <v>271</v>
      </c>
      <c r="C39" s="738">
        <f>99723710</f>
        <v>99723710</v>
      </c>
      <c r="D39" s="738">
        <f>99723710+170045</f>
        <v>99893755</v>
      </c>
      <c r="E39" s="738">
        <f>99723710+170045</f>
        <v>99893755</v>
      </c>
      <c r="F39" s="738">
        <f>99723710+170045+3000000+23000000</f>
        <v>125893755</v>
      </c>
      <c r="G39" s="738">
        <f>99723710+170045+3000000+23000000+800000</f>
        <v>126693755</v>
      </c>
    </row>
    <row r="40" spans="1:7" s="661" customFormat="1">
      <c r="A40" s="668" t="s">
        <v>88</v>
      </c>
      <c r="B40" s="669" t="s">
        <v>272</v>
      </c>
      <c r="C40" s="738">
        <f>1650000</f>
        <v>1650000</v>
      </c>
      <c r="D40" s="738">
        <f>1650000</f>
        <v>1650000</v>
      </c>
      <c r="E40" s="738">
        <f>1650000</f>
        <v>1650000</v>
      </c>
      <c r="F40" s="738">
        <f>1650000</f>
        <v>1650000</v>
      </c>
      <c r="G40" s="738">
        <f>1650000+300000</f>
        <v>1950000</v>
      </c>
    </row>
    <row r="41" spans="1:7" s="661" customFormat="1">
      <c r="A41" s="668" t="s">
        <v>164</v>
      </c>
      <c r="B41" s="669" t="s">
        <v>273</v>
      </c>
      <c r="C41" s="738"/>
      <c r="D41" s="738"/>
      <c r="E41" s="738"/>
      <c r="F41" s="738"/>
      <c r="G41" s="738"/>
    </row>
    <row r="42" spans="1:7" s="661" customFormat="1">
      <c r="A42" s="668" t="s">
        <v>165</v>
      </c>
      <c r="B42" s="669" t="s">
        <v>274</v>
      </c>
      <c r="C42" s="738">
        <f>1500000</f>
        <v>1500000</v>
      </c>
      <c r="D42" s="738">
        <f>1500000</f>
        <v>1500000</v>
      </c>
      <c r="E42" s="738">
        <f>1500000</f>
        <v>1500000</v>
      </c>
      <c r="F42" s="738">
        <f>1500000</f>
        <v>1500000</v>
      </c>
      <c r="G42" s="738">
        <f>1500000+100000</f>
        <v>1600000</v>
      </c>
    </row>
    <row r="43" spans="1:7" s="661" customFormat="1">
      <c r="A43" s="668" t="s">
        <v>166</v>
      </c>
      <c r="B43" s="669" t="s">
        <v>275</v>
      </c>
      <c r="C43" s="738">
        <f>27775902</f>
        <v>27775902</v>
      </c>
      <c r="D43" s="738">
        <f>27775902+45912</f>
        <v>27821814</v>
      </c>
      <c r="E43" s="738">
        <f>27775902+45912+139320</f>
        <v>27961134</v>
      </c>
      <c r="F43" s="738">
        <f>27775902+45912+139320+810000+6210000</f>
        <v>34981134</v>
      </c>
      <c r="G43" s="738">
        <f>27775902+45912+139320+810000+6210000+300000</f>
        <v>35281134</v>
      </c>
    </row>
    <row r="44" spans="1:7" s="661" customFormat="1">
      <c r="A44" s="668" t="s">
        <v>167</v>
      </c>
      <c r="B44" s="669" t="s">
        <v>276</v>
      </c>
      <c r="C44" s="738"/>
      <c r="D44" s="738"/>
      <c r="E44" s="738"/>
      <c r="F44" s="738">
        <v>4316000</v>
      </c>
      <c r="G44" s="738">
        <v>4316000</v>
      </c>
    </row>
    <row r="45" spans="1:7" s="661" customFormat="1">
      <c r="A45" s="668" t="s">
        <v>168</v>
      </c>
      <c r="B45" s="669" t="s">
        <v>277</v>
      </c>
      <c r="C45" s="738">
        <f>1000</f>
        <v>1000</v>
      </c>
      <c r="D45" s="738">
        <f>1000</f>
        <v>1000</v>
      </c>
      <c r="E45" s="738">
        <f>1000</f>
        <v>1000</v>
      </c>
      <c r="F45" s="738">
        <f>1000</f>
        <v>1000</v>
      </c>
      <c r="G45" s="738">
        <f>1000</f>
        <v>1000</v>
      </c>
    </row>
    <row r="46" spans="1:7" s="661" customFormat="1">
      <c r="A46" s="668" t="s">
        <v>268</v>
      </c>
      <c r="B46" s="669" t="s">
        <v>278</v>
      </c>
      <c r="C46" s="738"/>
      <c r="D46" s="738"/>
      <c r="E46" s="738"/>
      <c r="F46" s="738"/>
      <c r="G46" s="738"/>
    </row>
    <row r="47" spans="1:7" s="661" customFormat="1">
      <c r="A47" s="672" t="s">
        <v>269</v>
      </c>
      <c r="B47" s="676" t="s">
        <v>430</v>
      </c>
      <c r="C47" s="739"/>
      <c r="D47" s="739"/>
      <c r="E47" s="739"/>
      <c r="F47" s="739"/>
      <c r="G47" s="739"/>
    </row>
    <row r="48" spans="1:7" s="661" customFormat="1" ht="16.5" thickBot="1">
      <c r="A48" s="672" t="s">
        <v>429</v>
      </c>
      <c r="B48" s="673" t="s">
        <v>279</v>
      </c>
      <c r="C48" s="739">
        <f>10000</f>
        <v>10000</v>
      </c>
      <c r="D48" s="739">
        <f>10000</f>
        <v>10000</v>
      </c>
      <c r="E48" s="739">
        <f>10000+516000+69800</f>
        <v>595800</v>
      </c>
      <c r="F48" s="739">
        <f>10000+516000+69800+230000</f>
        <v>825800</v>
      </c>
      <c r="G48" s="739">
        <f>10000+516000+69800+230000+10000</f>
        <v>835800</v>
      </c>
    </row>
    <row r="49" spans="1:7" s="661" customFormat="1" ht="16.5" thickBot="1">
      <c r="A49" s="662" t="s">
        <v>19</v>
      </c>
      <c r="B49" s="663" t="s">
        <v>280</v>
      </c>
      <c r="C49" s="736">
        <f>SUM(C50:C54)</f>
        <v>7000000</v>
      </c>
      <c r="D49" s="736">
        <f>SUM(D50:D54)</f>
        <v>7000000</v>
      </c>
      <c r="E49" s="736">
        <f>SUM(E50:E54)</f>
        <v>7000000</v>
      </c>
      <c r="F49" s="736">
        <f>SUM(F50:F54)</f>
        <v>7000000</v>
      </c>
      <c r="G49" s="736">
        <f>SUM(G50:G54)</f>
        <v>7000000</v>
      </c>
    </row>
    <row r="50" spans="1:7" s="661" customFormat="1">
      <c r="A50" s="665" t="s">
        <v>89</v>
      </c>
      <c r="B50" s="666" t="s">
        <v>284</v>
      </c>
      <c r="C50" s="737"/>
      <c r="D50" s="737"/>
      <c r="E50" s="737"/>
      <c r="F50" s="737"/>
      <c r="G50" s="737"/>
    </row>
    <row r="51" spans="1:7" s="661" customFormat="1">
      <c r="A51" s="668" t="s">
        <v>90</v>
      </c>
      <c r="B51" s="669" t="s">
        <v>285</v>
      </c>
      <c r="C51" s="738">
        <v>7000000</v>
      </c>
      <c r="D51" s="738">
        <v>7000000</v>
      </c>
      <c r="E51" s="738">
        <v>7000000</v>
      </c>
      <c r="F51" s="738">
        <v>7000000</v>
      </c>
      <c r="G51" s="738">
        <v>7000000</v>
      </c>
    </row>
    <row r="52" spans="1:7" s="661" customFormat="1">
      <c r="A52" s="668" t="s">
        <v>281</v>
      </c>
      <c r="B52" s="669" t="s">
        <v>286</v>
      </c>
      <c r="C52" s="738"/>
      <c r="D52" s="738"/>
      <c r="E52" s="738"/>
      <c r="F52" s="738"/>
      <c r="G52" s="738"/>
    </row>
    <row r="53" spans="1:7" s="661" customFormat="1">
      <c r="A53" s="668" t="s">
        <v>282</v>
      </c>
      <c r="B53" s="669" t="s">
        <v>287</v>
      </c>
      <c r="C53" s="738"/>
      <c r="D53" s="738"/>
      <c r="E53" s="738"/>
      <c r="F53" s="738"/>
      <c r="G53" s="738"/>
    </row>
    <row r="54" spans="1:7" s="661" customFormat="1" ht="16.5" thickBot="1">
      <c r="A54" s="672" t="s">
        <v>283</v>
      </c>
      <c r="B54" s="673" t="s">
        <v>288</v>
      </c>
      <c r="C54" s="739"/>
      <c r="D54" s="739"/>
      <c r="E54" s="739"/>
      <c r="F54" s="739"/>
      <c r="G54" s="739"/>
    </row>
    <row r="55" spans="1:7" s="661" customFormat="1" ht="16.5" thickBot="1">
      <c r="A55" s="662" t="s">
        <v>169</v>
      </c>
      <c r="B55" s="663" t="s">
        <v>289</v>
      </c>
      <c r="C55" s="736">
        <f>SUM(C56:C58)</f>
        <v>505503</v>
      </c>
      <c r="D55" s="736">
        <f>SUM(D56:D58)</f>
        <v>505503</v>
      </c>
      <c r="E55" s="736">
        <f>SUM(E56:E58)</f>
        <v>505503</v>
      </c>
      <c r="F55" s="736">
        <f>SUM(F56:F58)</f>
        <v>505503</v>
      </c>
      <c r="G55" s="736">
        <f>SUM(G56:G58)</f>
        <v>505503</v>
      </c>
    </row>
    <row r="56" spans="1:7" s="661" customFormat="1">
      <c r="A56" s="665" t="s">
        <v>91</v>
      </c>
      <c r="B56" s="666" t="s">
        <v>290</v>
      </c>
      <c r="C56" s="737"/>
      <c r="D56" s="737"/>
      <c r="E56" s="737"/>
      <c r="F56" s="737"/>
      <c r="G56" s="737"/>
    </row>
    <row r="57" spans="1:7" s="661" customFormat="1">
      <c r="A57" s="668" t="s">
        <v>92</v>
      </c>
      <c r="B57" s="669" t="s">
        <v>420</v>
      </c>
      <c r="C57" s="738"/>
      <c r="D57" s="738"/>
      <c r="E57" s="738"/>
      <c r="F57" s="738"/>
      <c r="G57" s="738"/>
    </row>
    <row r="58" spans="1:7" s="661" customFormat="1">
      <c r="A58" s="668" t="s">
        <v>293</v>
      </c>
      <c r="B58" s="669" t="s">
        <v>291</v>
      </c>
      <c r="C58" s="738">
        <v>505503</v>
      </c>
      <c r="D58" s="738">
        <v>505503</v>
      </c>
      <c r="E58" s="738">
        <v>505503</v>
      </c>
      <c r="F58" s="738">
        <v>505503</v>
      </c>
      <c r="G58" s="738">
        <v>505503</v>
      </c>
    </row>
    <row r="59" spans="1:7" s="661" customFormat="1" ht="16.5" thickBot="1">
      <c r="A59" s="672" t="s">
        <v>294</v>
      </c>
      <c r="B59" s="673" t="s">
        <v>292</v>
      </c>
      <c r="C59" s="739"/>
      <c r="D59" s="739"/>
      <c r="E59" s="739"/>
      <c r="F59" s="739"/>
      <c r="G59" s="739"/>
    </row>
    <row r="60" spans="1:7" s="661" customFormat="1" ht="16.5" thickBot="1">
      <c r="A60" s="662" t="s">
        <v>21</v>
      </c>
      <c r="B60" s="674" t="s">
        <v>295</v>
      </c>
      <c r="C60" s="736">
        <f>SUM(C61:C63)</f>
        <v>100000</v>
      </c>
      <c r="D60" s="736">
        <f>SUM(D61:D63)</f>
        <v>100000</v>
      </c>
      <c r="E60" s="736">
        <f>SUM(E61:E63)</f>
        <v>1052500</v>
      </c>
      <c r="F60" s="736">
        <f>SUM(F61:F63)</f>
        <v>1052500</v>
      </c>
      <c r="G60" s="736">
        <f>SUM(G61:G63)</f>
        <v>1052500</v>
      </c>
    </row>
    <row r="61" spans="1:7" s="661" customFormat="1">
      <c r="A61" s="665" t="s">
        <v>170</v>
      </c>
      <c r="B61" s="666" t="s">
        <v>297</v>
      </c>
      <c r="C61" s="738"/>
      <c r="D61" s="738"/>
      <c r="E61" s="738"/>
      <c r="F61" s="738"/>
      <c r="G61" s="738"/>
    </row>
    <row r="62" spans="1:7" s="661" customFormat="1">
      <c r="A62" s="668" t="s">
        <v>171</v>
      </c>
      <c r="B62" s="669" t="s">
        <v>421</v>
      </c>
      <c r="C62" s="738">
        <v>100000</v>
      </c>
      <c r="D62" s="738">
        <v>100000</v>
      </c>
      <c r="E62" s="738">
        <v>100000</v>
      </c>
      <c r="F62" s="738">
        <v>100000</v>
      </c>
      <c r="G62" s="738">
        <v>100000</v>
      </c>
    </row>
    <row r="63" spans="1:7" s="661" customFormat="1">
      <c r="A63" s="668" t="s">
        <v>218</v>
      </c>
      <c r="B63" s="669" t="s">
        <v>298</v>
      </c>
      <c r="C63" s="738"/>
      <c r="D63" s="738"/>
      <c r="E63" s="738">
        <f>317500+635000</f>
        <v>952500</v>
      </c>
      <c r="F63" s="738">
        <f>317500+635000</f>
        <v>952500</v>
      </c>
      <c r="G63" s="738">
        <f>317500+635000</f>
        <v>952500</v>
      </c>
    </row>
    <row r="64" spans="1:7" s="661" customFormat="1" ht="16.5" thickBot="1">
      <c r="A64" s="672" t="s">
        <v>296</v>
      </c>
      <c r="B64" s="673" t="s">
        <v>299</v>
      </c>
      <c r="C64" s="738"/>
      <c r="D64" s="738"/>
      <c r="E64" s="738"/>
      <c r="F64" s="738"/>
      <c r="G64" s="738"/>
    </row>
    <row r="65" spans="1:7" s="661" customFormat="1" ht="16.5" thickBot="1">
      <c r="A65" s="684" t="s">
        <v>472</v>
      </c>
      <c r="B65" s="663" t="s">
        <v>300</v>
      </c>
      <c r="C65" s="736">
        <f>+C8+C15+C22+C29+C37+C49+C55+C60</f>
        <v>613843483</v>
      </c>
      <c r="D65" s="736">
        <f>+D8+D15+D22+D29+D37+D49+D55+D60</f>
        <v>620725817</v>
      </c>
      <c r="E65" s="736">
        <f>+E8+E15+E22+E29+E37+E49+E55+E60</f>
        <v>627651818</v>
      </c>
      <c r="F65" s="736">
        <f>+F8+F15+F22+F29+F37+F49+F55+F60</f>
        <v>676812810</v>
      </c>
      <c r="G65" s="736">
        <f>+G8+G15+G22+G29+G37+G49+G55+G60</f>
        <v>948648333</v>
      </c>
    </row>
    <row r="66" spans="1:7" s="661" customFormat="1" ht="16.5" thickBot="1">
      <c r="A66" s="685" t="s">
        <v>301</v>
      </c>
      <c r="B66" s="674" t="s">
        <v>302</v>
      </c>
      <c r="C66" s="736">
        <f>SUM(C67:C69)</f>
        <v>0</v>
      </c>
      <c r="D66" s="736">
        <f>SUM(D67:D69)</f>
        <v>0</v>
      </c>
      <c r="E66" s="736">
        <f>SUM(E67:E69)</f>
        <v>0</v>
      </c>
      <c r="F66" s="736">
        <f>SUM(F67:F69)</f>
        <v>0</v>
      </c>
      <c r="G66" s="736">
        <f>SUM(G67:G69)</f>
        <v>0</v>
      </c>
    </row>
    <row r="67" spans="1:7" s="661" customFormat="1">
      <c r="A67" s="665" t="s">
        <v>333</v>
      </c>
      <c r="B67" s="666" t="s">
        <v>303</v>
      </c>
      <c r="C67" s="738"/>
      <c r="D67" s="738"/>
      <c r="E67" s="738"/>
      <c r="F67" s="738"/>
      <c r="G67" s="738"/>
    </row>
    <row r="68" spans="1:7" s="661" customFormat="1">
      <c r="A68" s="668" t="s">
        <v>342</v>
      </c>
      <c r="B68" s="669" t="s">
        <v>304</v>
      </c>
      <c r="C68" s="738"/>
      <c r="D68" s="738"/>
      <c r="E68" s="738"/>
      <c r="F68" s="738"/>
      <c r="G68" s="738"/>
    </row>
    <row r="69" spans="1:7" s="661" customFormat="1" ht="16.5" thickBot="1">
      <c r="A69" s="672" t="s">
        <v>343</v>
      </c>
      <c r="B69" s="686" t="s">
        <v>457</v>
      </c>
      <c r="C69" s="738"/>
      <c r="D69" s="738"/>
      <c r="E69" s="738"/>
      <c r="F69" s="738"/>
      <c r="G69" s="738"/>
    </row>
    <row r="70" spans="1:7" s="661" customFormat="1" ht="16.5" thickBot="1">
      <c r="A70" s="685" t="s">
        <v>306</v>
      </c>
      <c r="B70" s="674" t="s">
        <v>307</v>
      </c>
      <c r="C70" s="736">
        <f>SUM(C71:C74)</f>
        <v>0</v>
      </c>
      <c r="D70" s="736">
        <f>SUM(D71:D74)</f>
        <v>0</v>
      </c>
      <c r="E70" s="736">
        <f>SUM(E71:E74)</f>
        <v>0</v>
      </c>
      <c r="F70" s="736">
        <f>SUM(F71:F74)</f>
        <v>0</v>
      </c>
      <c r="G70" s="736">
        <f>SUM(G71:G74)</f>
        <v>0</v>
      </c>
    </row>
    <row r="71" spans="1:7" s="661" customFormat="1">
      <c r="A71" s="665" t="s">
        <v>140</v>
      </c>
      <c r="B71" s="666" t="s">
        <v>308</v>
      </c>
      <c r="C71" s="738"/>
      <c r="D71" s="738"/>
      <c r="E71" s="738"/>
      <c r="F71" s="738"/>
      <c r="G71" s="738"/>
    </row>
    <row r="72" spans="1:7" s="661" customFormat="1">
      <c r="A72" s="668" t="s">
        <v>141</v>
      </c>
      <c r="B72" s="669" t="s">
        <v>309</v>
      </c>
      <c r="C72" s="738"/>
      <c r="D72" s="738"/>
      <c r="E72" s="738"/>
      <c r="F72" s="738"/>
      <c r="G72" s="738"/>
    </row>
    <row r="73" spans="1:7" s="661" customFormat="1">
      <c r="A73" s="668" t="s">
        <v>334</v>
      </c>
      <c r="B73" s="669" t="s">
        <v>310</v>
      </c>
      <c r="C73" s="738"/>
      <c r="D73" s="738"/>
      <c r="E73" s="738"/>
      <c r="F73" s="738"/>
      <c r="G73" s="738"/>
    </row>
    <row r="74" spans="1:7" s="661" customFormat="1" ht="16.5" thickBot="1">
      <c r="A74" s="672" t="s">
        <v>335</v>
      </c>
      <c r="B74" s="673" t="s">
        <v>311</v>
      </c>
      <c r="C74" s="738"/>
      <c r="D74" s="738"/>
      <c r="E74" s="738"/>
      <c r="F74" s="738"/>
      <c r="G74" s="738"/>
    </row>
    <row r="75" spans="1:7" s="661" customFormat="1" ht="16.5" thickBot="1">
      <c r="A75" s="685" t="s">
        <v>312</v>
      </c>
      <c r="B75" s="674" t="s">
        <v>313</v>
      </c>
      <c r="C75" s="736">
        <f>SUM(C76:C77)</f>
        <v>541000000</v>
      </c>
      <c r="D75" s="736">
        <f>SUM(D76:D77)</f>
        <v>541475499</v>
      </c>
      <c r="E75" s="736">
        <f>SUM(E76:E77)</f>
        <v>541475499</v>
      </c>
      <c r="F75" s="736">
        <f>SUM(F76:F77)</f>
        <v>541475499</v>
      </c>
      <c r="G75" s="736">
        <f>SUM(G76:G77)</f>
        <v>541475499</v>
      </c>
    </row>
    <row r="76" spans="1:7" s="661" customFormat="1">
      <c r="A76" s="665" t="s">
        <v>336</v>
      </c>
      <c r="B76" s="666" t="s">
        <v>314</v>
      </c>
      <c r="C76" s="738">
        <f>541000000</f>
        <v>541000000</v>
      </c>
      <c r="D76" s="738">
        <f>541000000+475499</f>
        <v>541475499</v>
      </c>
      <c r="E76" s="738">
        <f>541000000+475499</f>
        <v>541475499</v>
      </c>
      <c r="F76" s="738">
        <f>541000000+475499</f>
        <v>541475499</v>
      </c>
      <c r="G76" s="738">
        <f>541000000+475499</f>
        <v>541475499</v>
      </c>
    </row>
    <row r="77" spans="1:7" s="661" customFormat="1" ht="16.5" thickBot="1">
      <c r="A77" s="672" t="s">
        <v>337</v>
      </c>
      <c r="B77" s="673" t="s">
        <v>315</v>
      </c>
      <c r="C77" s="738"/>
      <c r="D77" s="738"/>
      <c r="E77" s="738"/>
      <c r="F77" s="738"/>
      <c r="G77" s="738"/>
    </row>
    <row r="78" spans="1:7" s="661" customFormat="1" ht="16.5" thickBot="1">
      <c r="A78" s="685" t="s">
        <v>316</v>
      </c>
      <c r="B78" s="674" t="s">
        <v>317</v>
      </c>
      <c r="C78" s="736">
        <f>SUM(C79:C81)</f>
        <v>0</v>
      </c>
      <c r="D78" s="736">
        <f>SUM(D79:D81)</f>
        <v>0</v>
      </c>
      <c r="E78" s="736">
        <f>SUM(E79:E81)</f>
        <v>262090</v>
      </c>
      <c r="F78" s="736">
        <f>SUM(F79:F81)</f>
        <v>262090</v>
      </c>
      <c r="G78" s="736">
        <f>SUM(G79:G81)</f>
        <v>262090</v>
      </c>
    </row>
    <row r="79" spans="1:7" s="661" customFormat="1">
      <c r="A79" s="665" t="s">
        <v>338</v>
      </c>
      <c r="B79" s="666" t="s">
        <v>318</v>
      </c>
      <c r="C79" s="738"/>
      <c r="D79" s="738"/>
      <c r="E79" s="738">
        <f>262090</f>
        <v>262090</v>
      </c>
      <c r="F79" s="738">
        <f>262090</f>
        <v>262090</v>
      </c>
      <c r="G79" s="738">
        <f>262090</f>
        <v>262090</v>
      </c>
    </row>
    <row r="80" spans="1:7" s="661" customFormat="1">
      <c r="A80" s="668" t="s">
        <v>339</v>
      </c>
      <c r="B80" s="669" t="s">
        <v>319</v>
      </c>
      <c r="C80" s="738"/>
      <c r="D80" s="738"/>
      <c r="E80" s="738"/>
      <c r="F80" s="738"/>
      <c r="G80" s="738"/>
    </row>
    <row r="81" spans="1:7" s="661" customFormat="1" ht="16.5" thickBot="1">
      <c r="A81" s="672" t="s">
        <v>340</v>
      </c>
      <c r="B81" s="673" t="s">
        <v>320</v>
      </c>
      <c r="C81" s="738"/>
      <c r="D81" s="738"/>
      <c r="E81" s="738"/>
      <c r="F81" s="738"/>
      <c r="G81" s="738"/>
    </row>
    <row r="82" spans="1:7" s="661" customFormat="1" ht="16.5" thickBot="1">
      <c r="A82" s="685" t="s">
        <v>321</v>
      </c>
      <c r="B82" s="674" t="s">
        <v>341</v>
      </c>
      <c r="C82" s="736">
        <f>SUM(C83:C86)</f>
        <v>0</v>
      </c>
      <c r="D82" s="736">
        <f>SUM(D83:D86)</f>
        <v>0</v>
      </c>
      <c r="E82" s="736">
        <f>SUM(E83:E86)</f>
        <v>0</v>
      </c>
      <c r="F82" s="736">
        <f>SUM(F83:F86)</f>
        <v>0</v>
      </c>
      <c r="G82" s="736">
        <f>SUM(G83:G86)</f>
        <v>0</v>
      </c>
    </row>
    <row r="83" spans="1:7" s="661" customFormat="1">
      <c r="A83" s="687" t="s">
        <v>322</v>
      </c>
      <c r="B83" s="666" t="s">
        <v>323</v>
      </c>
      <c r="C83" s="738"/>
      <c r="D83" s="738"/>
      <c r="E83" s="738"/>
      <c r="F83" s="738"/>
      <c r="G83" s="738"/>
    </row>
    <row r="84" spans="1:7" s="661" customFormat="1">
      <c r="A84" s="688" t="s">
        <v>324</v>
      </c>
      <c r="B84" s="669" t="s">
        <v>325</v>
      </c>
      <c r="C84" s="738"/>
      <c r="D84" s="738"/>
      <c r="E84" s="738"/>
      <c r="F84" s="738"/>
      <c r="G84" s="738"/>
    </row>
    <row r="85" spans="1:7" s="661" customFormat="1">
      <c r="A85" s="688" t="s">
        <v>326</v>
      </c>
      <c r="B85" s="669" t="s">
        <v>327</v>
      </c>
      <c r="C85" s="738"/>
      <c r="D85" s="738"/>
      <c r="E85" s="738"/>
      <c r="F85" s="738"/>
      <c r="G85" s="738"/>
    </row>
    <row r="86" spans="1:7" s="661" customFormat="1" ht="16.5" thickBot="1">
      <c r="A86" s="689" t="s">
        <v>328</v>
      </c>
      <c r="B86" s="673" t="s">
        <v>329</v>
      </c>
      <c r="C86" s="738"/>
      <c r="D86" s="738"/>
      <c r="E86" s="738"/>
      <c r="F86" s="738"/>
      <c r="G86" s="738"/>
    </row>
    <row r="87" spans="1:7" s="661" customFormat="1" ht="16.5" thickBot="1">
      <c r="A87" s="685" t="s">
        <v>330</v>
      </c>
      <c r="B87" s="674" t="s">
        <v>471</v>
      </c>
      <c r="C87" s="741"/>
      <c r="D87" s="741"/>
      <c r="E87" s="741"/>
      <c r="F87" s="741"/>
      <c r="G87" s="741"/>
    </row>
    <row r="88" spans="1:7" s="661" customFormat="1" ht="16.5" thickBot="1">
      <c r="A88" s="685" t="s">
        <v>332</v>
      </c>
      <c r="B88" s="674" t="s">
        <v>331</v>
      </c>
      <c r="C88" s="741"/>
      <c r="D88" s="741"/>
      <c r="E88" s="741"/>
      <c r="F88" s="741"/>
      <c r="G88" s="741"/>
    </row>
    <row r="89" spans="1:7" s="661" customFormat="1" ht="16.5" thickBot="1">
      <c r="A89" s="685" t="s">
        <v>344</v>
      </c>
      <c r="B89" s="691" t="s">
        <v>474</v>
      </c>
      <c r="C89" s="736">
        <f>+C66+C70+C75+C78+C82+C88+C87</f>
        <v>541000000</v>
      </c>
      <c r="D89" s="736">
        <f>+D66+D70+D75+D78+D82+D88+D87</f>
        <v>541475499</v>
      </c>
      <c r="E89" s="736">
        <f>+E66+E70+E75+E78+E82+E88+E87</f>
        <v>541737589</v>
      </c>
      <c r="F89" s="736">
        <f>+F66+F70+F75+F78+F82+F88+F87</f>
        <v>541737589</v>
      </c>
      <c r="G89" s="736">
        <f>+G66+G70+G75+G78+G82+G88+G87</f>
        <v>541737589</v>
      </c>
    </row>
    <row r="90" spans="1:7" s="661" customFormat="1" ht="32.25" thickBot="1">
      <c r="A90" s="692" t="s">
        <v>473</v>
      </c>
      <c r="B90" s="693" t="s">
        <v>475</v>
      </c>
      <c r="C90" s="736">
        <f>C65+C89</f>
        <v>1154843483</v>
      </c>
      <c r="D90" s="736">
        <f>D65+D89</f>
        <v>1162201316</v>
      </c>
      <c r="E90" s="736">
        <f>E65+E89</f>
        <v>1169389407</v>
      </c>
      <c r="F90" s="736">
        <f>F65+F89</f>
        <v>1218550399</v>
      </c>
      <c r="G90" s="736">
        <f>G65+G89</f>
        <v>1490385922</v>
      </c>
    </row>
    <row r="91" spans="1:7" s="661" customFormat="1">
      <c r="A91" s="70"/>
      <c r="B91" s="71"/>
      <c r="C91" s="742"/>
      <c r="D91" s="742"/>
      <c r="E91" s="742"/>
      <c r="F91" s="742"/>
      <c r="G91" s="742"/>
    </row>
    <row r="92" spans="1:7" s="657" customFormat="1">
      <c r="A92" s="789" t="s">
        <v>42</v>
      </c>
      <c r="B92" s="789"/>
      <c r="C92" s="661"/>
      <c r="D92" s="661"/>
      <c r="E92" s="661"/>
      <c r="F92" s="661"/>
      <c r="G92" s="661"/>
    </row>
    <row r="93" spans="1:7" s="657" customFormat="1" ht="16.5" thickBot="1">
      <c r="A93" s="836" t="s">
        <v>143</v>
      </c>
      <c r="B93" s="836"/>
      <c r="C93" s="743" t="s">
        <v>581</v>
      </c>
      <c r="D93" s="743" t="s">
        <v>581</v>
      </c>
      <c r="E93" s="743" t="s">
        <v>581</v>
      </c>
      <c r="F93" s="743" t="s">
        <v>581</v>
      </c>
      <c r="G93" s="743" t="s">
        <v>581</v>
      </c>
    </row>
    <row r="94" spans="1:7" s="657" customFormat="1" ht="48" thickBot="1">
      <c r="A94" s="654" t="s">
        <v>64</v>
      </c>
      <c r="B94" s="655" t="s">
        <v>43</v>
      </c>
      <c r="C94" s="656" t="s">
        <v>690</v>
      </c>
      <c r="D94" s="656" t="s">
        <v>716</v>
      </c>
      <c r="E94" s="656" t="s">
        <v>719</v>
      </c>
      <c r="F94" s="656" t="s">
        <v>729</v>
      </c>
      <c r="G94" s="656" t="s">
        <v>729</v>
      </c>
    </row>
    <row r="95" spans="1:7" s="661" customFormat="1" ht="16.5" thickBot="1">
      <c r="A95" s="654" t="s">
        <v>483</v>
      </c>
      <c r="B95" s="655" t="s">
        <v>484</v>
      </c>
      <c r="C95" s="744" t="s">
        <v>486</v>
      </c>
      <c r="D95" s="744" t="s">
        <v>486</v>
      </c>
      <c r="E95" s="744" t="s">
        <v>486</v>
      </c>
      <c r="F95" s="744" t="s">
        <v>486</v>
      </c>
      <c r="G95" s="744" t="s">
        <v>486</v>
      </c>
    </row>
    <row r="96" spans="1:7" s="657" customFormat="1" ht="16.5" thickBot="1">
      <c r="A96" s="696" t="s">
        <v>14</v>
      </c>
      <c r="B96" s="697" t="s">
        <v>725</v>
      </c>
      <c r="C96" s="698">
        <f>C97+C98+C99+C100+C101+C114</f>
        <v>576038614</v>
      </c>
      <c r="D96" s="698">
        <f>D97+D98+D99+D100+D101+D114</f>
        <v>597896672</v>
      </c>
      <c r="E96" s="698">
        <f>E97+E98+E99+E100+E101+E114</f>
        <v>598326146</v>
      </c>
      <c r="F96" s="698">
        <f>F97+F98+F99+F100+F101+F114</f>
        <v>638575161</v>
      </c>
      <c r="G96" s="698">
        <f>G97+G98+G99+G100+G101+G114</f>
        <v>659941669</v>
      </c>
    </row>
    <row r="97" spans="1:7" s="657" customFormat="1">
      <c r="A97" s="699" t="s">
        <v>93</v>
      </c>
      <c r="B97" s="700" t="s">
        <v>44</v>
      </c>
      <c r="C97" s="701">
        <v>81039317</v>
      </c>
      <c r="D97" s="701">
        <f>81039317+775698+4647201-1006323</f>
        <v>85455893</v>
      </c>
      <c r="E97" s="701">
        <f>85455893+2000000</f>
        <v>87455893</v>
      </c>
      <c r="F97" s="701">
        <f>87455893+365106+1363823+280000+520000+1200000+500000+570710+1000000</f>
        <v>93255532</v>
      </c>
      <c r="G97" s="701">
        <f>87455893+365106+1363823+280000+520000+1200000+500000+570710+1000000+1000000+2100000</f>
        <v>96355532</v>
      </c>
    </row>
    <row r="98" spans="1:7" s="657" customFormat="1">
      <c r="A98" s="668" t="s">
        <v>94</v>
      </c>
      <c r="B98" s="702" t="s">
        <v>172</v>
      </c>
      <c r="C98" s="670">
        <v>17133121</v>
      </c>
      <c r="D98" s="670">
        <f>17133121+75631+453102-98116</f>
        <v>17563738</v>
      </c>
      <c r="E98" s="670">
        <f>17563738+390000</f>
        <v>17953738</v>
      </c>
      <c r="F98" s="670">
        <f>17953738+63894+238669+49000+91000+210000+87500+99876+175000</f>
        <v>18968677</v>
      </c>
      <c r="G98" s="670">
        <f>17953738+63894+238669+49000+91000+210000+87500+99876+175000+385100+370000</f>
        <v>19723777</v>
      </c>
    </row>
    <row r="99" spans="1:7" s="657" customFormat="1">
      <c r="A99" s="668" t="s">
        <v>95</v>
      </c>
      <c r="B99" s="702" t="s">
        <v>131</v>
      </c>
      <c r="C99" s="675">
        <v>263854593</v>
      </c>
      <c r="D99" s="675">
        <f>263854593+215957-127000</f>
        <v>263943550</v>
      </c>
      <c r="E99" s="675">
        <f>263943550+5100+46000-2390000</f>
        <v>261604650</v>
      </c>
      <c r="F99" s="675">
        <f>261604650+100000+803800+205740-205740+209700+500000+70000+317500+2051050+7135000+635000+2000000+3810000+2794000+500000</f>
        <v>282530700</v>
      </c>
      <c r="G99" s="675">
        <f>261604650+100000+803800+205740-205740+209700+500000+70000+317500+2051050+7135000+635000+2000000+3810000+2794000+500000+9125600+163200-1838000+161000+169000-496260-330000+55000-55000-1385100</f>
        <v>288100140</v>
      </c>
    </row>
    <row r="100" spans="1:7" s="657" customFormat="1">
      <c r="A100" s="668" t="s">
        <v>96</v>
      </c>
      <c r="B100" s="703" t="s">
        <v>173</v>
      </c>
      <c r="C100" s="675">
        <v>7330000</v>
      </c>
      <c r="D100" s="675">
        <v>7330000</v>
      </c>
      <c r="E100" s="675">
        <f>7330000+1440000</f>
        <v>8770000</v>
      </c>
      <c r="F100" s="675">
        <f>7330000+1440000</f>
        <v>8770000</v>
      </c>
      <c r="G100" s="675">
        <f>7330000+1440000+2334260</f>
        <v>11104260</v>
      </c>
    </row>
    <row r="101" spans="1:7" s="657" customFormat="1">
      <c r="A101" s="668" t="s">
        <v>107</v>
      </c>
      <c r="B101" s="704" t="s">
        <v>174</v>
      </c>
      <c r="C101" s="675">
        <f>C102+C103+C104+C105+C106+C107+C108+C109+C110+C111+C112+C113</f>
        <v>173511355</v>
      </c>
      <c r="D101" s="675">
        <f>D102+D103+D104+D105+D106+D107+D108+D109+D110+D111+D112+D113</f>
        <v>176463084</v>
      </c>
      <c r="E101" s="675">
        <f>E102+E103+E104+E105+E106+E107+E108+E109+E110+E111+E112+E113</f>
        <v>174478690</v>
      </c>
      <c r="F101" s="675">
        <f>F102+F103+F104+F105+F106+F107+F108+F109+F110+F111+F112+F113</f>
        <v>174328690</v>
      </c>
      <c r="G101" s="675">
        <f>G102+G103+G104+G105+G106+G107+G108+G109+G110+G111+G112+G113</f>
        <v>172087290</v>
      </c>
    </row>
    <row r="102" spans="1:7" s="657" customFormat="1">
      <c r="A102" s="668" t="s">
        <v>97</v>
      </c>
      <c r="B102" s="702" t="s">
        <v>438</v>
      </c>
      <c r="C102" s="675"/>
      <c r="D102" s="675"/>
      <c r="E102" s="675"/>
      <c r="F102" s="675"/>
      <c r="G102" s="675"/>
    </row>
    <row r="103" spans="1:7" s="657" customFormat="1">
      <c r="A103" s="668" t="s">
        <v>98</v>
      </c>
      <c r="B103" s="705" t="s">
        <v>437</v>
      </c>
      <c r="C103" s="675"/>
      <c r="D103" s="675"/>
      <c r="E103" s="675"/>
      <c r="F103" s="675"/>
      <c r="G103" s="675"/>
    </row>
    <row r="104" spans="1:7" s="657" customFormat="1">
      <c r="A104" s="668" t="s">
        <v>108</v>
      </c>
      <c r="B104" s="705" t="s">
        <v>436</v>
      </c>
      <c r="C104" s="675">
        <v>1505503</v>
      </c>
      <c r="D104" s="675">
        <f>1505503+2886754+64975</f>
        <v>4457232</v>
      </c>
      <c r="E104" s="675">
        <f>1505503+2886754+64975</f>
        <v>4457232</v>
      </c>
      <c r="F104" s="675">
        <f>1505503+2886754+64975</f>
        <v>4457232</v>
      </c>
      <c r="G104" s="675">
        <f>1505503+2886754+64975</f>
        <v>4457232</v>
      </c>
    </row>
    <row r="105" spans="1:7" s="657" customFormat="1">
      <c r="A105" s="668" t="s">
        <v>109</v>
      </c>
      <c r="B105" s="706" t="s">
        <v>347</v>
      </c>
      <c r="C105" s="675"/>
      <c r="D105" s="675"/>
      <c r="E105" s="675"/>
      <c r="F105" s="675"/>
      <c r="G105" s="675"/>
    </row>
    <row r="106" spans="1:7" s="657" customFormat="1">
      <c r="A106" s="668" t="s">
        <v>110</v>
      </c>
      <c r="B106" s="707" t="s">
        <v>348</v>
      </c>
      <c r="C106" s="675"/>
      <c r="D106" s="675"/>
      <c r="E106" s="675"/>
      <c r="F106" s="675"/>
      <c r="G106" s="675"/>
    </row>
    <row r="107" spans="1:7" s="657" customFormat="1">
      <c r="A107" s="668" t="s">
        <v>111</v>
      </c>
      <c r="B107" s="707" t="s">
        <v>349</v>
      </c>
      <c r="C107" s="675"/>
      <c r="D107" s="675"/>
      <c r="E107" s="675"/>
      <c r="F107" s="675"/>
      <c r="G107" s="675"/>
    </row>
    <row r="108" spans="1:7" s="657" customFormat="1">
      <c r="A108" s="668" t="s">
        <v>113</v>
      </c>
      <c r="B108" s="706" t="s">
        <v>350</v>
      </c>
      <c r="C108" s="675">
        <v>129940852</v>
      </c>
      <c r="D108" s="675">
        <v>129940852</v>
      </c>
      <c r="E108" s="675">
        <f>129940852-1537199+917805</f>
        <v>129321458</v>
      </c>
      <c r="F108" s="675">
        <f>129940852-1537199+917805</f>
        <v>129321458</v>
      </c>
      <c r="G108" s="675">
        <f>129940852-1537199+917805</f>
        <v>129321458</v>
      </c>
    </row>
    <row r="109" spans="1:7" s="657" customFormat="1">
      <c r="A109" s="668" t="s">
        <v>175</v>
      </c>
      <c r="B109" s="706" t="s">
        <v>351</v>
      </c>
      <c r="C109" s="675"/>
      <c r="D109" s="675"/>
      <c r="E109" s="675"/>
      <c r="F109" s="675"/>
      <c r="G109" s="675"/>
    </row>
    <row r="110" spans="1:7" s="657" customFormat="1">
      <c r="A110" s="668" t="s">
        <v>345</v>
      </c>
      <c r="B110" s="707" t="s">
        <v>352</v>
      </c>
      <c r="C110" s="675"/>
      <c r="D110" s="675"/>
      <c r="E110" s="675"/>
      <c r="F110" s="675"/>
      <c r="G110" s="675"/>
    </row>
    <row r="111" spans="1:7" s="657" customFormat="1">
      <c r="A111" s="708" t="s">
        <v>346</v>
      </c>
      <c r="B111" s="705" t="s">
        <v>353</v>
      </c>
      <c r="C111" s="675"/>
      <c r="D111" s="675"/>
      <c r="E111" s="675"/>
      <c r="F111" s="675"/>
      <c r="G111" s="675"/>
    </row>
    <row r="112" spans="1:7" s="657" customFormat="1">
      <c r="A112" s="668" t="s">
        <v>434</v>
      </c>
      <c r="B112" s="705" t="s">
        <v>354</v>
      </c>
      <c r="C112" s="675"/>
      <c r="D112" s="675"/>
      <c r="E112" s="675"/>
      <c r="F112" s="675"/>
      <c r="G112" s="675"/>
    </row>
    <row r="113" spans="1:7" s="657" customFormat="1">
      <c r="A113" s="672" t="s">
        <v>435</v>
      </c>
      <c r="B113" s="705" t="s">
        <v>355</v>
      </c>
      <c r="C113" s="675">
        <v>42065000</v>
      </c>
      <c r="D113" s="675">
        <v>42065000</v>
      </c>
      <c r="E113" s="675">
        <f>42065000+30000+30000+15000-1440000</f>
        <v>40700000</v>
      </c>
      <c r="F113" s="675">
        <f>42065000+30000+30000+15000-1440000-300000+150000</f>
        <v>40550000</v>
      </c>
      <c r="G113" s="675">
        <f>42065000+30000+30000+15000-1440000-300000+150000-200000-2041400</f>
        <v>38308600</v>
      </c>
    </row>
    <row r="114" spans="1:7" s="657" customFormat="1">
      <c r="A114" s="668" t="s">
        <v>439</v>
      </c>
      <c r="B114" s="703" t="s">
        <v>45</v>
      </c>
      <c r="C114" s="745">
        <f>C115+C117</f>
        <v>33170228</v>
      </c>
      <c r="D114" s="745">
        <f>D115+D117</f>
        <v>47140407</v>
      </c>
      <c r="E114" s="745">
        <f>E115+E117</f>
        <v>48063175</v>
      </c>
      <c r="F114" s="745">
        <f>F115+F117</f>
        <v>60721562</v>
      </c>
      <c r="G114" s="745">
        <f>G115+G117</f>
        <v>72570670</v>
      </c>
    </row>
    <row r="115" spans="1:7" s="657" customFormat="1">
      <c r="A115" s="668" t="s">
        <v>440</v>
      </c>
      <c r="B115" s="702" t="s">
        <v>442</v>
      </c>
      <c r="C115" s="670">
        <v>4078482</v>
      </c>
      <c r="D115" s="670">
        <f>4078482+267920+344876-2631579+1600000+7313613+475499-2886754-64975</f>
        <v>8497082</v>
      </c>
      <c r="E115" s="670">
        <f>8497082+236721+335241+519000+558279+1776671+931523+1537199-2650000+363642+139498-30000-30000-15000+3337921-917805-5100-46000+725120-1368421-300000-190500+316358</f>
        <v>13721429</v>
      </c>
      <c r="F115" s="670">
        <f>13721429+25000+10000-100000-500000+43500-70000-300000-14000-22200+297821+327267-500000-100000-2762886+230000+300000+4316000+3810000+29210000-329000-2021000-7135000-5100-635000-2000000-1270000-3810000-587500-1175000-262000-1219200-2794000-508000-1000000-500000-330315-150000</f>
        <v>22190816</v>
      </c>
      <c r="G115" s="670">
        <f>22190816+390000+312781+215183-311184+287980+1510000-2470000</f>
        <v>22125576</v>
      </c>
    </row>
    <row r="116" spans="1:7" s="657" customFormat="1">
      <c r="A116" s="668"/>
      <c r="B116" s="702" t="s">
        <v>663</v>
      </c>
      <c r="C116" s="675"/>
      <c r="D116" s="675"/>
      <c r="E116" s="675"/>
      <c r="F116" s="675"/>
      <c r="G116" s="675"/>
    </row>
    <row r="117" spans="1:7" s="657" customFormat="1" ht="16.5" thickBot="1">
      <c r="A117" s="668" t="s">
        <v>441</v>
      </c>
      <c r="B117" s="729" t="s">
        <v>443</v>
      </c>
      <c r="C117" s="711">
        <v>29091746</v>
      </c>
      <c r="D117" s="711">
        <f>29091746+2631579-1600000+8520000</f>
        <v>38643325</v>
      </c>
      <c r="E117" s="711">
        <f>38643325-8520000+2650000-100000+1368421+300000</f>
        <v>34341746</v>
      </c>
      <c r="F117" s="711">
        <f>34341746+4189000</f>
        <v>38530746</v>
      </c>
      <c r="G117" s="711">
        <f>34341746+4189000-85652+12000000</f>
        <v>50445094</v>
      </c>
    </row>
    <row r="118" spans="1:7" s="657" customFormat="1" ht="16.5" thickBot="1">
      <c r="A118" s="662" t="s">
        <v>15</v>
      </c>
      <c r="B118" s="746" t="s">
        <v>726</v>
      </c>
      <c r="C118" s="714">
        <f>+C119+C121+C123</f>
        <v>394436461</v>
      </c>
      <c r="D118" s="714">
        <f>+D119+D121+D123</f>
        <v>379936236</v>
      </c>
      <c r="E118" s="714">
        <f>+E119+E121+E123</f>
        <v>381179236</v>
      </c>
      <c r="F118" s="714">
        <f>+F119+F121+F123</f>
        <v>389152468</v>
      </c>
      <c r="G118" s="714">
        <f>+G119+G121+G123</f>
        <v>639553483</v>
      </c>
    </row>
    <row r="119" spans="1:7" s="657" customFormat="1">
      <c r="A119" s="665" t="s">
        <v>99</v>
      </c>
      <c r="B119" s="702" t="s">
        <v>217</v>
      </c>
      <c r="C119" s="667">
        <v>304198564</v>
      </c>
      <c r="D119" s="667">
        <f>304198564-14627225+127000</f>
        <v>289698339</v>
      </c>
      <c r="E119" s="667">
        <f>304198564-14627225+127000+317500+190500</f>
        <v>290206339</v>
      </c>
      <c r="F119" s="667">
        <f>290206339+2790232+300000+14000+22200+500000+1270000+262000+508000</f>
        <v>295872771</v>
      </c>
      <c r="G119" s="667">
        <f>290206339+2790232+300000+14000+22200+500000+1270000+262000+508000+246514227+3601136+85652</f>
        <v>546073786</v>
      </c>
    </row>
    <row r="120" spans="1:7" s="657" customFormat="1">
      <c r="A120" s="665" t="s">
        <v>100</v>
      </c>
      <c r="B120" s="715" t="s">
        <v>359</v>
      </c>
      <c r="C120" s="667"/>
      <c r="D120" s="667"/>
      <c r="E120" s="667"/>
      <c r="F120" s="667"/>
      <c r="G120" s="667"/>
    </row>
    <row r="121" spans="1:7" s="657" customFormat="1">
      <c r="A121" s="665" t="s">
        <v>101</v>
      </c>
      <c r="B121" s="715" t="s">
        <v>176</v>
      </c>
      <c r="C121" s="670">
        <v>89587897</v>
      </c>
      <c r="D121" s="670">
        <v>89587897</v>
      </c>
      <c r="E121" s="670">
        <f>89587897+100000+635000</f>
        <v>90322897</v>
      </c>
      <c r="F121" s="670">
        <f>90322897-317500+100000+1219200</f>
        <v>91324597</v>
      </c>
      <c r="G121" s="670">
        <f>90322897-317500+100000+1219200</f>
        <v>91324597</v>
      </c>
    </row>
    <row r="122" spans="1:7" s="657" customFormat="1">
      <c r="A122" s="665" t="s">
        <v>102</v>
      </c>
      <c r="B122" s="715" t="s">
        <v>360</v>
      </c>
      <c r="C122" s="716"/>
      <c r="D122" s="716"/>
      <c r="E122" s="716"/>
      <c r="F122" s="716"/>
      <c r="G122" s="716"/>
    </row>
    <row r="123" spans="1:7" s="657" customFormat="1">
      <c r="A123" s="665" t="s">
        <v>103</v>
      </c>
      <c r="B123" s="673" t="s">
        <v>219</v>
      </c>
      <c r="C123" s="716">
        <f>C124+C125+C126+C127+C128+C129+C130+C131</f>
        <v>650000</v>
      </c>
      <c r="D123" s="716">
        <f>D124+D125+D126+D127+D128+D129+D130+D131</f>
        <v>650000</v>
      </c>
      <c r="E123" s="716">
        <f>E124+E125+E126+E127+E128+E129+E130+E131</f>
        <v>650000</v>
      </c>
      <c r="F123" s="716">
        <f>F124+F125+F126+F127+F128+F129+F130+F131</f>
        <v>1955100</v>
      </c>
      <c r="G123" s="716">
        <f>G124+G125+G126+G127+G128+G129+G130+G131</f>
        <v>2155100</v>
      </c>
    </row>
    <row r="124" spans="1:7" s="657" customFormat="1">
      <c r="A124" s="665" t="s">
        <v>112</v>
      </c>
      <c r="B124" s="671" t="s">
        <v>422</v>
      </c>
      <c r="C124" s="716"/>
      <c r="D124" s="716"/>
      <c r="E124" s="716"/>
      <c r="F124" s="716"/>
      <c r="G124" s="716"/>
    </row>
    <row r="125" spans="1:7" s="657" customFormat="1">
      <c r="A125" s="665" t="s">
        <v>114</v>
      </c>
      <c r="B125" s="717" t="s">
        <v>365</v>
      </c>
      <c r="C125" s="716"/>
      <c r="D125" s="716"/>
      <c r="E125" s="716"/>
      <c r="F125" s="716"/>
      <c r="G125" s="716"/>
    </row>
    <row r="126" spans="1:7" s="657" customFormat="1">
      <c r="A126" s="665" t="s">
        <v>177</v>
      </c>
      <c r="B126" s="707" t="s">
        <v>349</v>
      </c>
      <c r="C126" s="716"/>
      <c r="D126" s="716"/>
      <c r="E126" s="716"/>
      <c r="F126" s="716"/>
      <c r="G126" s="716"/>
    </row>
    <row r="127" spans="1:7" s="657" customFormat="1">
      <c r="A127" s="665" t="s">
        <v>178</v>
      </c>
      <c r="B127" s="707" t="s">
        <v>364</v>
      </c>
      <c r="C127" s="716"/>
      <c r="D127" s="716"/>
      <c r="E127" s="716"/>
      <c r="F127" s="716">
        <v>5100</v>
      </c>
      <c r="G127" s="716">
        <v>5100</v>
      </c>
    </row>
    <row r="128" spans="1:7" s="657" customFormat="1">
      <c r="A128" s="665" t="s">
        <v>179</v>
      </c>
      <c r="B128" s="707" t="s">
        <v>363</v>
      </c>
      <c r="C128" s="716"/>
      <c r="D128" s="716"/>
      <c r="E128" s="716"/>
      <c r="F128" s="716"/>
      <c r="G128" s="716"/>
    </row>
    <row r="129" spans="1:7" s="657" customFormat="1">
      <c r="A129" s="665" t="s">
        <v>356</v>
      </c>
      <c r="B129" s="707" t="s">
        <v>352</v>
      </c>
      <c r="C129" s="716"/>
      <c r="D129" s="716"/>
      <c r="E129" s="716"/>
      <c r="F129" s="716"/>
      <c r="G129" s="716"/>
    </row>
    <row r="130" spans="1:7" s="657" customFormat="1">
      <c r="A130" s="665" t="s">
        <v>357</v>
      </c>
      <c r="B130" s="707" t="s">
        <v>362</v>
      </c>
      <c r="C130" s="716"/>
      <c r="D130" s="716"/>
      <c r="E130" s="716"/>
      <c r="F130" s="716"/>
      <c r="G130" s="716"/>
    </row>
    <row r="131" spans="1:7" s="657" customFormat="1" ht="16.5" thickBot="1">
      <c r="A131" s="708" t="s">
        <v>358</v>
      </c>
      <c r="B131" s="707" t="s">
        <v>361</v>
      </c>
      <c r="C131" s="718">
        <v>650000</v>
      </c>
      <c r="D131" s="718">
        <v>650000</v>
      </c>
      <c r="E131" s="718">
        <v>650000</v>
      </c>
      <c r="F131" s="718">
        <f>650000+1000000+300000</f>
        <v>1950000</v>
      </c>
      <c r="G131" s="718">
        <f>650000+1000000+300000+200000</f>
        <v>2150000</v>
      </c>
    </row>
    <row r="132" spans="1:7" s="657" customFormat="1" ht="16.5" thickBot="1">
      <c r="A132" s="662" t="s">
        <v>16</v>
      </c>
      <c r="B132" s="719" t="s">
        <v>444</v>
      </c>
      <c r="C132" s="664">
        <f>+C96+C118</f>
        <v>970475075</v>
      </c>
      <c r="D132" s="664">
        <f>+D96+D118</f>
        <v>977832908</v>
      </c>
      <c r="E132" s="664">
        <f>+E96+E118</f>
        <v>979505382</v>
      </c>
      <c r="F132" s="664">
        <f>+F96+F118</f>
        <v>1027727629</v>
      </c>
      <c r="G132" s="664">
        <f>+G96+G118</f>
        <v>1299495152</v>
      </c>
    </row>
    <row r="133" spans="1:7" s="657" customFormat="1" ht="16.5" thickBot="1">
      <c r="A133" s="662" t="s">
        <v>17</v>
      </c>
      <c r="B133" s="719" t="s">
        <v>445</v>
      </c>
      <c r="C133" s="664">
        <f>+C134+C135+C136</f>
        <v>0</v>
      </c>
      <c r="D133" s="664">
        <f>+D134+D135+D136</f>
        <v>0</v>
      </c>
      <c r="E133" s="664">
        <f>+E134+E135+E136</f>
        <v>0</v>
      </c>
      <c r="F133" s="664">
        <f>+F134+F135+F136</f>
        <v>0</v>
      </c>
      <c r="G133" s="664">
        <f>+G134+G135+G136</f>
        <v>0</v>
      </c>
    </row>
    <row r="134" spans="1:7" s="657" customFormat="1">
      <c r="A134" s="665" t="s">
        <v>257</v>
      </c>
      <c r="B134" s="715" t="s">
        <v>452</v>
      </c>
      <c r="C134" s="716"/>
      <c r="D134" s="716"/>
      <c r="E134" s="716"/>
      <c r="F134" s="716"/>
      <c r="G134" s="716"/>
    </row>
    <row r="135" spans="1:7" s="657" customFormat="1">
      <c r="A135" s="665" t="s">
        <v>260</v>
      </c>
      <c r="B135" s="715" t="s">
        <v>453</v>
      </c>
      <c r="C135" s="716"/>
      <c r="D135" s="716"/>
      <c r="E135" s="716"/>
      <c r="F135" s="716"/>
      <c r="G135" s="716"/>
    </row>
    <row r="136" spans="1:7" s="657" customFormat="1" ht="16.5" thickBot="1">
      <c r="A136" s="708" t="s">
        <v>261</v>
      </c>
      <c r="B136" s="715" t="s">
        <v>454</v>
      </c>
      <c r="C136" s="716"/>
      <c r="D136" s="716"/>
      <c r="E136" s="716"/>
      <c r="F136" s="716"/>
      <c r="G136" s="716"/>
    </row>
    <row r="137" spans="1:7" s="657" customFormat="1" ht="16.5" thickBot="1">
      <c r="A137" s="662" t="s">
        <v>18</v>
      </c>
      <c r="B137" s="719" t="s">
        <v>446</v>
      </c>
      <c r="C137" s="664">
        <f>SUM(C138:C143)</f>
        <v>0</v>
      </c>
      <c r="D137" s="664">
        <f>SUM(D138:D143)</f>
        <v>0</v>
      </c>
      <c r="E137" s="664">
        <f>SUM(E138:E143)</f>
        <v>0</v>
      </c>
      <c r="F137" s="664">
        <f>SUM(F138:F143)</f>
        <v>0</v>
      </c>
      <c r="G137" s="664">
        <f>SUM(G138:G143)</f>
        <v>0</v>
      </c>
    </row>
    <row r="138" spans="1:7" s="657" customFormat="1">
      <c r="A138" s="665" t="s">
        <v>86</v>
      </c>
      <c r="B138" s="720" t="s">
        <v>455</v>
      </c>
      <c r="C138" s="716"/>
      <c r="D138" s="716"/>
      <c r="E138" s="716"/>
      <c r="F138" s="716"/>
      <c r="G138" s="716"/>
    </row>
    <row r="139" spans="1:7" s="657" customFormat="1">
      <c r="A139" s="665" t="s">
        <v>87</v>
      </c>
      <c r="B139" s="720" t="s">
        <v>447</v>
      </c>
      <c r="C139" s="716"/>
      <c r="D139" s="716"/>
      <c r="E139" s="716"/>
      <c r="F139" s="716"/>
      <c r="G139" s="716"/>
    </row>
    <row r="140" spans="1:7" s="657" customFormat="1">
      <c r="A140" s="665" t="s">
        <v>88</v>
      </c>
      <c r="B140" s="720" t="s">
        <v>448</v>
      </c>
      <c r="C140" s="716"/>
      <c r="D140" s="716"/>
      <c r="E140" s="716"/>
      <c r="F140" s="716"/>
      <c r="G140" s="716"/>
    </row>
    <row r="141" spans="1:7" s="657" customFormat="1">
      <c r="A141" s="665" t="s">
        <v>164</v>
      </c>
      <c r="B141" s="720" t="s">
        <v>449</v>
      </c>
      <c r="C141" s="716"/>
      <c r="D141" s="716"/>
      <c r="E141" s="716"/>
      <c r="F141" s="716"/>
      <c r="G141" s="716"/>
    </row>
    <row r="142" spans="1:7" s="657" customFormat="1">
      <c r="A142" s="665" t="s">
        <v>165</v>
      </c>
      <c r="B142" s="720" t="s">
        <v>450</v>
      </c>
      <c r="C142" s="716"/>
      <c r="D142" s="716"/>
      <c r="E142" s="716"/>
      <c r="F142" s="716"/>
      <c r="G142" s="716"/>
    </row>
    <row r="143" spans="1:7" s="657" customFormat="1" ht="16.5" thickBot="1">
      <c r="A143" s="708" t="s">
        <v>166</v>
      </c>
      <c r="B143" s="720" t="s">
        <v>451</v>
      </c>
      <c r="C143" s="716"/>
      <c r="D143" s="716"/>
      <c r="E143" s="716"/>
      <c r="F143" s="716"/>
      <c r="G143" s="716"/>
    </row>
    <row r="144" spans="1:7" s="657" customFormat="1" ht="16.5" thickBot="1">
      <c r="A144" s="662" t="s">
        <v>19</v>
      </c>
      <c r="B144" s="719" t="s">
        <v>459</v>
      </c>
      <c r="C144" s="677">
        <f>+C145+C146+C147+C148</f>
        <v>8107720</v>
      </c>
      <c r="D144" s="677">
        <f>+D145+D146+D147+D148</f>
        <v>8107720</v>
      </c>
      <c r="E144" s="677">
        <f>+E145+E146+E147+E148</f>
        <v>8369810</v>
      </c>
      <c r="F144" s="677">
        <f>+F145+F146+F147+F148</f>
        <v>8369810</v>
      </c>
      <c r="G144" s="677">
        <f>+G145+G146+G147+G148</f>
        <v>8369810</v>
      </c>
    </row>
    <row r="145" spans="1:7" s="657" customFormat="1">
      <c r="A145" s="665" t="s">
        <v>89</v>
      </c>
      <c r="B145" s="720" t="s">
        <v>366</v>
      </c>
      <c r="C145" s="716"/>
      <c r="D145" s="716"/>
      <c r="E145" s="716"/>
      <c r="F145" s="716"/>
      <c r="G145" s="716"/>
    </row>
    <row r="146" spans="1:7" s="657" customFormat="1">
      <c r="A146" s="665" t="s">
        <v>90</v>
      </c>
      <c r="B146" s="720" t="s">
        <v>367</v>
      </c>
      <c r="C146" s="716">
        <v>8107720</v>
      </c>
      <c r="D146" s="716">
        <v>8107720</v>
      </c>
      <c r="E146" s="716">
        <f>8107720+262090</f>
        <v>8369810</v>
      </c>
      <c r="F146" s="716">
        <f>8107720+262090</f>
        <v>8369810</v>
      </c>
      <c r="G146" s="716">
        <f>8107720+262090</f>
        <v>8369810</v>
      </c>
    </row>
    <row r="147" spans="1:7" s="657" customFormat="1">
      <c r="A147" s="665" t="s">
        <v>281</v>
      </c>
      <c r="B147" s="720" t="s">
        <v>460</v>
      </c>
      <c r="C147" s="716"/>
      <c r="D147" s="716"/>
      <c r="E147" s="716"/>
      <c r="F147" s="716"/>
      <c r="G147" s="716"/>
    </row>
    <row r="148" spans="1:7" s="657" customFormat="1" ht="16.5" thickBot="1">
      <c r="A148" s="708" t="s">
        <v>282</v>
      </c>
      <c r="B148" s="721" t="s">
        <v>386</v>
      </c>
      <c r="C148" s="716"/>
      <c r="D148" s="716"/>
      <c r="E148" s="716"/>
      <c r="F148" s="716"/>
      <c r="G148" s="716"/>
    </row>
    <row r="149" spans="1:7" s="657" customFormat="1" ht="16.5" thickBot="1">
      <c r="A149" s="662" t="s">
        <v>20</v>
      </c>
      <c r="B149" s="719" t="s">
        <v>461</v>
      </c>
      <c r="C149" s="722">
        <f>SUM(C150:C154)</f>
        <v>0</v>
      </c>
      <c r="D149" s="722">
        <f>SUM(D150:D154)</f>
        <v>0</v>
      </c>
      <c r="E149" s="722">
        <f>SUM(E150:E154)</f>
        <v>0</v>
      </c>
      <c r="F149" s="722">
        <f>SUM(F150:F154)</f>
        <v>0</v>
      </c>
      <c r="G149" s="722">
        <f>SUM(G150:G154)</f>
        <v>0</v>
      </c>
    </row>
    <row r="150" spans="1:7" s="657" customFormat="1">
      <c r="A150" s="665" t="s">
        <v>91</v>
      </c>
      <c r="B150" s="720" t="s">
        <v>456</v>
      </c>
      <c r="C150" s="716"/>
      <c r="D150" s="716"/>
      <c r="E150" s="716"/>
      <c r="F150" s="716"/>
      <c r="G150" s="716"/>
    </row>
    <row r="151" spans="1:7" s="657" customFormat="1">
      <c r="A151" s="665" t="s">
        <v>92</v>
      </c>
      <c r="B151" s="720" t="s">
        <v>463</v>
      </c>
      <c r="C151" s="716"/>
      <c r="D151" s="716"/>
      <c r="E151" s="716"/>
      <c r="F151" s="716"/>
      <c r="G151" s="716"/>
    </row>
    <row r="152" spans="1:7" s="657" customFormat="1">
      <c r="A152" s="665" t="s">
        <v>293</v>
      </c>
      <c r="B152" s="720" t="s">
        <v>458</v>
      </c>
      <c r="C152" s="716"/>
      <c r="D152" s="716"/>
      <c r="E152" s="716"/>
      <c r="F152" s="716"/>
      <c r="G152" s="716"/>
    </row>
    <row r="153" spans="1:7" s="657" customFormat="1">
      <c r="A153" s="665" t="s">
        <v>294</v>
      </c>
      <c r="B153" s="720" t="s">
        <v>464</v>
      </c>
      <c r="C153" s="716"/>
      <c r="D153" s="716"/>
      <c r="E153" s="716"/>
      <c r="F153" s="716"/>
      <c r="G153" s="716"/>
    </row>
    <row r="154" spans="1:7" s="657" customFormat="1" ht="16.5" thickBot="1">
      <c r="A154" s="665" t="s">
        <v>462</v>
      </c>
      <c r="B154" s="720" t="s">
        <v>465</v>
      </c>
      <c r="C154" s="716"/>
      <c r="D154" s="716"/>
      <c r="E154" s="716"/>
      <c r="F154" s="716"/>
      <c r="G154" s="716"/>
    </row>
    <row r="155" spans="1:7" s="657" customFormat="1" ht="16.5" thickBot="1">
      <c r="A155" s="662" t="s">
        <v>21</v>
      </c>
      <c r="B155" s="719" t="s">
        <v>466</v>
      </c>
      <c r="C155" s="723"/>
      <c r="D155" s="723"/>
      <c r="E155" s="723"/>
      <c r="F155" s="723"/>
      <c r="G155" s="723"/>
    </row>
    <row r="156" spans="1:7" s="657" customFormat="1" ht="16.5" thickBot="1">
      <c r="A156" s="662" t="s">
        <v>22</v>
      </c>
      <c r="B156" s="719" t="s">
        <v>541</v>
      </c>
      <c r="C156" s="723">
        <v>176260688</v>
      </c>
      <c r="D156" s="723">
        <v>176260688</v>
      </c>
      <c r="E156" s="723">
        <f>176260688-558279+5811806</f>
        <v>181514215</v>
      </c>
      <c r="F156" s="723">
        <f>176260688-558279+5811806-25000-10000+350000+623745</f>
        <v>182452960</v>
      </c>
      <c r="G156" s="723">
        <f>176260688-558279+5811806-25000-10000+350000+623745+458000-390000</f>
        <v>182520960</v>
      </c>
    </row>
    <row r="157" spans="1:7" s="657" customFormat="1" ht="16.5" thickBot="1">
      <c r="A157" s="662" t="s">
        <v>23</v>
      </c>
      <c r="B157" s="719" t="s">
        <v>469</v>
      </c>
      <c r="C157" s="724">
        <f>+C133+C137+C144+C149+C155+C156</f>
        <v>184368408</v>
      </c>
      <c r="D157" s="724">
        <f>+D133+D137+D144+D149+D155+D156</f>
        <v>184368408</v>
      </c>
      <c r="E157" s="724">
        <f>+E133+E137+E144+E149+E155+E156</f>
        <v>189884025</v>
      </c>
      <c r="F157" s="724">
        <f>+F133+F137+F144+F149+F155+F156</f>
        <v>190822770</v>
      </c>
      <c r="G157" s="724">
        <f>+G133+G137+G144+G149+G155+G156</f>
        <v>190890770</v>
      </c>
    </row>
    <row r="158" spans="1:7" s="661" customFormat="1" ht="16.5" thickBot="1">
      <c r="A158" s="725" t="s">
        <v>24</v>
      </c>
      <c r="B158" s="726" t="s">
        <v>468</v>
      </c>
      <c r="C158" s="724">
        <f>C132+C157</f>
        <v>1154843483</v>
      </c>
      <c r="D158" s="724">
        <f>D132+D157</f>
        <v>1162201316</v>
      </c>
      <c r="E158" s="724">
        <f>E132+E157</f>
        <v>1169389407</v>
      </c>
      <c r="F158" s="724">
        <f>F132+F157</f>
        <v>1218550399</v>
      </c>
      <c r="G158" s="724">
        <f>G132+G157</f>
        <v>1490385922</v>
      </c>
    </row>
    <row r="159" spans="1:7" ht="16.5" thickBot="1">
      <c r="C159" s="747"/>
      <c r="D159" s="747"/>
      <c r="E159" s="747"/>
      <c r="F159" s="747"/>
      <c r="G159" s="747"/>
    </row>
    <row r="160" spans="1:7" ht="16.5" thickBot="1">
      <c r="A160" s="748" t="s">
        <v>510</v>
      </c>
      <c r="B160" s="749"/>
      <c r="C160" s="750">
        <v>20</v>
      </c>
      <c r="D160" s="750">
        <v>20</v>
      </c>
      <c r="E160" s="750">
        <v>20</v>
      </c>
      <c r="F160" s="750">
        <v>20</v>
      </c>
      <c r="G160" s="750">
        <v>20</v>
      </c>
    </row>
    <row r="161" spans="1:7" ht="16.5" thickBot="1">
      <c r="A161" s="748" t="s">
        <v>194</v>
      </c>
      <c r="B161" s="749"/>
      <c r="C161" s="751">
        <v>2</v>
      </c>
      <c r="D161" s="751">
        <f>2+7</f>
        <v>9</v>
      </c>
      <c r="E161" s="751">
        <f>2+7</f>
        <v>9</v>
      </c>
      <c r="F161" s="751">
        <f>2+7</f>
        <v>9</v>
      </c>
      <c r="G161" s="751">
        <f>2+7</f>
        <v>9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81" orientation="landscape" verticalDpi="300" r:id="rId1"/>
  <headerFooter alignWithMargins="0">
    <oddFooter>&amp;P. oldal, összesen: &amp;N</oddFooter>
  </headerFooter>
  <rowBreaks count="5" manualBreakCount="5">
    <brk id="36" max="16383" man="1"/>
    <brk id="65" max="16383" man="1"/>
    <brk id="91" max="16383" man="1"/>
    <brk id="117" max="16383" man="1"/>
    <brk id="13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7030A0"/>
  </sheetPr>
  <dimension ref="A1:H158"/>
  <sheetViews>
    <sheetView zoomScale="96" zoomScaleNormal="96" zoomScaleSheetLayoutView="85" workbookViewId="0">
      <selection activeCell="B1" sqref="B1"/>
    </sheetView>
  </sheetViews>
  <sheetFormatPr defaultRowHeight="15.75"/>
  <cols>
    <col min="1" max="1" width="13.83203125" style="727" bestFit="1" customWidth="1"/>
    <col min="2" max="2" width="72.5" style="653" bestFit="1" customWidth="1"/>
    <col min="3" max="7" width="19.1640625" style="728" bestFit="1" customWidth="1"/>
    <col min="8" max="8" width="9.6640625" style="653" bestFit="1" customWidth="1"/>
    <col min="9" max="16384" width="9.33203125" style="653"/>
  </cols>
  <sheetData>
    <row r="1" spans="1:7" s="100" customFormat="1" ht="16.5" thickBot="1">
      <c r="A1" s="1"/>
      <c r="B1" s="642" t="s">
        <v>761</v>
      </c>
      <c r="C1" s="642"/>
      <c r="D1" s="642"/>
      <c r="E1" s="642"/>
      <c r="F1" s="642"/>
      <c r="G1" s="642"/>
    </row>
    <row r="2" spans="1:7" s="103" customFormat="1" ht="31.5">
      <c r="A2" s="643" t="s">
        <v>56</v>
      </c>
      <c r="B2" s="644" t="s">
        <v>536</v>
      </c>
      <c r="C2" s="645" t="s">
        <v>49</v>
      </c>
      <c r="D2" s="645" t="s">
        <v>49</v>
      </c>
      <c r="E2" s="645" t="s">
        <v>49</v>
      </c>
      <c r="F2" s="645" t="s">
        <v>49</v>
      </c>
      <c r="G2" s="645" t="s">
        <v>49</v>
      </c>
    </row>
    <row r="3" spans="1:7" s="103" customFormat="1" ht="48" thickBot="1">
      <c r="A3" s="772" t="s">
        <v>191</v>
      </c>
      <c r="B3" s="647" t="s">
        <v>423</v>
      </c>
      <c r="C3" s="648" t="s">
        <v>54</v>
      </c>
      <c r="D3" s="648" t="s">
        <v>54</v>
      </c>
      <c r="E3" s="648" t="s">
        <v>54</v>
      </c>
      <c r="F3" s="648" t="s">
        <v>54</v>
      </c>
      <c r="G3" s="648" t="s">
        <v>54</v>
      </c>
    </row>
    <row r="4" spans="1:7" s="103" customFormat="1" ht="16.5" thickBot="1">
      <c r="C4" s="649" t="s">
        <v>581</v>
      </c>
      <c r="D4" s="649" t="s">
        <v>581</v>
      </c>
      <c r="E4" s="649" t="s">
        <v>581</v>
      </c>
      <c r="F4" s="649" t="s">
        <v>581</v>
      </c>
      <c r="G4" s="649" t="s">
        <v>581</v>
      </c>
    </row>
    <row r="5" spans="1:7" ht="16.5" thickBot="1">
      <c r="A5" s="650" t="s">
        <v>193</v>
      </c>
      <c r="B5" s="651" t="s">
        <v>50</v>
      </c>
      <c r="C5" s="652"/>
      <c r="D5" s="652"/>
      <c r="E5" s="652"/>
      <c r="F5" s="652"/>
      <c r="G5" s="652"/>
    </row>
    <row r="6" spans="1:7" s="657" customFormat="1" ht="48" thickBot="1">
      <c r="A6" s="654" t="s">
        <v>64</v>
      </c>
      <c r="B6" s="655" t="s">
        <v>13</v>
      </c>
      <c r="C6" s="656" t="s">
        <v>690</v>
      </c>
      <c r="D6" s="656" t="s">
        <v>716</v>
      </c>
      <c r="E6" s="656" t="s">
        <v>719</v>
      </c>
      <c r="F6" s="656" t="s">
        <v>729</v>
      </c>
      <c r="G6" s="656" t="s">
        <v>750</v>
      </c>
    </row>
    <row r="7" spans="1:7" s="661" customFormat="1" ht="16.5" thickBot="1">
      <c r="A7" s="658" t="s">
        <v>483</v>
      </c>
      <c r="B7" s="659" t="s">
        <v>484</v>
      </c>
      <c r="C7" s="660" t="s">
        <v>485</v>
      </c>
      <c r="D7" s="660" t="s">
        <v>485</v>
      </c>
      <c r="E7" s="660" t="s">
        <v>485</v>
      </c>
      <c r="F7" s="660" t="s">
        <v>485</v>
      </c>
      <c r="G7" s="660" t="s">
        <v>485</v>
      </c>
    </row>
    <row r="8" spans="1:7" s="661" customFormat="1" ht="16.5" thickBot="1">
      <c r="A8" s="662" t="s">
        <v>14</v>
      </c>
      <c r="B8" s="663" t="s">
        <v>241</v>
      </c>
      <c r="C8" s="664">
        <f>+C9+C10+C11+C12+C13+C14</f>
        <v>223966276</v>
      </c>
      <c r="D8" s="664">
        <f>+D9+D10+D11+D12+D13+D14</f>
        <v>233099072</v>
      </c>
      <c r="E8" s="664">
        <f>+E9+E10+E11+E12+E13+E14</f>
        <v>234553676</v>
      </c>
      <c r="F8" s="664">
        <f>+F9+F10+F11+F12+F13+F14</f>
        <v>239005928</v>
      </c>
      <c r="G8" s="664">
        <f>+G9+G10+G11+G12+G13+G14</f>
        <v>260181308</v>
      </c>
    </row>
    <row r="9" spans="1:7" s="661" customFormat="1">
      <c r="A9" s="665" t="s">
        <v>93</v>
      </c>
      <c r="B9" s="666" t="s">
        <v>242</v>
      </c>
      <c r="C9" s="667">
        <v>118506104</v>
      </c>
      <c r="D9" s="667">
        <f>118506104+267920</f>
        <v>118774024</v>
      </c>
      <c r="E9" s="667">
        <f>118774024+335241</f>
        <v>119109265</v>
      </c>
      <c r="F9" s="667">
        <f>118774024+335241+1500000+297821</f>
        <v>120907086</v>
      </c>
      <c r="G9" s="667">
        <f>118774024+335241+1500000+297821+312781</f>
        <v>121219867</v>
      </c>
    </row>
    <row r="10" spans="1:7" s="661" customFormat="1">
      <c r="A10" s="668" t="s">
        <v>94</v>
      </c>
      <c r="B10" s="669" t="s">
        <v>243</v>
      </c>
      <c r="C10" s="670">
        <v>64532484</v>
      </c>
      <c r="D10" s="670">
        <v>64532484</v>
      </c>
      <c r="E10" s="670">
        <f>64532484+363642</f>
        <v>64896126</v>
      </c>
      <c r="F10" s="670">
        <f>64532484+363642+1170000</f>
        <v>66066126</v>
      </c>
      <c r="G10" s="670">
        <f>64532484+363642+1170000-178184</f>
        <v>65887942</v>
      </c>
    </row>
    <row r="11" spans="1:7" s="661" customFormat="1" ht="31.5">
      <c r="A11" s="668" t="s">
        <v>95</v>
      </c>
      <c r="B11" s="669" t="s">
        <v>244</v>
      </c>
      <c r="C11" s="670">
        <v>37842188</v>
      </c>
      <c r="D11" s="670">
        <v>37842188</v>
      </c>
      <c r="E11" s="670">
        <v>37842188</v>
      </c>
      <c r="F11" s="670">
        <f>37842188+160000+1254000-2762886</f>
        <v>36493302</v>
      </c>
      <c r="G11" s="670">
        <f>37842188+160000+1254000-2762886-133000</f>
        <v>36360302</v>
      </c>
    </row>
    <row r="12" spans="1:7" s="661" customFormat="1">
      <c r="A12" s="668" t="s">
        <v>96</v>
      </c>
      <c r="B12" s="669" t="s">
        <v>245</v>
      </c>
      <c r="C12" s="670">
        <v>3085500</v>
      </c>
      <c r="D12" s="670">
        <f>3085500+344876</f>
        <v>3430376</v>
      </c>
      <c r="E12" s="670">
        <f>3085500+344876+519000+236721</f>
        <v>4186097</v>
      </c>
      <c r="F12" s="670">
        <f>4186097+105000+327267</f>
        <v>4618364</v>
      </c>
      <c r="G12" s="670">
        <f>4186097+105000+327267+215183</f>
        <v>4833547</v>
      </c>
    </row>
    <row r="13" spans="1:7" s="661" customFormat="1">
      <c r="A13" s="668" t="s">
        <v>139</v>
      </c>
      <c r="B13" s="671" t="s">
        <v>426</v>
      </c>
      <c r="C13" s="670"/>
      <c r="D13" s="670">
        <f>8520000</f>
        <v>8520000</v>
      </c>
      <c r="E13" s="670">
        <f>8520000</f>
        <v>8520000</v>
      </c>
      <c r="F13" s="670">
        <f>8520000+2051050+350000</f>
        <v>10921050</v>
      </c>
      <c r="G13" s="670">
        <f>8520000+2051050+350000+20958600</f>
        <v>31879650</v>
      </c>
    </row>
    <row r="14" spans="1:7" s="661" customFormat="1" ht="16.5" thickBot="1">
      <c r="A14" s="672" t="s">
        <v>97</v>
      </c>
      <c r="B14" s="673" t="s">
        <v>427</v>
      </c>
      <c r="C14" s="670"/>
      <c r="D14" s="670"/>
      <c r="E14" s="670"/>
      <c r="F14" s="670"/>
      <c r="G14" s="670"/>
    </row>
    <row r="15" spans="1:7" s="661" customFormat="1" ht="32.25" thickBot="1">
      <c r="A15" s="662" t="s">
        <v>15</v>
      </c>
      <c r="B15" s="674" t="s">
        <v>246</v>
      </c>
      <c r="C15" s="664">
        <f>+C16+C17+C18+C19+C20</f>
        <v>75066371</v>
      </c>
      <c r="D15" s="664">
        <f>+D16+D17+D18+D19+D20</f>
        <v>79913564</v>
      </c>
      <c r="E15" s="664">
        <f>+E16+E17+E18+E19+E20</f>
        <v>83707341</v>
      </c>
      <c r="F15" s="664">
        <f>+F16+F17+F18+F19+F20</f>
        <v>87759849</v>
      </c>
      <c r="G15" s="664">
        <f>+G16+G17+G18+G19+G20</f>
        <v>74336629</v>
      </c>
    </row>
    <row r="16" spans="1:7" s="661" customFormat="1">
      <c r="A16" s="665" t="s">
        <v>99</v>
      </c>
      <c r="B16" s="666" t="s">
        <v>247</v>
      </c>
      <c r="C16" s="667"/>
      <c r="D16" s="667"/>
      <c r="E16" s="667">
        <f>139498</f>
        <v>139498</v>
      </c>
      <c r="F16" s="667">
        <f>139498-139498</f>
        <v>0</v>
      </c>
      <c r="G16" s="667">
        <f>139498-139498</f>
        <v>0</v>
      </c>
    </row>
    <row r="17" spans="1:7" s="661" customFormat="1">
      <c r="A17" s="668" t="s">
        <v>100</v>
      </c>
      <c r="B17" s="669" t="s">
        <v>248</v>
      </c>
      <c r="C17" s="670"/>
      <c r="D17" s="670"/>
      <c r="E17" s="670"/>
      <c r="F17" s="670"/>
      <c r="G17" s="670"/>
    </row>
    <row r="18" spans="1:7" s="661" customFormat="1" ht="31.5">
      <c r="A18" s="668" t="s">
        <v>101</v>
      </c>
      <c r="B18" s="669" t="s">
        <v>416</v>
      </c>
      <c r="C18" s="670"/>
      <c r="D18" s="670"/>
      <c r="E18" s="670"/>
      <c r="F18" s="670"/>
      <c r="G18" s="670"/>
    </row>
    <row r="19" spans="1:7" s="661" customFormat="1" ht="31.5">
      <c r="A19" s="668" t="s">
        <v>102</v>
      </c>
      <c r="B19" s="669" t="s">
        <v>417</v>
      </c>
      <c r="C19" s="670"/>
      <c r="D19" s="670"/>
      <c r="E19" s="670"/>
      <c r="F19" s="670"/>
      <c r="G19" s="670"/>
    </row>
    <row r="20" spans="1:7" s="661" customFormat="1">
      <c r="A20" s="668" t="s">
        <v>103</v>
      </c>
      <c r="B20" s="669" t="s">
        <v>249</v>
      </c>
      <c r="C20" s="670">
        <v>75066371</v>
      </c>
      <c r="D20" s="670">
        <f>75066371+695378+4151815</f>
        <v>79913564</v>
      </c>
      <c r="E20" s="670">
        <f>79913564+3337921+316358</f>
        <v>83567843</v>
      </c>
      <c r="F20" s="670">
        <f>83567843+429000+803800+209700+43500+1602492+139498+670586+293430</f>
        <v>87759849</v>
      </c>
      <c r="G20" s="670">
        <f>83567843+429000+803800+209700+43500+1602492+139498+670586+293430+9125600+163200-23000000+287980</f>
        <v>74336629</v>
      </c>
    </row>
    <row r="21" spans="1:7" s="661" customFormat="1" ht="16.5" thickBot="1">
      <c r="A21" s="672" t="s">
        <v>112</v>
      </c>
      <c r="B21" s="673" t="s">
        <v>250</v>
      </c>
      <c r="C21" s="675"/>
      <c r="D21" s="675"/>
      <c r="E21" s="675"/>
      <c r="F21" s="675"/>
      <c r="G21" s="675"/>
    </row>
    <row r="22" spans="1:7" s="661" customFormat="1" ht="32.25" thickBot="1">
      <c r="A22" s="662" t="s">
        <v>16</v>
      </c>
      <c r="B22" s="663" t="s">
        <v>251</v>
      </c>
      <c r="C22" s="664">
        <f>+C23+C24+C25+C26+C27</f>
        <v>39844721</v>
      </c>
      <c r="D22" s="664">
        <f>+D23+D24+D25+D26+D27</f>
        <v>32531109</v>
      </c>
      <c r="E22" s="664">
        <f>+E23+E24+E25+E26+E27</f>
        <v>32531109</v>
      </c>
      <c r="F22" s="664">
        <f>+F23+F24+F25+F26+F27</f>
        <v>35321341</v>
      </c>
      <c r="G22" s="664">
        <f>+G23+G24+G25+G26+G27</f>
        <v>285894704</v>
      </c>
    </row>
    <row r="23" spans="1:7" s="661" customFormat="1">
      <c r="A23" s="665" t="s">
        <v>82</v>
      </c>
      <c r="B23" s="666" t="s">
        <v>252</v>
      </c>
      <c r="C23" s="667"/>
      <c r="D23" s="667"/>
      <c r="E23" s="667"/>
      <c r="F23" s="667"/>
      <c r="G23" s="667"/>
    </row>
    <row r="24" spans="1:7" s="661" customFormat="1">
      <c r="A24" s="668" t="s">
        <v>83</v>
      </c>
      <c r="B24" s="669" t="s">
        <v>253</v>
      </c>
      <c r="C24" s="670"/>
      <c r="D24" s="670"/>
      <c r="E24" s="670"/>
      <c r="F24" s="670"/>
      <c r="G24" s="670"/>
    </row>
    <row r="25" spans="1:7" s="661" customFormat="1" ht="31.5">
      <c r="A25" s="668" t="s">
        <v>84</v>
      </c>
      <c r="B25" s="669" t="s">
        <v>418</v>
      </c>
      <c r="C25" s="670"/>
      <c r="D25" s="670"/>
      <c r="E25" s="670"/>
      <c r="F25" s="670"/>
      <c r="G25" s="670"/>
    </row>
    <row r="26" spans="1:7" s="661" customFormat="1" ht="31.5">
      <c r="A26" s="668" t="s">
        <v>85</v>
      </c>
      <c r="B26" s="669" t="s">
        <v>419</v>
      </c>
      <c r="C26" s="670"/>
      <c r="D26" s="670"/>
      <c r="E26" s="670"/>
      <c r="F26" s="670"/>
      <c r="G26" s="670"/>
    </row>
    <row r="27" spans="1:7" s="661" customFormat="1">
      <c r="A27" s="668" t="s">
        <v>160</v>
      </c>
      <c r="B27" s="669" t="s">
        <v>254</v>
      </c>
      <c r="C27" s="670">
        <v>39844721</v>
      </c>
      <c r="D27" s="670">
        <f>39844721-7313612</f>
        <v>32531109</v>
      </c>
      <c r="E27" s="670">
        <f>39844721-7313612</f>
        <v>32531109</v>
      </c>
      <c r="F27" s="670">
        <f>32531109+2790232</f>
        <v>35321341</v>
      </c>
      <c r="G27" s="670">
        <f>32531109+2790232+458000+246514227+3601136</f>
        <v>285894704</v>
      </c>
    </row>
    <row r="28" spans="1:7" s="661" customFormat="1" ht="16.5" thickBot="1">
      <c r="A28" s="672" t="s">
        <v>161</v>
      </c>
      <c r="B28" s="676" t="s">
        <v>255</v>
      </c>
      <c r="C28" s="675"/>
      <c r="D28" s="675"/>
      <c r="E28" s="675"/>
      <c r="F28" s="675"/>
      <c r="G28" s="675"/>
    </row>
    <row r="29" spans="1:7" s="661" customFormat="1" ht="16.5" thickBot="1">
      <c r="A29" s="662" t="s">
        <v>162</v>
      </c>
      <c r="B29" s="663" t="s">
        <v>256</v>
      </c>
      <c r="C29" s="677">
        <f>+C30+C34+C35+C36</f>
        <v>136700000</v>
      </c>
      <c r="D29" s="677">
        <f>+D30+D34+D35+D36</f>
        <v>136700000</v>
      </c>
      <c r="E29" s="677">
        <f>+E30+E34+E35+E36</f>
        <v>136700000</v>
      </c>
      <c r="F29" s="677">
        <f>+F30+F34+F35+F36</f>
        <v>137000000</v>
      </c>
      <c r="G29" s="677">
        <f>+G30+G34+G35+G36</f>
        <v>149000000</v>
      </c>
    </row>
    <row r="30" spans="1:7" s="661" customFormat="1">
      <c r="A30" s="665" t="s">
        <v>257</v>
      </c>
      <c r="B30" s="666" t="s">
        <v>433</v>
      </c>
      <c r="C30" s="678">
        <f>+C31+C32+C33</f>
        <v>100000000</v>
      </c>
      <c r="D30" s="678">
        <f>+D31+D32+D33</f>
        <v>100000000</v>
      </c>
      <c r="E30" s="678">
        <f>+E31+E32+E33</f>
        <v>100000000</v>
      </c>
      <c r="F30" s="678">
        <f>+F31+F32+F33</f>
        <v>100000000</v>
      </c>
      <c r="G30" s="678">
        <f>+G31+G32+G33</f>
        <v>109740000</v>
      </c>
    </row>
    <row r="31" spans="1:7" s="661" customFormat="1">
      <c r="A31" s="668" t="s">
        <v>258</v>
      </c>
      <c r="B31" s="669" t="s">
        <v>593</v>
      </c>
      <c r="C31" s="670">
        <v>58000000</v>
      </c>
      <c r="D31" s="670">
        <v>58000000</v>
      </c>
      <c r="E31" s="670">
        <v>58000000</v>
      </c>
      <c r="F31" s="670">
        <v>58000000</v>
      </c>
      <c r="G31" s="670">
        <f>58000000+540000</f>
        <v>58540000</v>
      </c>
    </row>
    <row r="32" spans="1:7" s="661" customFormat="1">
      <c r="A32" s="668" t="s">
        <v>259</v>
      </c>
      <c r="B32" s="669" t="s">
        <v>594</v>
      </c>
      <c r="C32" s="670"/>
      <c r="D32" s="670"/>
      <c r="E32" s="670"/>
      <c r="F32" s="670"/>
      <c r="G32" s="670"/>
    </row>
    <row r="33" spans="1:7" s="661" customFormat="1">
      <c r="A33" s="668" t="s">
        <v>431</v>
      </c>
      <c r="B33" s="679" t="s">
        <v>432</v>
      </c>
      <c r="C33" s="670">
        <v>42000000</v>
      </c>
      <c r="D33" s="670">
        <v>42000000</v>
      </c>
      <c r="E33" s="670">
        <v>42000000</v>
      </c>
      <c r="F33" s="670">
        <v>42000000</v>
      </c>
      <c r="G33" s="670">
        <f>42000000+9200000</f>
        <v>51200000</v>
      </c>
    </row>
    <row r="34" spans="1:7" s="661" customFormat="1">
      <c r="A34" s="668" t="s">
        <v>260</v>
      </c>
      <c r="B34" s="669" t="s">
        <v>265</v>
      </c>
      <c r="C34" s="670">
        <v>9000000</v>
      </c>
      <c r="D34" s="670">
        <v>9000000</v>
      </c>
      <c r="E34" s="670">
        <v>9000000</v>
      </c>
      <c r="F34" s="670">
        <v>9000000</v>
      </c>
      <c r="G34" s="670">
        <f>9000000+770000</f>
        <v>9770000</v>
      </c>
    </row>
    <row r="35" spans="1:7" s="661" customFormat="1">
      <c r="A35" s="668" t="s">
        <v>261</v>
      </c>
      <c r="B35" s="669" t="s">
        <v>575</v>
      </c>
      <c r="C35" s="670">
        <v>27500000</v>
      </c>
      <c r="D35" s="670">
        <v>27500000</v>
      </c>
      <c r="E35" s="670">
        <v>27500000</v>
      </c>
      <c r="F35" s="670">
        <v>27500000</v>
      </c>
      <c r="G35" s="670">
        <f>27500000+1290000</f>
        <v>28790000</v>
      </c>
    </row>
    <row r="36" spans="1:7" s="661" customFormat="1" ht="16.5" thickBot="1">
      <c r="A36" s="672" t="s">
        <v>262</v>
      </c>
      <c r="B36" s="676" t="s">
        <v>267</v>
      </c>
      <c r="C36" s="675">
        <v>200000</v>
      </c>
      <c r="D36" s="675">
        <v>200000</v>
      </c>
      <c r="E36" s="675">
        <v>200000</v>
      </c>
      <c r="F36" s="675">
        <f>200000+300000</f>
        <v>500000</v>
      </c>
      <c r="G36" s="675">
        <f>200000+300000+200000</f>
        <v>700000</v>
      </c>
    </row>
    <row r="37" spans="1:7" s="661" customFormat="1" ht="16.5" thickBot="1">
      <c r="A37" s="662" t="s">
        <v>18</v>
      </c>
      <c r="B37" s="663" t="s">
        <v>428</v>
      </c>
      <c r="C37" s="664">
        <f>SUM(C38:C48)</f>
        <v>13513783</v>
      </c>
      <c r="D37" s="664">
        <f>SUM(D38:D48)</f>
        <v>14953679</v>
      </c>
      <c r="E37" s="664">
        <f>SUM(E38:E48)</f>
        <v>15678799</v>
      </c>
      <c r="F37" s="664">
        <f>SUM(F38:F48)</f>
        <v>32192253</v>
      </c>
      <c r="G37" s="664">
        <f>SUM(G38:G48)</f>
        <v>34061803</v>
      </c>
    </row>
    <row r="38" spans="1:7" s="661" customFormat="1">
      <c r="A38" s="665" t="s">
        <v>86</v>
      </c>
      <c r="B38" s="666" t="s">
        <v>270</v>
      </c>
      <c r="C38" s="667"/>
      <c r="D38" s="667"/>
      <c r="E38" s="667"/>
      <c r="F38" s="667"/>
      <c r="G38" s="667"/>
    </row>
    <row r="39" spans="1:7" s="661" customFormat="1">
      <c r="A39" s="668" t="s">
        <v>87</v>
      </c>
      <c r="B39" s="669" t="s">
        <v>271</v>
      </c>
      <c r="C39" s="670">
        <f>4214790+3149606+787402</f>
        <v>8151798</v>
      </c>
      <c r="D39" s="670">
        <f>4214790+3149606+869637+787402+170045+94095</f>
        <v>9285575</v>
      </c>
      <c r="E39" s="670">
        <f>9801575</f>
        <v>9801575</v>
      </c>
      <c r="F39" s="670">
        <f>9801575-1602492+3000000+23000000-280000-520000-1200000-500000-490200-2000000-1000000-3000000-500000-1000000-500000</f>
        <v>23208883</v>
      </c>
      <c r="G39" s="670">
        <f>9801575-1602492+3000000+23000000-280000-520000-1200000-500000-490200-2000000-1000000-3000000-500000-1000000-500000+306000+800000</f>
        <v>24314883</v>
      </c>
    </row>
    <row r="40" spans="1:7" s="661" customFormat="1">
      <c r="A40" s="668" t="s">
        <v>88</v>
      </c>
      <c r="B40" s="669" t="s">
        <v>272</v>
      </c>
      <c r="C40" s="670">
        <v>1650000</v>
      </c>
      <c r="D40" s="670">
        <v>1650000</v>
      </c>
      <c r="E40" s="670">
        <v>1650000</v>
      </c>
      <c r="F40" s="670">
        <v>1650000</v>
      </c>
      <c r="G40" s="670">
        <f>1650000+300000</f>
        <v>1950000</v>
      </c>
    </row>
    <row r="41" spans="1:7" s="661" customFormat="1">
      <c r="A41" s="668" t="s">
        <v>164</v>
      </c>
      <c r="B41" s="669" t="s">
        <v>273</v>
      </c>
      <c r="C41" s="670"/>
      <c r="D41" s="670"/>
      <c r="E41" s="670"/>
      <c r="F41" s="670"/>
      <c r="G41" s="670"/>
    </row>
    <row r="42" spans="1:7" s="661" customFormat="1">
      <c r="A42" s="668" t="s">
        <v>165</v>
      </c>
      <c r="B42" s="669" t="s">
        <v>274</v>
      </c>
      <c r="C42" s="670">
        <f>1500000</f>
        <v>1500000</v>
      </c>
      <c r="D42" s="670">
        <f>1500000</f>
        <v>1500000</v>
      </c>
      <c r="E42" s="670">
        <f>1500000</f>
        <v>1500000</v>
      </c>
      <c r="F42" s="670">
        <f>1500000</f>
        <v>1500000</v>
      </c>
      <c r="G42" s="670">
        <f>1500000+100000</f>
        <v>1600000</v>
      </c>
    </row>
    <row r="43" spans="1:7" s="661" customFormat="1">
      <c r="A43" s="668" t="s">
        <v>166</v>
      </c>
      <c r="B43" s="669" t="s">
        <v>275</v>
      </c>
      <c r="C43" s="670">
        <f>1137993+212598+850394</f>
        <v>2200985</v>
      </c>
      <c r="D43" s="670">
        <f>1137993+850394+212598+234802+45912+25405</f>
        <v>2507104</v>
      </c>
      <c r="E43" s="670">
        <f>2646424</f>
        <v>2646424</v>
      </c>
      <c r="F43" s="670">
        <f>2646424+810000+6210000-49000-91000-210000-135000-6500000-132354-270000-810000-87500-175000</f>
        <v>1206570</v>
      </c>
      <c r="G43" s="670">
        <f>2646424+810000+6210000-49000-91000-210000-135000-6500000-132354-270000-810000-87500-175000+53550+300000</f>
        <v>1560120</v>
      </c>
    </row>
    <row r="44" spans="1:7" s="661" customFormat="1">
      <c r="A44" s="668" t="s">
        <v>167</v>
      </c>
      <c r="B44" s="669" t="s">
        <v>276</v>
      </c>
      <c r="C44" s="670"/>
      <c r="D44" s="670"/>
      <c r="E44" s="670"/>
      <c r="F44" s="670">
        <v>4316000</v>
      </c>
      <c r="G44" s="670">
        <v>4316000</v>
      </c>
    </row>
    <row r="45" spans="1:7" s="661" customFormat="1">
      <c r="A45" s="668" t="s">
        <v>168</v>
      </c>
      <c r="B45" s="669" t="s">
        <v>277</v>
      </c>
      <c r="C45" s="670">
        <f>1000</f>
        <v>1000</v>
      </c>
      <c r="D45" s="670">
        <f>1000</f>
        <v>1000</v>
      </c>
      <c r="E45" s="670">
        <f>1000</f>
        <v>1000</v>
      </c>
      <c r="F45" s="670">
        <f>1000</f>
        <v>1000</v>
      </c>
      <c r="G45" s="670">
        <f>1000</f>
        <v>1000</v>
      </c>
    </row>
    <row r="46" spans="1:7" s="661" customFormat="1">
      <c r="A46" s="668" t="s">
        <v>268</v>
      </c>
      <c r="B46" s="669" t="s">
        <v>278</v>
      </c>
      <c r="C46" s="681"/>
      <c r="D46" s="681"/>
      <c r="E46" s="681"/>
      <c r="F46" s="681"/>
      <c r="G46" s="681"/>
    </row>
    <row r="47" spans="1:7" s="661" customFormat="1">
      <c r="A47" s="672" t="s">
        <v>269</v>
      </c>
      <c r="B47" s="676" t="s">
        <v>430</v>
      </c>
      <c r="C47" s="682"/>
      <c r="D47" s="682"/>
      <c r="E47" s="682"/>
      <c r="F47" s="682"/>
      <c r="G47" s="682"/>
    </row>
    <row r="48" spans="1:7" s="661" customFormat="1" ht="16.5" thickBot="1">
      <c r="A48" s="672" t="s">
        <v>429</v>
      </c>
      <c r="B48" s="673" t="s">
        <v>279</v>
      </c>
      <c r="C48" s="682">
        <f>10000</f>
        <v>10000</v>
      </c>
      <c r="D48" s="682">
        <f>10000</f>
        <v>10000</v>
      </c>
      <c r="E48" s="682">
        <f>10000+69800</f>
        <v>79800</v>
      </c>
      <c r="F48" s="682">
        <f>10000+69800+230000</f>
        <v>309800</v>
      </c>
      <c r="G48" s="682">
        <f>10000+69800+230000+10000</f>
        <v>319800</v>
      </c>
    </row>
    <row r="49" spans="1:7" s="661" customFormat="1" ht="16.5" thickBot="1">
      <c r="A49" s="662" t="s">
        <v>19</v>
      </c>
      <c r="B49" s="663" t="s">
        <v>280</v>
      </c>
      <c r="C49" s="664">
        <f>SUM(C50:C54)</f>
        <v>0</v>
      </c>
      <c r="D49" s="664">
        <f>SUM(D50:D54)</f>
        <v>0</v>
      </c>
      <c r="E49" s="664">
        <f>SUM(E50:E54)</f>
        <v>0</v>
      </c>
      <c r="F49" s="664">
        <f>SUM(F50:F54)</f>
        <v>0</v>
      </c>
      <c r="G49" s="664">
        <f>SUM(G50:G54)</f>
        <v>0</v>
      </c>
    </row>
    <row r="50" spans="1:7" s="661" customFormat="1">
      <c r="A50" s="665" t="s">
        <v>89</v>
      </c>
      <c r="B50" s="666" t="s">
        <v>284</v>
      </c>
      <c r="C50" s="683"/>
      <c r="D50" s="683"/>
      <c r="E50" s="683"/>
      <c r="F50" s="683"/>
      <c r="G50" s="683"/>
    </row>
    <row r="51" spans="1:7" s="661" customFormat="1">
      <c r="A51" s="668" t="s">
        <v>90</v>
      </c>
      <c r="B51" s="669" t="s">
        <v>285</v>
      </c>
      <c r="C51" s="681"/>
      <c r="D51" s="681"/>
      <c r="E51" s="681"/>
      <c r="F51" s="681"/>
      <c r="G51" s="681"/>
    </row>
    <row r="52" spans="1:7" s="661" customFormat="1">
      <c r="A52" s="668" t="s">
        <v>281</v>
      </c>
      <c r="B52" s="669" t="s">
        <v>286</v>
      </c>
      <c r="C52" s="681"/>
      <c r="D52" s="681"/>
      <c r="E52" s="681"/>
      <c r="F52" s="681"/>
      <c r="G52" s="681"/>
    </row>
    <row r="53" spans="1:7" s="661" customFormat="1">
      <c r="A53" s="668" t="s">
        <v>282</v>
      </c>
      <c r="B53" s="669" t="s">
        <v>287</v>
      </c>
      <c r="C53" s="681"/>
      <c r="D53" s="681"/>
      <c r="E53" s="681"/>
      <c r="F53" s="681"/>
      <c r="G53" s="681"/>
    </row>
    <row r="54" spans="1:7" s="661" customFormat="1" ht="16.5" thickBot="1">
      <c r="A54" s="672" t="s">
        <v>283</v>
      </c>
      <c r="B54" s="673" t="s">
        <v>288</v>
      </c>
      <c r="C54" s="682"/>
      <c r="D54" s="682"/>
      <c r="E54" s="682"/>
      <c r="F54" s="682"/>
      <c r="G54" s="682"/>
    </row>
    <row r="55" spans="1:7" s="661" customFormat="1" ht="16.5" thickBot="1">
      <c r="A55" s="662" t="s">
        <v>169</v>
      </c>
      <c r="B55" s="663" t="s">
        <v>289</v>
      </c>
      <c r="C55" s="664">
        <f>SUM(C56:C58)</f>
        <v>505503</v>
      </c>
      <c r="D55" s="664">
        <f>SUM(D56:D58)</f>
        <v>505503</v>
      </c>
      <c r="E55" s="664">
        <f>SUM(E56:E58)</f>
        <v>505503</v>
      </c>
      <c r="F55" s="664">
        <f>SUM(F56:F58)</f>
        <v>505503</v>
      </c>
      <c r="G55" s="664">
        <f>SUM(G56:G58)</f>
        <v>505503</v>
      </c>
    </row>
    <row r="56" spans="1:7" s="661" customFormat="1" ht="31.5">
      <c r="A56" s="665" t="s">
        <v>91</v>
      </c>
      <c r="B56" s="666" t="s">
        <v>290</v>
      </c>
      <c r="C56" s="667"/>
      <c r="D56" s="667"/>
      <c r="E56" s="667"/>
      <c r="F56" s="667"/>
      <c r="G56" s="667"/>
    </row>
    <row r="57" spans="1:7" s="661" customFormat="1" ht="31.5">
      <c r="A57" s="668" t="s">
        <v>92</v>
      </c>
      <c r="B57" s="669" t="s">
        <v>420</v>
      </c>
      <c r="C57" s="670"/>
      <c r="D57" s="670"/>
      <c r="E57" s="670"/>
      <c r="F57" s="670"/>
      <c r="G57" s="670"/>
    </row>
    <row r="58" spans="1:7" s="661" customFormat="1">
      <c r="A58" s="668" t="s">
        <v>293</v>
      </c>
      <c r="B58" s="669" t="s">
        <v>291</v>
      </c>
      <c r="C58" s="670">
        <v>505503</v>
      </c>
      <c r="D58" s="670">
        <v>505503</v>
      </c>
      <c r="E58" s="670">
        <v>505503</v>
      </c>
      <c r="F58" s="670">
        <v>505503</v>
      </c>
      <c r="G58" s="670">
        <v>505503</v>
      </c>
    </row>
    <row r="59" spans="1:7" s="661" customFormat="1" ht="16.5" thickBot="1">
      <c r="A59" s="672" t="s">
        <v>294</v>
      </c>
      <c r="B59" s="673" t="s">
        <v>292</v>
      </c>
      <c r="C59" s="675"/>
      <c r="D59" s="675"/>
      <c r="E59" s="675"/>
      <c r="F59" s="675"/>
      <c r="G59" s="675"/>
    </row>
    <row r="60" spans="1:7" s="661" customFormat="1" ht="16.5" thickBot="1">
      <c r="A60" s="662" t="s">
        <v>21</v>
      </c>
      <c r="B60" s="674" t="s">
        <v>295</v>
      </c>
      <c r="C60" s="664">
        <f>SUM(C61:C63)</f>
        <v>0</v>
      </c>
      <c r="D60" s="664">
        <f>SUM(D61:D63)</f>
        <v>0</v>
      </c>
      <c r="E60" s="664">
        <f>SUM(E61:E63)</f>
        <v>635000</v>
      </c>
      <c r="F60" s="664">
        <f>SUM(F61:F63)</f>
        <v>635000</v>
      </c>
      <c r="G60" s="664">
        <f>SUM(G61:G63)</f>
        <v>635000</v>
      </c>
    </row>
    <row r="61" spans="1:7" s="661" customFormat="1" ht="31.5">
      <c r="A61" s="665" t="s">
        <v>170</v>
      </c>
      <c r="B61" s="666" t="s">
        <v>297</v>
      </c>
      <c r="C61" s="681"/>
      <c r="D61" s="681"/>
      <c r="E61" s="681"/>
      <c r="F61" s="681"/>
      <c r="G61" s="681"/>
    </row>
    <row r="62" spans="1:7" s="661" customFormat="1" ht="31.5">
      <c r="A62" s="668" t="s">
        <v>171</v>
      </c>
      <c r="B62" s="669" t="s">
        <v>421</v>
      </c>
      <c r="C62" s="681"/>
      <c r="D62" s="681"/>
      <c r="E62" s="681"/>
      <c r="F62" s="681"/>
      <c r="G62" s="681"/>
    </row>
    <row r="63" spans="1:7" s="661" customFormat="1">
      <c r="A63" s="668" t="s">
        <v>218</v>
      </c>
      <c r="B63" s="669" t="s">
        <v>298</v>
      </c>
      <c r="C63" s="681"/>
      <c r="D63" s="681"/>
      <c r="E63" s="681">
        <f>635000</f>
        <v>635000</v>
      </c>
      <c r="F63" s="681">
        <f>635000</f>
        <v>635000</v>
      </c>
      <c r="G63" s="681">
        <f>635000</f>
        <v>635000</v>
      </c>
    </row>
    <row r="64" spans="1:7" s="661" customFormat="1" ht="16.5" thickBot="1">
      <c r="A64" s="672" t="s">
        <v>296</v>
      </c>
      <c r="B64" s="673" t="s">
        <v>299</v>
      </c>
      <c r="C64" s="681"/>
      <c r="D64" s="681"/>
      <c r="E64" s="681"/>
      <c r="F64" s="681"/>
      <c r="G64" s="681"/>
    </row>
    <row r="65" spans="1:7" s="661" customFormat="1" ht="16.5" thickBot="1">
      <c r="A65" s="684" t="s">
        <v>472</v>
      </c>
      <c r="B65" s="663" t="s">
        <v>300</v>
      </c>
      <c r="C65" s="677">
        <f>+C8+C15+C22+C29+C37+C49+C55+C60</f>
        <v>489596654</v>
      </c>
      <c r="D65" s="677">
        <f>+D8+D15+D22+D29+D37+D49+D55+D60</f>
        <v>497702927</v>
      </c>
      <c r="E65" s="677">
        <f>+E8+E15+E22+E29+E37+E49+E55+E60</f>
        <v>504311428</v>
      </c>
      <c r="F65" s="677">
        <f>+F8+F15+F22+F29+F37+F49+F55+F60</f>
        <v>532419874</v>
      </c>
      <c r="G65" s="677">
        <f>+G8+G15+G22+G29+G37+G49+G55+G60</f>
        <v>804614947</v>
      </c>
    </row>
    <row r="66" spans="1:7" s="661" customFormat="1" ht="32.25" thickBot="1">
      <c r="A66" s="685" t="s">
        <v>301</v>
      </c>
      <c r="B66" s="674" t="s">
        <v>302</v>
      </c>
      <c r="C66" s="664">
        <f>SUM(C67:C69)</f>
        <v>0</v>
      </c>
      <c r="D66" s="664">
        <f>SUM(D67:D69)</f>
        <v>0</v>
      </c>
      <c r="E66" s="664">
        <f>SUM(E67:E69)</f>
        <v>0</v>
      </c>
      <c r="F66" s="664">
        <f>SUM(F67:F69)</f>
        <v>0</v>
      </c>
      <c r="G66" s="664">
        <f>SUM(G67:G69)</f>
        <v>0</v>
      </c>
    </row>
    <row r="67" spans="1:7" s="661" customFormat="1">
      <c r="A67" s="665" t="s">
        <v>333</v>
      </c>
      <c r="B67" s="666" t="s">
        <v>303</v>
      </c>
      <c r="C67" s="681"/>
      <c r="D67" s="681"/>
      <c r="E67" s="681"/>
      <c r="F67" s="681"/>
      <c r="G67" s="681"/>
    </row>
    <row r="68" spans="1:7" s="661" customFormat="1">
      <c r="A68" s="668" t="s">
        <v>342</v>
      </c>
      <c r="B68" s="669" t="s">
        <v>304</v>
      </c>
      <c r="C68" s="681"/>
      <c r="D68" s="681"/>
      <c r="E68" s="681"/>
      <c r="F68" s="681"/>
      <c r="G68" s="681"/>
    </row>
    <row r="69" spans="1:7" s="661" customFormat="1" ht="16.5" thickBot="1">
      <c r="A69" s="672" t="s">
        <v>343</v>
      </c>
      <c r="B69" s="686" t="s">
        <v>457</v>
      </c>
      <c r="C69" s="681"/>
      <c r="D69" s="681"/>
      <c r="E69" s="681"/>
      <c r="F69" s="681"/>
      <c r="G69" s="681"/>
    </row>
    <row r="70" spans="1:7" s="661" customFormat="1" ht="16.5" thickBot="1">
      <c r="A70" s="685" t="s">
        <v>306</v>
      </c>
      <c r="B70" s="674" t="s">
        <v>307</v>
      </c>
      <c r="C70" s="664">
        <f>SUM(C71:C74)</f>
        <v>0</v>
      </c>
      <c r="D70" s="664">
        <f>SUM(D71:D74)</f>
        <v>0</v>
      </c>
      <c r="E70" s="664">
        <f>SUM(E71:E74)</f>
        <v>0</v>
      </c>
      <c r="F70" s="664">
        <f>SUM(F71:F74)</f>
        <v>0</v>
      </c>
      <c r="G70" s="664">
        <f>SUM(G71:G74)</f>
        <v>0</v>
      </c>
    </row>
    <row r="71" spans="1:7" s="661" customFormat="1">
      <c r="A71" s="665" t="s">
        <v>140</v>
      </c>
      <c r="B71" s="666" t="s">
        <v>308</v>
      </c>
      <c r="C71" s="681"/>
      <c r="D71" s="681"/>
      <c r="E71" s="681"/>
      <c r="F71" s="681"/>
      <c r="G71" s="681"/>
    </row>
    <row r="72" spans="1:7" s="661" customFormat="1">
      <c r="A72" s="668" t="s">
        <v>141</v>
      </c>
      <c r="B72" s="669" t="s">
        <v>309</v>
      </c>
      <c r="C72" s="681"/>
      <c r="D72" s="681"/>
      <c r="E72" s="681"/>
      <c r="F72" s="681"/>
      <c r="G72" s="681"/>
    </row>
    <row r="73" spans="1:7" s="661" customFormat="1">
      <c r="A73" s="668" t="s">
        <v>334</v>
      </c>
      <c r="B73" s="669" t="s">
        <v>310</v>
      </c>
      <c r="C73" s="681"/>
      <c r="D73" s="681"/>
      <c r="E73" s="681"/>
      <c r="F73" s="681"/>
      <c r="G73" s="681"/>
    </row>
    <row r="74" spans="1:7" s="661" customFormat="1" ht="16.5" thickBot="1">
      <c r="A74" s="672" t="s">
        <v>335</v>
      </c>
      <c r="B74" s="673" t="s">
        <v>311</v>
      </c>
      <c r="C74" s="681"/>
      <c r="D74" s="681"/>
      <c r="E74" s="681"/>
      <c r="F74" s="681"/>
      <c r="G74" s="681"/>
    </row>
    <row r="75" spans="1:7" s="661" customFormat="1" ht="16.5" thickBot="1">
      <c r="A75" s="685" t="s">
        <v>312</v>
      </c>
      <c r="B75" s="674" t="s">
        <v>313</v>
      </c>
      <c r="C75" s="664">
        <f>SUM(C76:C77)</f>
        <v>541000000</v>
      </c>
      <c r="D75" s="664">
        <f>SUM(D76:D77)</f>
        <v>541475499</v>
      </c>
      <c r="E75" s="664">
        <f>SUM(E76:E77)</f>
        <v>541475499</v>
      </c>
      <c r="F75" s="664">
        <f>SUM(F76:F77)</f>
        <v>541475499</v>
      </c>
      <c r="G75" s="664">
        <f>SUM(G76:G77)</f>
        <v>541475499</v>
      </c>
    </row>
    <row r="76" spans="1:7" s="661" customFormat="1">
      <c r="A76" s="665" t="s">
        <v>336</v>
      </c>
      <c r="B76" s="666" t="s">
        <v>314</v>
      </c>
      <c r="C76" s="681">
        <v>541000000</v>
      </c>
      <c r="D76" s="681">
        <f>541000000+475499</f>
        <v>541475499</v>
      </c>
      <c r="E76" s="681">
        <f>541000000+475499</f>
        <v>541475499</v>
      </c>
      <c r="F76" s="681">
        <f>541000000+475499</f>
        <v>541475499</v>
      </c>
      <c r="G76" s="681">
        <f>541000000+475499</f>
        <v>541475499</v>
      </c>
    </row>
    <row r="77" spans="1:7" s="661" customFormat="1" ht="16.5" thickBot="1">
      <c r="A77" s="672" t="s">
        <v>337</v>
      </c>
      <c r="B77" s="673" t="s">
        <v>315</v>
      </c>
      <c r="C77" s="681"/>
      <c r="D77" s="681"/>
      <c r="E77" s="681"/>
      <c r="F77" s="681"/>
      <c r="G77" s="681"/>
    </row>
    <row r="78" spans="1:7" s="661" customFormat="1" ht="16.5" thickBot="1">
      <c r="A78" s="685" t="s">
        <v>316</v>
      </c>
      <c r="B78" s="674" t="s">
        <v>317</v>
      </c>
      <c r="C78" s="664">
        <f>SUM(C79:C81)</f>
        <v>0</v>
      </c>
      <c r="D78" s="664">
        <f>SUM(D79:D81)</f>
        <v>0</v>
      </c>
      <c r="E78" s="664">
        <f>SUM(E79:E81)</f>
        <v>262090</v>
      </c>
      <c r="F78" s="664">
        <f>SUM(F79:F81)</f>
        <v>262090</v>
      </c>
      <c r="G78" s="664">
        <f>SUM(G79:G81)</f>
        <v>262090</v>
      </c>
    </row>
    <row r="79" spans="1:7" s="661" customFormat="1">
      <c r="A79" s="665" t="s">
        <v>338</v>
      </c>
      <c r="B79" s="666" t="s">
        <v>318</v>
      </c>
      <c r="C79" s="681"/>
      <c r="D79" s="681"/>
      <c r="E79" s="681">
        <f>262090</f>
        <v>262090</v>
      </c>
      <c r="F79" s="681">
        <f>262090</f>
        <v>262090</v>
      </c>
      <c r="G79" s="681">
        <f>262090</f>
        <v>262090</v>
      </c>
    </row>
    <row r="80" spans="1:7" s="661" customFormat="1">
      <c r="A80" s="668" t="s">
        <v>339</v>
      </c>
      <c r="B80" s="669" t="s">
        <v>319</v>
      </c>
      <c r="C80" s="681"/>
      <c r="D80" s="681"/>
      <c r="E80" s="681"/>
      <c r="F80" s="681"/>
      <c r="G80" s="681"/>
    </row>
    <row r="81" spans="1:8" s="661" customFormat="1" ht="16.5" thickBot="1">
      <c r="A81" s="672" t="s">
        <v>340</v>
      </c>
      <c r="B81" s="673" t="s">
        <v>320</v>
      </c>
      <c r="C81" s="681"/>
      <c r="D81" s="681"/>
      <c r="E81" s="681"/>
      <c r="F81" s="681"/>
      <c r="G81" s="681"/>
    </row>
    <row r="82" spans="1:8" s="661" customFormat="1" ht="16.5" thickBot="1">
      <c r="A82" s="685" t="s">
        <v>321</v>
      </c>
      <c r="B82" s="674" t="s">
        <v>341</v>
      </c>
      <c r="C82" s="664">
        <f>SUM(C83:C86)</f>
        <v>0</v>
      </c>
      <c r="D82" s="664">
        <f>SUM(D83:D86)</f>
        <v>0</v>
      </c>
      <c r="E82" s="664">
        <f>SUM(E83:E86)</f>
        <v>0</v>
      </c>
      <c r="F82" s="664">
        <f>SUM(F83:F86)</f>
        <v>0</v>
      </c>
      <c r="G82" s="664">
        <f>SUM(G83:G86)</f>
        <v>0</v>
      </c>
    </row>
    <row r="83" spans="1:8" s="661" customFormat="1">
      <c r="A83" s="687" t="s">
        <v>322</v>
      </c>
      <c r="B83" s="666" t="s">
        <v>323</v>
      </c>
      <c r="C83" s="681"/>
      <c r="D83" s="681"/>
      <c r="E83" s="681"/>
      <c r="F83" s="681"/>
      <c r="G83" s="681"/>
    </row>
    <row r="84" spans="1:8" s="661" customFormat="1">
      <c r="A84" s="688" t="s">
        <v>324</v>
      </c>
      <c r="B84" s="669" t="s">
        <v>325</v>
      </c>
      <c r="C84" s="681"/>
      <c r="D84" s="681"/>
      <c r="E84" s="681"/>
      <c r="F84" s="681"/>
      <c r="G84" s="681"/>
    </row>
    <row r="85" spans="1:8" s="661" customFormat="1">
      <c r="A85" s="688" t="s">
        <v>326</v>
      </c>
      <c r="B85" s="669" t="s">
        <v>327</v>
      </c>
      <c r="C85" s="681"/>
      <c r="D85" s="681"/>
      <c r="E85" s="681"/>
      <c r="F85" s="681"/>
      <c r="G85" s="681"/>
    </row>
    <row r="86" spans="1:8" s="661" customFormat="1" ht="16.5" thickBot="1">
      <c r="A86" s="689" t="s">
        <v>328</v>
      </c>
      <c r="B86" s="673" t="s">
        <v>329</v>
      </c>
      <c r="C86" s="681"/>
      <c r="D86" s="681"/>
      <c r="E86" s="681"/>
      <c r="F86" s="681"/>
      <c r="G86" s="681"/>
    </row>
    <row r="87" spans="1:8" s="661" customFormat="1" ht="16.5" thickBot="1">
      <c r="A87" s="685" t="s">
        <v>330</v>
      </c>
      <c r="B87" s="674" t="s">
        <v>471</v>
      </c>
      <c r="C87" s="690"/>
      <c r="D87" s="690"/>
      <c r="E87" s="690"/>
      <c r="F87" s="690"/>
      <c r="G87" s="690"/>
    </row>
    <row r="88" spans="1:8" s="661" customFormat="1" ht="32.25" thickBot="1">
      <c r="A88" s="685" t="s">
        <v>332</v>
      </c>
      <c r="B88" s="674" t="s">
        <v>331</v>
      </c>
      <c r="C88" s="690"/>
      <c r="D88" s="690"/>
      <c r="E88" s="690"/>
      <c r="F88" s="690"/>
      <c r="G88" s="690"/>
    </row>
    <row r="89" spans="1:8" s="661" customFormat="1" ht="32.25" thickBot="1">
      <c r="A89" s="685" t="s">
        <v>344</v>
      </c>
      <c r="B89" s="691" t="s">
        <v>474</v>
      </c>
      <c r="C89" s="677">
        <f>+C66+C70+C75+C78+C82+C88+C87</f>
        <v>541000000</v>
      </c>
      <c r="D89" s="677">
        <f>+D66+D70+D75+D78+D82+D88+D87</f>
        <v>541475499</v>
      </c>
      <c r="E89" s="677">
        <f>+E66+E70+E75+E78+E82+E88+E87</f>
        <v>541737589</v>
      </c>
      <c r="F89" s="677">
        <f>+F66+F70+F75+F78+F82+F88+F87</f>
        <v>541737589</v>
      </c>
      <c r="G89" s="677">
        <f>+G66+G70+G75+G78+G82+G88+G87</f>
        <v>541737589</v>
      </c>
    </row>
    <row r="90" spans="1:8" s="661" customFormat="1" ht="32.25" thickBot="1">
      <c r="A90" s="692" t="s">
        <v>473</v>
      </c>
      <c r="B90" s="693" t="s">
        <v>475</v>
      </c>
      <c r="C90" s="677">
        <f>+C65+C89</f>
        <v>1030596654</v>
      </c>
      <c r="D90" s="677">
        <f>+D65+D89</f>
        <v>1039178426</v>
      </c>
      <c r="E90" s="677">
        <f>+E65+E89</f>
        <v>1046049017</v>
      </c>
      <c r="F90" s="677">
        <f>+F65+F89</f>
        <v>1074157463</v>
      </c>
      <c r="G90" s="677">
        <f>+G65+G89</f>
        <v>1346352536</v>
      </c>
      <c r="H90" s="680"/>
    </row>
    <row r="91" spans="1:8" s="661" customFormat="1">
      <c r="A91" s="70"/>
      <c r="B91" s="71"/>
      <c r="C91" s="537"/>
      <c r="D91" s="537"/>
      <c r="E91" s="537"/>
      <c r="F91" s="537"/>
      <c r="G91" s="537"/>
    </row>
    <row r="92" spans="1:8" s="657" customFormat="1">
      <c r="A92" s="789" t="s">
        <v>42</v>
      </c>
      <c r="B92" s="789"/>
    </row>
    <row r="93" spans="1:8" s="657" customFormat="1" ht="16.5" thickBot="1">
      <c r="A93" s="836" t="s">
        <v>143</v>
      </c>
      <c r="B93" s="836"/>
      <c r="C93" s="694"/>
      <c r="D93" s="694"/>
      <c r="E93" s="694"/>
      <c r="F93" s="694"/>
      <c r="G93" s="694"/>
    </row>
    <row r="94" spans="1:8" s="657" customFormat="1" ht="48" thickBot="1">
      <c r="A94" s="654" t="s">
        <v>64</v>
      </c>
      <c r="B94" s="655" t="s">
        <v>43</v>
      </c>
      <c r="C94" s="656" t="s">
        <v>690</v>
      </c>
      <c r="D94" s="656" t="s">
        <v>716</v>
      </c>
      <c r="E94" s="656" t="s">
        <v>719</v>
      </c>
      <c r="F94" s="656" t="s">
        <v>729</v>
      </c>
      <c r="G94" s="656" t="s">
        <v>729</v>
      </c>
    </row>
    <row r="95" spans="1:8" s="661" customFormat="1" ht="16.5" thickBot="1">
      <c r="A95" s="654" t="s">
        <v>483</v>
      </c>
      <c r="B95" s="655" t="s">
        <v>484</v>
      </c>
      <c r="C95" s="695" t="s">
        <v>485</v>
      </c>
      <c r="D95" s="695" t="s">
        <v>485</v>
      </c>
      <c r="E95" s="695" t="s">
        <v>485</v>
      </c>
      <c r="F95" s="695" t="s">
        <v>485</v>
      </c>
      <c r="G95" s="695" t="s">
        <v>485</v>
      </c>
    </row>
    <row r="96" spans="1:8" s="657" customFormat="1" ht="16.5" thickBot="1">
      <c r="A96" s="696" t="s">
        <v>14</v>
      </c>
      <c r="B96" s="697" t="s">
        <v>725</v>
      </c>
      <c r="C96" s="698">
        <f>C97+C98+C99+C100+C101+C114</f>
        <v>476315485</v>
      </c>
      <c r="D96" s="698">
        <f>D97+D98+D99+D100+D101+D114</f>
        <v>499397482</v>
      </c>
      <c r="E96" s="698">
        <f>E97+E98+E99+E100+E101+E114</f>
        <v>499826956</v>
      </c>
      <c r="F96" s="698">
        <f>F97+F98+F99+F100+F101+F114</f>
        <v>520915979</v>
      </c>
      <c r="G96" s="698">
        <f>G97+G98+G99+G100+G101+G114</f>
        <v>542642037</v>
      </c>
    </row>
    <row r="97" spans="1:7" s="657" customFormat="1">
      <c r="A97" s="699" t="s">
        <v>93</v>
      </c>
      <c r="B97" s="700" t="s">
        <v>44</v>
      </c>
      <c r="C97" s="701">
        <f>81039317-'9.1.2. sz. mell '!C97</f>
        <v>67284917</v>
      </c>
      <c r="D97" s="701">
        <f>81039317-'9.1.2. sz. mell '!D97+775698+4647201-1006323</f>
        <v>72807816</v>
      </c>
      <c r="E97" s="701">
        <f>72807816</f>
        <v>72807816</v>
      </c>
      <c r="F97" s="701">
        <f>72807816+365106+570710</f>
        <v>73743632</v>
      </c>
      <c r="G97" s="701">
        <f>72807816+365106+570710+306000+1000000+2100000</f>
        <v>77149632</v>
      </c>
    </row>
    <row r="98" spans="1:7" s="657" customFormat="1">
      <c r="A98" s="668" t="s">
        <v>94</v>
      </c>
      <c r="B98" s="702" t="s">
        <v>172</v>
      </c>
      <c r="C98" s="670">
        <f>17133121-'9.1.2. sz. mell '!C98</f>
        <v>14301577</v>
      </c>
      <c r="D98" s="670">
        <f>17133121-'9.1.2. sz. mell '!D98+75631+453102-98116</f>
        <v>14849810</v>
      </c>
      <c r="E98" s="670">
        <f>14849810</f>
        <v>14849810</v>
      </c>
      <c r="F98" s="670">
        <f>14849810+63894+99876</f>
        <v>15013580</v>
      </c>
      <c r="G98" s="670">
        <f>14849810+63894+99876+53550+385100+370000</f>
        <v>15822230</v>
      </c>
    </row>
    <row r="99" spans="1:7" s="657" customFormat="1">
      <c r="A99" s="668" t="s">
        <v>95</v>
      </c>
      <c r="B99" s="702" t="s">
        <v>131</v>
      </c>
      <c r="C99" s="675">
        <v>180717408</v>
      </c>
      <c r="D99" s="675">
        <f>180717408+215957-127000</f>
        <v>180806365</v>
      </c>
      <c r="E99" s="675">
        <f>180806365+5100+46000</f>
        <v>180857465</v>
      </c>
      <c r="F99" s="675">
        <f>180857465+100000+803800+205740-205740+209700+500000+70000+317500+2051050+635000+2794000</f>
        <v>188338515</v>
      </c>
      <c r="G99" s="675">
        <f>180857465+100000+803800+205740-205740+209700+500000+70000+317500+2051050+635000+2794000+9125600+163200-1838000+161000+169000-496260-330000+55000-55000-1385100</f>
        <v>193907955</v>
      </c>
    </row>
    <row r="100" spans="1:7" s="657" customFormat="1">
      <c r="A100" s="668" t="s">
        <v>96</v>
      </c>
      <c r="B100" s="703" t="s">
        <v>173</v>
      </c>
      <c r="C100" s="675">
        <f>7330000</f>
        <v>7330000</v>
      </c>
      <c r="D100" s="675">
        <f>7330000</f>
        <v>7330000</v>
      </c>
      <c r="E100" s="675">
        <f>7330000+1440000</f>
        <v>8770000</v>
      </c>
      <c r="F100" s="675">
        <f>7330000+1440000</f>
        <v>8770000</v>
      </c>
      <c r="G100" s="675">
        <f>7330000+1440000+2334260</f>
        <v>11104260</v>
      </c>
    </row>
    <row r="101" spans="1:7" s="657" customFormat="1">
      <c r="A101" s="668" t="s">
        <v>107</v>
      </c>
      <c r="B101" s="704" t="s">
        <v>174</v>
      </c>
      <c r="C101" s="675">
        <f>C102+C103+C104+C105+C106+C107+C108+C109+C110+C111+C112+C113</f>
        <v>173511355</v>
      </c>
      <c r="D101" s="675">
        <f>D102+D103+D104+D105+D106+D107+D108+D109+D110+D111+D112+D113</f>
        <v>176463084</v>
      </c>
      <c r="E101" s="675">
        <f>E102+E103+E104+E105+E106+E107+E108+E109+E110+E111+E112+E113</f>
        <v>174478690</v>
      </c>
      <c r="F101" s="675">
        <f>F102+F103+F104+F105+F106+F107+F108+F109+F110+F111+F112+F113</f>
        <v>174328690</v>
      </c>
      <c r="G101" s="675">
        <f>G102+G103+G104+G105+G106+G107+G108+G109+G110+G111+G112+G113</f>
        <v>172087290</v>
      </c>
    </row>
    <row r="102" spans="1:7" s="657" customFormat="1">
      <c r="A102" s="668" t="s">
        <v>97</v>
      </c>
      <c r="B102" s="702" t="s">
        <v>438</v>
      </c>
      <c r="C102" s="675"/>
      <c r="D102" s="675"/>
      <c r="E102" s="675"/>
      <c r="F102" s="675"/>
      <c r="G102" s="675"/>
    </row>
    <row r="103" spans="1:7" s="657" customFormat="1">
      <c r="A103" s="668" t="s">
        <v>98</v>
      </c>
      <c r="B103" s="705" t="s">
        <v>437</v>
      </c>
      <c r="C103" s="675"/>
      <c r="D103" s="675"/>
      <c r="E103" s="675"/>
      <c r="F103" s="675"/>
      <c r="G103" s="675"/>
    </row>
    <row r="104" spans="1:7" s="657" customFormat="1">
      <c r="A104" s="668" t="s">
        <v>108</v>
      </c>
      <c r="B104" s="705" t="s">
        <v>436</v>
      </c>
      <c r="C104" s="675">
        <v>1505503</v>
      </c>
      <c r="D104" s="675">
        <f>1505503+2886754+64975</f>
        <v>4457232</v>
      </c>
      <c r="E104" s="675">
        <f>1505503+2886754+64975</f>
        <v>4457232</v>
      </c>
      <c r="F104" s="675">
        <f>1505503+2886754+64975</f>
        <v>4457232</v>
      </c>
      <c r="G104" s="675">
        <f>1505503+2886754+64975</f>
        <v>4457232</v>
      </c>
    </row>
    <row r="105" spans="1:7" s="657" customFormat="1">
      <c r="A105" s="668" t="s">
        <v>109</v>
      </c>
      <c r="B105" s="706" t="s">
        <v>347</v>
      </c>
      <c r="C105" s="675"/>
      <c r="D105" s="675"/>
      <c r="E105" s="675"/>
      <c r="F105" s="675"/>
      <c r="G105" s="675"/>
    </row>
    <row r="106" spans="1:7" s="657" customFormat="1" ht="31.5">
      <c r="A106" s="668" t="s">
        <v>110</v>
      </c>
      <c r="B106" s="707" t="s">
        <v>348</v>
      </c>
      <c r="C106" s="675"/>
      <c r="D106" s="675"/>
      <c r="E106" s="675"/>
      <c r="F106" s="675"/>
      <c r="G106" s="675"/>
    </row>
    <row r="107" spans="1:7" s="657" customFormat="1" ht="31.5">
      <c r="A107" s="668" t="s">
        <v>111</v>
      </c>
      <c r="B107" s="707" t="s">
        <v>349</v>
      </c>
      <c r="C107" s="675"/>
      <c r="D107" s="675"/>
      <c r="E107" s="675"/>
      <c r="F107" s="675"/>
      <c r="G107" s="675"/>
    </row>
    <row r="108" spans="1:7" s="657" customFormat="1">
      <c r="A108" s="668" t="s">
        <v>113</v>
      </c>
      <c r="B108" s="706" t="s">
        <v>350</v>
      </c>
      <c r="C108" s="675">
        <v>129940852</v>
      </c>
      <c r="D108" s="675">
        <v>129940852</v>
      </c>
      <c r="E108" s="675">
        <f>129940852-1537199+917805</f>
        <v>129321458</v>
      </c>
      <c r="F108" s="675">
        <f>129940852-1537199+917805</f>
        <v>129321458</v>
      </c>
      <c r="G108" s="675">
        <f>129940852-1537199+917805</f>
        <v>129321458</v>
      </c>
    </row>
    <row r="109" spans="1:7" s="657" customFormat="1">
      <c r="A109" s="668" t="s">
        <v>175</v>
      </c>
      <c r="B109" s="706" t="s">
        <v>351</v>
      </c>
      <c r="C109" s="675"/>
      <c r="D109" s="675"/>
      <c r="E109" s="675"/>
      <c r="F109" s="675"/>
      <c r="G109" s="675"/>
    </row>
    <row r="110" spans="1:7" s="657" customFormat="1" ht="31.5">
      <c r="A110" s="668" t="s">
        <v>345</v>
      </c>
      <c r="B110" s="707" t="s">
        <v>352</v>
      </c>
      <c r="C110" s="675"/>
      <c r="D110" s="675"/>
      <c r="E110" s="675"/>
      <c r="F110" s="675"/>
      <c r="G110" s="675"/>
    </row>
    <row r="111" spans="1:7" s="657" customFormat="1">
      <c r="A111" s="708" t="s">
        <v>346</v>
      </c>
      <c r="B111" s="705" t="s">
        <v>353</v>
      </c>
      <c r="C111" s="675"/>
      <c r="D111" s="675"/>
      <c r="E111" s="675"/>
      <c r="F111" s="675"/>
      <c r="G111" s="675"/>
    </row>
    <row r="112" spans="1:7" s="657" customFormat="1">
      <c r="A112" s="668" t="s">
        <v>434</v>
      </c>
      <c r="B112" s="705" t="s">
        <v>354</v>
      </c>
      <c r="C112" s="675"/>
      <c r="D112" s="675"/>
      <c r="E112" s="675"/>
      <c r="F112" s="675"/>
      <c r="G112" s="675"/>
    </row>
    <row r="113" spans="1:7" s="657" customFormat="1" ht="31.5">
      <c r="A113" s="672" t="s">
        <v>435</v>
      </c>
      <c r="B113" s="705" t="s">
        <v>355</v>
      </c>
      <c r="C113" s="675">
        <f>42065000</f>
        <v>42065000</v>
      </c>
      <c r="D113" s="675">
        <f>42065000</f>
        <v>42065000</v>
      </c>
      <c r="E113" s="675">
        <f>42065000+30000+30000+15000-1440000</f>
        <v>40700000</v>
      </c>
      <c r="F113" s="675">
        <f>42065000+30000+30000+15000-1440000-300000+150000</f>
        <v>40550000</v>
      </c>
      <c r="G113" s="675">
        <f>42065000+30000+30000+15000-1440000-300000+150000-200000-2041400</f>
        <v>38308600</v>
      </c>
    </row>
    <row r="114" spans="1:7" s="657" customFormat="1">
      <c r="A114" s="668" t="s">
        <v>439</v>
      </c>
      <c r="B114" s="703" t="s">
        <v>45</v>
      </c>
      <c r="C114" s="670">
        <f>C115+C117</f>
        <v>33170228</v>
      </c>
      <c r="D114" s="670">
        <f>D115+D117</f>
        <v>47140407</v>
      </c>
      <c r="E114" s="670">
        <f>E115+E117</f>
        <v>48063175</v>
      </c>
      <c r="F114" s="670">
        <f>F115+F117</f>
        <v>60721562</v>
      </c>
      <c r="G114" s="670">
        <f>G115+G117</f>
        <v>72570670</v>
      </c>
    </row>
    <row r="115" spans="1:7" s="657" customFormat="1">
      <c r="A115" s="668" t="s">
        <v>440</v>
      </c>
      <c r="B115" s="702" t="s">
        <v>442</v>
      </c>
      <c r="C115" s="670">
        <v>4078482</v>
      </c>
      <c r="D115" s="670">
        <f>4078482+267920+344876-2631579+1600000+7313613+475499-2886754-64975</f>
        <v>8497082</v>
      </c>
      <c r="E115" s="670">
        <f>8497082+236721+335241+519000+558279+1776671+931523+1537199-2650000+363642+139498-30000-30000-15000+3337921-917805-5100-46000+725120-1368421-300000-190500+316358</f>
        <v>13721429</v>
      </c>
      <c r="F115" s="670">
        <f>13721429+25000+10000-100000-500000-70000+43500-300000-14000-22200+297821+327267-500000-100000-2762886+230000+300000+4316000+3810000+29210000-329000-2021000-7135000-5100-635000-2000000-1270000-3810000-587500-1175000-262000-1219200-2794000-508000-1000000-500000-330315-150000</f>
        <v>22190816</v>
      </c>
      <c r="G115" s="670">
        <f>22190816+390000+312781+215183-311184+287980+1510000-2470000</f>
        <v>22125576</v>
      </c>
    </row>
    <row r="116" spans="1:7" s="657" customFormat="1" ht="31.5">
      <c r="A116" s="672"/>
      <c r="B116" s="702" t="s">
        <v>663</v>
      </c>
      <c r="C116" s="675"/>
      <c r="D116" s="675"/>
      <c r="E116" s="675"/>
      <c r="F116" s="675"/>
      <c r="G116" s="675"/>
    </row>
    <row r="117" spans="1:7" s="657" customFormat="1" ht="16.5" thickBot="1">
      <c r="A117" s="709" t="s">
        <v>441</v>
      </c>
      <c r="B117" s="710" t="s">
        <v>443</v>
      </c>
      <c r="C117" s="711">
        <f>29091746</f>
        <v>29091746</v>
      </c>
      <c r="D117" s="711">
        <f>29091746+2631579-1600000+8520000</f>
        <v>38643325</v>
      </c>
      <c r="E117" s="711">
        <f>38643325-8520000+2650000-100000+1368421+300000</f>
        <v>34341746</v>
      </c>
      <c r="F117" s="711">
        <f>34341746+4189000</f>
        <v>38530746</v>
      </c>
      <c r="G117" s="711">
        <f>34341746+4189000-85652+12000000</f>
        <v>50445094</v>
      </c>
    </row>
    <row r="118" spans="1:7" s="657" customFormat="1" ht="16.5" thickBot="1">
      <c r="A118" s="712" t="s">
        <v>15</v>
      </c>
      <c r="B118" s="713" t="s">
        <v>726</v>
      </c>
      <c r="C118" s="714">
        <f>+C119+C121+C123</f>
        <v>369912761</v>
      </c>
      <c r="D118" s="714">
        <f>+D119+D121+D123</f>
        <v>355412536</v>
      </c>
      <c r="E118" s="714">
        <f>+E119+E121+E123</f>
        <v>356338036</v>
      </c>
      <c r="F118" s="714">
        <f>+F119+F121+F123</f>
        <v>362418714</v>
      </c>
      <c r="G118" s="714">
        <f>+G119+G121+G123</f>
        <v>612819729</v>
      </c>
    </row>
    <row r="119" spans="1:7" s="657" customFormat="1">
      <c r="A119" s="665" t="s">
        <v>99</v>
      </c>
      <c r="B119" s="702" t="s">
        <v>217</v>
      </c>
      <c r="C119" s="667">
        <f>304198564-'9.1.2. sz. mell '!C118</f>
        <v>286101064</v>
      </c>
      <c r="D119" s="667">
        <f>304198564-'9.1.2. sz. mell '!D118-14627225+127000</f>
        <v>271600839</v>
      </c>
      <c r="E119" s="667">
        <f>271791339</f>
        <v>271791339</v>
      </c>
      <c r="F119" s="667">
        <f>271791339+2790232+300000+14000+22200+500000-622554+262000+508000</f>
        <v>275565217</v>
      </c>
      <c r="G119" s="667">
        <f>271791339+2790232+300000+14000+22200+500000-622554+262000+508000+246514227+3601136+85652</f>
        <v>525766232</v>
      </c>
    </row>
    <row r="120" spans="1:7" s="657" customFormat="1">
      <c r="A120" s="665" t="s">
        <v>100</v>
      </c>
      <c r="B120" s="715" t="s">
        <v>359</v>
      </c>
      <c r="C120" s="667"/>
      <c r="D120" s="667"/>
      <c r="E120" s="667"/>
      <c r="F120" s="667"/>
      <c r="G120" s="667"/>
    </row>
    <row r="121" spans="1:7" s="657" customFormat="1">
      <c r="A121" s="665" t="s">
        <v>101</v>
      </c>
      <c r="B121" s="715" t="s">
        <v>176</v>
      </c>
      <c r="C121" s="670">
        <f>89587897-'9.1.2. sz. mell '!C120</f>
        <v>83161697</v>
      </c>
      <c r="D121" s="670">
        <f>89587897-'9.1.2. sz. mell '!D120</f>
        <v>83161697</v>
      </c>
      <c r="E121" s="670">
        <f>89587897+100000+635000-'9.1.2. sz. mell '!E120</f>
        <v>83896697</v>
      </c>
      <c r="F121" s="670">
        <f>89587897+100000+635000-317500+100000+1219200-'9.1.2. sz. mell '!F120</f>
        <v>84898397</v>
      </c>
      <c r="G121" s="670">
        <f>89587897+100000+635000-317500+100000+1219200-'9.1.2. sz. mell '!G120</f>
        <v>84898397</v>
      </c>
    </row>
    <row r="122" spans="1:7" s="657" customFormat="1">
      <c r="A122" s="665" t="s">
        <v>102</v>
      </c>
      <c r="B122" s="715" t="s">
        <v>360</v>
      </c>
      <c r="C122" s="716"/>
      <c r="D122" s="716"/>
      <c r="E122" s="716"/>
      <c r="F122" s="716"/>
      <c r="G122" s="716"/>
    </row>
    <row r="123" spans="1:7" s="657" customFormat="1">
      <c r="A123" s="665" t="s">
        <v>103</v>
      </c>
      <c r="B123" s="673" t="s">
        <v>219</v>
      </c>
      <c r="C123" s="716">
        <f>C124+C125+C126+C127+C128+C129+C130+C131</f>
        <v>650000</v>
      </c>
      <c r="D123" s="716">
        <f>D124+D125+D126+D127+D128+D129+D130+D131</f>
        <v>650000</v>
      </c>
      <c r="E123" s="716">
        <f>E124+E125+E126+E127+E128+E129+E130+E131</f>
        <v>650000</v>
      </c>
      <c r="F123" s="716">
        <f>F124+F125+F126+F127+F128+F129+F130+F131</f>
        <v>1955100</v>
      </c>
      <c r="G123" s="716">
        <f>G124+G125+G126+G127+G128+G129+G130+G131</f>
        <v>2155100</v>
      </c>
    </row>
    <row r="124" spans="1:7" s="657" customFormat="1" ht="31.5">
      <c r="A124" s="665" t="s">
        <v>112</v>
      </c>
      <c r="B124" s="671" t="s">
        <v>422</v>
      </c>
      <c r="C124" s="716"/>
      <c r="D124" s="716"/>
      <c r="E124" s="716"/>
      <c r="F124" s="716"/>
      <c r="G124" s="716"/>
    </row>
    <row r="125" spans="1:7" s="657" customFormat="1" ht="31.5">
      <c r="A125" s="665" t="s">
        <v>114</v>
      </c>
      <c r="B125" s="717" t="s">
        <v>365</v>
      </c>
      <c r="C125" s="716"/>
      <c r="D125" s="716"/>
      <c r="E125" s="716"/>
      <c r="F125" s="716"/>
      <c r="G125" s="716"/>
    </row>
    <row r="126" spans="1:7" s="657" customFormat="1" ht="31.5">
      <c r="A126" s="665" t="s">
        <v>177</v>
      </c>
      <c r="B126" s="707" t="s">
        <v>349</v>
      </c>
      <c r="C126" s="716"/>
      <c r="D126" s="716"/>
      <c r="E126" s="716"/>
      <c r="F126" s="716"/>
      <c r="G126" s="716"/>
    </row>
    <row r="127" spans="1:7" s="657" customFormat="1">
      <c r="A127" s="665" t="s">
        <v>178</v>
      </c>
      <c r="B127" s="707" t="s">
        <v>364</v>
      </c>
      <c r="C127" s="716"/>
      <c r="D127" s="716"/>
      <c r="E127" s="716"/>
      <c r="F127" s="716">
        <v>5100</v>
      </c>
      <c r="G127" s="716">
        <v>5100</v>
      </c>
    </row>
    <row r="128" spans="1:7" s="657" customFormat="1">
      <c r="A128" s="665" t="s">
        <v>179</v>
      </c>
      <c r="B128" s="707" t="s">
        <v>363</v>
      </c>
      <c r="C128" s="716"/>
      <c r="D128" s="716"/>
      <c r="E128" s="716"/>
      <c r="F128" s="716"/>
      <c r="G128" s="716"/>
    </row>
    <row r="129" spans="1:7" s="657" customFormat="1" ht="31.5">
      <c r="A129" s="665" t="s">
        <v>356</v>
      </c>
      <c r="B129" s="707" t="s">
        <v>352</v>
      </c>
      <c r="C129" s="716"/>
      <c r="D129" s="716"/>
      <c r="E129" s="716"/>
      <c r="F129" s="716"/>
      <c r="G129" s="716"/>
    </row>
    <row r="130" spans="1:7" s="657" customFormat="1">
      <c r="A130" s="665" t="s">
        <v>357</v>
      </c>
      <c r="B130" s="707" t="s">
        <v>362</v>
      </c>
      <c r="C130" s="716"/>
      <c r="D130" s="716"/>
      <c r="E130" s="716"/>
      <c r="F130" s="716"/>
      <c r="G130" s="716"/>
    </row>
    <row r="131" spans="1:7" s="657" customFormat="1" ht="32.25" thickBot="1">
      <c r="A131" s="708" t="s">
        <v>358</v>
      </c>
      <c r="B131" s="707" t="s">
        <v>361</v>
      </c>
      <c r="C131" s="718">
        <v>650000</v>
      </c>
      <c r="D131" s="718">
        <v>650000</v>
      </c>
      <c r="E131" s="718">
        <v>650000</v>
      </c>
      <c r="F131" s="718">
        <f>650000+1000000+300000</f>
        <v>1950000</v>
      </c>
      <c r="G131" s="718">
        <f>650000+1000000+300000+200000</f>
        <v>2150000</v>
      </c>
    </row>
    <row r="132" spans="1:7" s="657" customFormat="1" ht="16.5" thickBot="1">
      <c r="A132" s="662" t="s">
        <v>16</v>
      </c>
      <c r="B132" s="719" t="s">
        <v>444</v>
      </c>
      <c r="C132" s="664">
        <f>+C96+C118</f>
        <v>846228246</v>
      </c>
      <c r="D132" s="664">
        <f>+D96+D118</f>
        <v>854810018</v>
      </c>
      <c r="E132" s="664">
        <f>+E96+E118</f>
        <v>856164992</v>
      </c>
      <c r="F132" s="664">
        <f>+F96+F118</f>
        <v>883334693</v>
      </c>
      <c r="G132" s="664">
        <f>+G96+G118</f>
        <v>1155461766</v>
      </c>
    </row>
    <row r="133" spans="1:7" s="657" customFormat="1" ht="32.25" thickBot="1">
      <c r="A133" s="662" t="s">
        <v>17</v>
      </c>
      <c r="B133" s="719" t="s">
        <v>445</v>
      </c>
      <c r="C133" s="664">
        <f>+C134+C135+C136</f>
        <v>0</v>
      </c>
      <c r="D133" s="664">
        <f>+D134+D135+D136</f>
        <v>0</v>
      </c>
      <c r="E133" s="664">
        <f>+E134+E135+E136</f>
        <v>0</v>
      </c>
      <c r="F133" s="664">
        <f>+F134+F135+F136</f>
        <v>0</v>
      </c>
      <c r="G133" s="664">
        <f>+G134+G135+G136</f>
        <v>0</v>
      </c>
    </row>
    <row r="134" spans="1:7" s="657" customFormat="1" ht="31.5">
      <c r="A134" s="665" t="s">
        <v>257</v>
      </c>
      <c r="B134" s="715" t="s">
        <v>452</v>
      </c>
      <c r="C134" s="716"/>
      <c r="D134" s="716"/>
      <c r="E134" s="716"/>
      <c r="F134" s="716"/>
      <c r="G134" s="716"/>
    </row>
    <row r="135" spans="1:7" s="657" customFormat="1" ht="31.5">
      <c r="A135" s="665" t="s">
        <v>260</v>
      </c>
      <c r="B135" s="715" t="s">
        <v>453</v>
      </c>
      <c r="C135" s="716"/>
      <c r="D135" s="716"/>
      <c r="E135" s="716"/>
      <c r="F135" s="716"/>
      <c r="G135" s="716"/>
    </row>
    <row r="136" spans="1:7" s="657" customFormat="1" ht="32.25" thickBot="1">
      <c r="A136" s="708" t="s">
        <v>261</v>
      </c>
      <c r="B136" s="715" t="s">
        <v>454</v>
      </c>
      <c r="C136" s="716"/>
      <c r="D136" s="716"/>
      <c r="E136" s="716"/>
      <c r="F136" s="716"/>
      <c r="G136" s="716"/>
    </row>
    <row r="137" spans="1:7" s="657" customFormat="1" ht="16.5" thickBot="1">
      <c r="A137" s="662" t="s">
        <v>18</v>
      </c>
      <c r="B137" s="719" t="s">
        <v>446</v>
      </c>
      <c r="C137" s="664">
        <f>SUM(C138:C143)</f>
        <v>0</v>
      </c>
      <c r="D137" s="664">
        <f>SUM(D138:D143)</f>
        <v>0</v>
      </c>
      <c r="E137" s="664">
        <f>SUM(E138:E143)</f>
        <v>0</v>
      </c>
      <c r="F137" s="664">
        <f>SUM(F138:F143)</f>
        <v>0</v>
      </c>
      <c r="G137" s="664">
        <f>SUM(G138:G143)</f>
        <v>0</v>
      </c>
    </row>
    <row r="138" spans="1:7" s="657" customFormat="1">
      <c r="A138" s="665" t="s">
        <v>86</v>
      </c>
      <c r="B138" s="720" t="s">
        <v>455</v>
      </c>
      <c r="C138" s="716"/>
      <c r="D138" s="716"/>
      <c r="E138" s="716"/>
      <c r="F138" s="716"/>
      <c r="G138" s="716"/>
    </row>
    <row r="139" spans="1:7" s="657" customFormat="1">
      <c r="A139" s="665" t="s">
        <v>87</v>
      </c>
      <c r="B139" s="720" t="s">
        <v>447</v>
      </c>
      <c r="C139" s="716"/>
      <c r="D139" s="716"/>
      <c r="E139" s="716"/>
      <c r="F139" s="716"/>
      <c r="G139" s="716"/>
    </row>
    <row r="140" spans="1:7" s="657" customFormat="1">
      <c r="A140" s="665" t="s">
        <v>88</v>
      </c>
      <c r="B140" s="720" t="s">
        <v>448</v>
      </c>
      <c r="C140" s="716"/>
      <c r="D140" s="716"/>
      <c r="E140" s="716"/>
      <c r="F140" s="716"/>
      <c r="G140" s="716"/>
    </row>
    <row r="141" spans="1:7" s="657" customFormat="1">
      <c r="A141" s="665" t="s">
        <v>164</v>
      </c>
      <c r="B141" s="720" t="s">
        <v>449</v>
      </c>
      <c r="C141" s="716"/>
      <c r="D141" s="716"/>
      <c r="E141" s="716"/>
      <c r="F141" s="716"/>
      <c r="G141" s="716"/>
    </row>
    <row r="142" spans="1:7" s="657" customFormat="1">
      <c r="A142" s="665" t="s">
        <v>165</v>
      </c>
      <c r="B142" s="720" t="s">
        <v>450</v>
      </c>
      <c r="C142" s="716"/>
      <c r="D142" s="716"/>
      <c r="E142" s="716"/>
      <c r="F142" s="716"/>
      <c r="G142" s="716"/>
    </row>
    <row r="143" spans="1:7" s="657" customFormat="1" ht="16.5" thickBot="1">
      <c r="A143" s="708" t="s">
        <v>166</v>
      </c>
      <c r="B143" s="720" t="s">
        <v>451</v>
      </c>
      <c r="C143" s="716"/>
      <c r="D143" s="716"/>
      <c r="E143" s="716"/>
      <c r="F143" s="716"/>
      <c r="G143" s="716"/>
    </row>
    <row r="144" spans="1:7" s="657" customFormat="1" ht="16.5" thickBot="1">
      <c r="A144" s="662" t="s">
        <v>19</v>
      </c>
      <c r="B144" s="719" t="s">
        <v>459</v>
      </c>
      <c r="C144" s="677">
        <f>+C145+C146+C147+C148</f>
        <v>8107720</v>
      </c>
      <c r="D144" s="677">
        <f>+D145+D146+D147+D148</f>
        <v>8107720</v>
      </c>
      <c r="E144" s="677">
        <f>+E145+E146+E147+E148</f>
        <v>8369810</v>
      </c>
      <c r="F144" s="677">
        <f>+F145+F146+F147+F148</f>
        <v>8369810</v>
      </c>
      <c r="G144" s="677">
        <f>+G145+G146+G147+G148</f>
        <v>8369810</v>
      </c>
    </row>
    <row r="145" spans="1:8" s="657" customFormat="1">
      <c r="A145" s="665" t="s">
        <v>89</v>
      </c>
      <c r="B145" s="720" t="s">
        <v>366</v>
      </c>
      <c r="C145" s="716"/>
      <c r="D145" s="716"/>
      <c r="E145" s="716"/>
      <c r="F145" s="716"/>
      <c r="G145" s="716"/>
    </row>
    <row r="146" spans="1:8" s="657" customFormat="1">
      <c r="A146" s="665" t="s">
        <v>90</v>
      </c>
      <c r="B146" s="720" t="s">
        <v>367</v>
      </c>
      <c r="C146" s="716">
        <f>8107720</f>
        <v>8107720</v>
      </c>
      <c r="D146" s="716">
        <f>8107720</f>
        <v>8107720</v>
      </c>
      <c r="E146" s="716">
        <f>8107720+262090</f>
        <v>8369810</v>
      </c>
      <c r="F146" s="716">
        <f>8107720+262090</f>
        <v>8369810</v>
      </c>
      <c r="G146" s="716">
        <f>8107720+262090</f>
        <v>8369810</v>
      </c>
    </row>
    <row r="147" spans="1:8" s="657" customFormat="1">
      <c r="A147" s="665" t="s">
        <v>281</v>
      </c>
      <c r="B147" s="720" t="s">
        <v>460</v>
      </c>
      <c r="C147" s="716"/>
      <c r="D147" s="716"/>
      <c r="E147" s="716"/>
      <c r="F147" s="716"/>
      <c r="G147" s="716"/>
    </row>
    <row r="148" spans="1:8" s="657" customFormat="1" ht="16.5" thickBot="1">
      <c r="A148" s="708" t="s">
        <v>282</v>
      </c>
      <c r="B148" s="721" t="s">
        <v>386</v>
      </c>
      <c r="C148" s="716"/>
      <c r="D148" s="716"/>
      <c r="E148" s="716"/>
      <c r="F148" s="716"/>
      <c r="G148" s="716"/>
    </row>
    <row r="149" spans="1:8" s="657" customFormat="1" ht="16.5" thickBot="1">
      <c r="A149" s="662" t="s">
        <v>20</v>
      </c>
      <c r="B149" s="719" t="s">
        <v>461</v>
      </c>
      <c r="C149" s="722">
        <f>SUM(C150:C154)</f>
        <v>0</v>
      </c>
      <c r="D149" s="722">
        <f>SUM(D150:D154)</f>
        <v>0</v>
      </c>
      <c r="E149" s="722">
        <f>SUM(E150:E154)</f>
        <v>0</v>
      </c>
      <c r="F149" s="722">
        <f>SUM(F150:F154)</f>
        <v>0</v>
      </c>
      <c r="G149" s="722">
        <f>SUM(G150:G154)</f>
        <v>0</v>
      </c>
    </row>
    <row r="150" spans="1:8" s="657" customFormat="1">
      <c r="A150" s="665" t="s">
        <v>91</v>
      </c>
      <c r="B150" s="720" t="s">
        <v>456</v>
      </c>
      <c r="C150" s="716"/>
      <c r="D150" s="716"/>
      <c r="E150" s="716"/>
      <c r="F150" s="716"/>
      <c r="G150" s="716"/>
    </row>
    <row r="151" spans="1:8" s="657" customFormat="1">
      <c r="A151" s="665" t="s">
        <v>92</v>
      </c>
      <c r="B151" s="720" t="s">
        <v>463</v>
      </c>
      <c r="C151" s="716"/>
      <c r="D151" s="716"/>
      <c r="E151" s="716"/>
      <c r="F151" s="716"/>
      <c r="G151" s="716"/>
    </row>
    <row r="152" spans="1:8" s="657" customFormat="1">
      <c r="A152" s="665" t="s">
        <v>293</v>
      </c>
      <c r="B152" s="720" t="s">
        <v>458</v>
      </c>
      <c r="C152" s="716"/>
      <c r="D152" s="716"/>
      <c r="E152" s="716"/>
      <c r="F152" s="716"/>
      <c r="G152" s="716"/>
    </row>
    <row r="153" spans="1:8" s="657" customFormat="1" ht="31.5">
      <c r="A153" s="665" t="s">
        <v>294</v>
      </c>
      <c r="B153" s="720" t="s">
        <v>464</v>
      </c>
      <c r="C153" s="716"/>
      <c r="D153" s="716"/>
      <c r="E153" s="716"/>
      <c r="F153" s="716"/>
      <c r="G153" s="716"/>
    </row>
    <row r="154" spans="1:8" s="657" customFormat="1" ht="16.5" thickBot="1">
      <c r="A154" s="665" t="s">
        <v>462</v>
      </c>
      <c r="B154" s="720" t="s">
        <v>465</v>
      </c>
      <c r="C154" s="716"/>
      <c r="D154" s="716"/>
      <c r="E154" s="716"/>
      <c r="F154" s="716"/>
      <c r="G154" s="716"/>
    </row>
    <row r="155" spans="1:8" s="657" customFormat="1" ht="16.5" thickBot="1">
      <c r="A155" s="662" t="s">
        <v>21</v>
      </c>
      <c r="B155" s="719" t="s">
        <v>466</v>
      </c>
      <c r="C155" s="723"/>
      <c r="D155" s="723"/>
      <c r="E155" s="723"/>
      <c r="F155" s="723"/>
      <c r="G155" s="723"/>
    </row>
    <row r="156" spans="1:8" s="657" customFormat="1" ht="16.5" thickBot="1">
      <c r="A156" s="662" t="s">
        <v>22</v>
      </c>
      <c r="B156" s="719" t="s">
        <v>541</v>
      </c>
      <c r="C156" s="723">
        <v>176260688</v>
      </c>
      <c r="D156" s="723">
        <v>176260688</v>
      </c>
      <c r="E156" s="723">
        <f>176260688-558279+5811806</f>
        <v>181514215</v>
      </c>
      <c r="F156" s="723">
        <f>176260688-558279+5811806-25000-10000+350000+623745</f>
        <v>182452960</v>
      </c>
      <c r="G156" s="723">
        <f>176260688-558279+5811806-25000-10000+350000+623745+458000-390000</f>
        <v>182520960</v>
      </c>
    </row>
    <row r="157" spans="1:8" s="657" customFormat="1" ht="16.5" thickBot="1">
      <c r="A157" s="662" t="s">
        <v>23</v>
      </c>
      <c r="B157" s="719" t="s">
        <v>469</v>
      </c>
      <c r="C157" s="724">
        <f>+C133+C137+C144+C149+C155+C156</f>
        <v>184368408</v>
      </c>
      <c r="D157" s="724">
        <f>+D133+D137+D144+D149+D155+D156</f>
        <v>184368408</v>
      </c>
      <c r="E157" s="724">
        <f>+E133+E137+E144+E149+E155+E156</f>
        <v>189884025</v>
      </c>
      <c r="F157" s="724">
        <f>+F133+F137+F144+F149+F155+F156</f>
        <v>190822770</v>
      </c>
      <c r="G157" s="724">
        <f>+G133+G137+G144+G149+G155+G156</f>
        <v>190890770</v>
      </c>
    </row>
    <row r="158" spans="1:8" s="661" customFormat="1" ht="16.5" thickBot="1">
      <c r="A158" s="725" t="s">
        <v>24</v>
      </c>
      <c r="B158" s="726" t="s">
        <v>468</v>
      </c>
      <c r="C158" s="724">
        <f>+C132+C157</f>
        <v>1030596654</v>
      </c>
      <c r="D158" s="724">
        <f>+D132+D157</f>
        <v>1039178426</v>
      </c>
      <c r="E158" s="724">
        <f>+E132+E157</f>
        <v>1046049017</v>
      </c>
      <c r="F158" s="724">
        <f>+F132+F157</f>
        <v>1074157463</v>
      </c>
      <c r="G158" s="724">
        <f>+G132+G157</f>
        <v>1346352536</v>
      </c>
      <c r="H158" s="680"/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6" orientation="landscape" verticalDpi="300" r:id="rId1"/>
  <headerFooter alignWithMargins="0">
    <oddFooter>&amp;P. oldal, összesen: &amp;N</oddFooter>
  </headerFooter>
  <rowBreaks count="5" manualBreakCount="5">
    <brk id="36" max="16383" man="1"/>
    <brk id="65" max="5" man="1"/>
    <brk id="90" max="16383" man="1"/>
    <brk id="117" max="16383" man="1"/>
    <brk id="1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tabColor rgb="FF7030A0"/>
  </sheetPr>
  <dimension ref="A1:G157"/>
  <sheetViews>
    <sheetView zoomScale="98" zoomScaleNormal="98" zoomScaleSheetLayoutView="85" workbookViewId="0">
      <selection activeCell="B1" sqref="B1"/>
    </sheetView>
  </sheetViews>
  <sheetFormatPr defaultRowHeight="15.75"/>
  <cols>
    <col min="1" max="1" width="26" style="727" bestFit="1" customWidth="1"/>
    <col min="2" max="2" width="87.1640625" style="653" bestFit="1" customWidth="1"/>
    <col min="3" max="7" width="17" style="728" bestFit="1" customWidth="1"/>
    <col min="8" max="16384" width="9.33203125" style="653"/>
  </cols>
  <sheetData>
    <row r="1" spans="1:7" s="100" customFormat="1" ht="16.5" thickBot="1">
      <c r="A1" s="1"/>
      <c r="B1" s="642" t="s">
        <v>762</v>
      </c>
      <c r="C1" s="642"/>
      <c r="D1" s="642"/>
      <c r="E1" s="642"/>
      <c r="F1" s="642"/>
      <c r="G1" s="642"/>
    </row>
    <row r="2" spans="1:7" s="103" customFormat="1">
      <c r="A2" s="643" t="s">
        <v>56</v>
      </c>
      <c r="B2" s="644" t="s">
        <v>535</v>
      </c>
      <c r="C2" s="645" t="s">
        <v>49</v>
      </c>
      <c r="D2" s="645" t="s">
        <v>49</v>
      </c>
      <c r="E2" s="645" t="s">
        <v>49</v>
      </c>
      <c r="F2" s="645" t="s">
        <v>49</v>
      </c>
      <c r="G2" s="645" t="s">
        <v>49</v>
      </c>
    </row>
    <row r="3" spans="1:7" s="103" customFormat="1" ht="16.5" thickBot="1">
      <c r="A3" s="646" t="s">
        <v>191</v>
      </c>
      <c r="B3" s="647" t="s">
        <v>424</v>
      </c>
      <c r="C3" s="648" t="s">
        <v>55</v>
      </c>
      <c r="D3" s="648" t="s">
        <v>55</v>
      </c>
      <c r="E3" s="648" t="s">
        <v>55</v>
      </c>
      <c r="F3" s="648" t="s">
        <v>55</v>
      </c>
      <c r="G3" s="648" t="s">
        <v>55</v>
      </c>
    </row>
    <row r="4" spans="1:7" s="103" customFormat="1" ht="16.5" thickBot="1">
      <c r="C4" s="649" t="s">
        <v>581</v>
      </c>
      <c r="D4" s="649" t="s">
        <v>581</v>
      </c>
      <c r="E4" s="649" t="s">
        <v>581</v>
      </c>
      <c r="F4" s="649" t="s">
        <v>581</v>
      </c>
      <c r="G4" s="649" t="s">
        <v>581</v>
      </c>
    </row>
    <row r="5" spans="1:7" ht="16.5" thickBot="1">
      <c r="A5" s="650" t="s">
        <v>193</v>
      </c>
      <c r="B5" s="651" t="s">
        <v>50</v>
      </c>
      <c r="C5" s="652"/>
      <c r="D5" s="652"/>
      <c r="E5" s="652"/>
      <c r="F5" s="652"/>
      <c r="G5" s="652"/>
    </row>
    <row r="6" spans="1:7" s="657" customFormat="1" ht="48" thickBot="1">
      <c r="A6" s="654" t="s">
        <v>64</v>
      </c>
      <c r="B6" s="655" t="s">
        <v>13</v>
      </c>
      <c r="C6" s="656" t="s">
        <v>690</v>
      </c>
      <c r="D6" s="656" t="s">
        <v>716</v>
      </c>
      <c r="E6" s="656" t="s">
        <v>719</v>
      </c>
      <c r="F6" s="656" t="s">
        <v>729</v>
      </c>
      <c r="G6" s="656" t="s">
        <v>750</v>
      </c>
    </row>
    <row r="7" spans="1:7" s="661" customFormat="1" ht="16.5" thickBot="1">
      <c r="A7" s="658" t="s">
        <v>483</v>
      </c>
      <c r="B7" s="659" t="s">
        <v>484</v>
      </c>
      <c r="C7" s="660" t="s">
        <v>485</v>
      </c>
      <c r="D7" s="660" t="s">
        <v>485</v>
      </c>
      <c r="E7" s="660" t="s">
        <v>485</v>
      </c>
      <c r="F7" s="660" t="s">
        <v>485</v>
      </c>
      <c r="G7" s="660" t="s">
        <v>485</v>
      </c>
    </row>
    <row r="8" spans="1:7" s="661" customFormat="1" ht="16.5" thickBot="1">
      <c r="A8" s="662" t="s">
        <v>14</v>
      </c>
      <c r="B8" s="663" t="s">
        <v>241</v>
      </c>
      <c r="C8" s="664">
        <f>+C9+C10+C11+C12+C13+C14</f>
        <v>0</v>
      </c>
      <c r="D8" s="664">
        <f>+D9+D10+D11+D12+D13+D14</f>
        <v>0</v>
      </c>
      <c r="E8" s="664">
        <f>+E9+E10+E11+E12+E13+E14</f>
        <v>0</v>
      </c>
      <c r="F8" s="664">
        <f>+F9+F10+F11+F12+F13+F14</f>
        <v>0</v>
      </c>
      <c r="G8" s="664">
        <f>+G9+G10+G11+G12+G13+G14</f>
        <v>0</v>
      </c>
    </row>
    <row r="9" spans="1:7" s="661" customFormat="1">
      <c r="A9" s="665" t="s">
        <v>93</v>
      </c>
      <c r="B9" s="666" t="s">
        <v>242</v>
      </c>
      <c r="C9" s="667"/>
      <c r="D9" s="667"/>
      <c r="E9" s="667"/>
      <c r="F9" s="667"/>
      <c r="G9" s="667"/>
    </row>
    <row r="10" spans="1:7" s="661" customFormat="1">
      <c r="A10" s="668" t="s">
        <v>94</v>
      </c>
      <c r="B10" s="669" t="s">
        <v>243</v>
      </c>
      <c r="C10" s="670"/>
      <c r="D10" s="670"/>
      <c r="E10" s="670"/>
      <c r="F10" s="670"/>
      <c r="G10" s="670"/>
    </row>
    <row r="11" spans="1:7" s="661" customFormat="1">
      <c r="A11" s="668" t="s">
        <v>95</v>
      </c>
      <c r="B11" s="669" t="s">
        <v>244</v>
      </c>
      <c r="C11" s="670"/>
      <c r="D11" s="670"/>
      <c r="E11" s="670"/>
      <c r="F11" s="670"/>
      <c r="G11" s="670"/>
    </row>
    <row r="12" spans="1:7" s="661" customFormat="1">
      <c r="A12" s="668" t="s">
        <v>96</v>
      </c>
      <c r="B12" s="669" t="s">
        <v>245</v>
      </c>
      <c r="C12" s="670"/>
      <c r="D12" s="670"/>
      <c r="E12" s="670"/>
      <c r="F12" s="670"/>
      <c r="G12" s="670"/>
    </row>
    <row r="13" spans="1:7" s="661" customFormat="1">
      <c r="A13" s="668" t="s">
        <v>139</v>
      </c>
      <c r="B13" s="671" t="s">
        <v>426</v>
      </c>
      <c r="C13" s="670"/>
      <c r="D13" s="670"/>
      <c r="E13" s="670"/>
      <c r="F13" s="670"/>
      <c r="G13" s="670"/>
    </row>
    <row r="14" spans="1:7" s="661" customFormat="1" ht="16.5" thickBot="1">
      <c r="A14" s="672" t="s">
        <v>97</v>
      </c>
      <c r="B14" s="673" t="s">
        <v>427</v>
      </c>
      <c r="C14" s="670"/>
      <c r="D14" s="670"/>
      <c r="E14" s="670"/>
      <c r="F14" s="670"/>
      <c r="G14" s="670"/>
    </row>
    <row r="15" spans="1:7" s="661" customFormat="1" ht="16.5" thickBot="1">
      <c r="A15" s="662" t="s">
        <v>15</v>
      </c>
      <c r="B15" s="674" t="s">
        <v>246</v>
      </c>
      <c r="C15" s="664">
        <f>+C16+C17+C18+C19+C20</f>
        <v>0</v>
      </c>
      <c r="D15" s="664">
        <f>+D16+D17+D18+D19+D20</f>
        <v>0</v>
      </c>
      <c r="E15" s="664">
        <f>+E16+E17+E18+E19+E20</f>
        <v>0</v>
      </c>
      <c r="F15" s="664">
        <f>+F16+F17+F18+F19+F20</f>
        <v>0</v>
      </c>
      <c r="G15" s="664">
        <f>+G16+G17+G18+G19+G20</f>
        <v>0</v>
      </c>
    </row>
    <row r="16" spans="1:7" s="661" customFormat="1">
      <c r="A16" s="665" t="s">
        <v>99</v>
      </c>
      <c r="B16" s="666" t="s">
        <v>247</v>
      </c>
      <c r="C16" s="667"/>
      <c r="D16" s="667"/>
      <c r="E16" s="667"/>
      <c r="F16" s="667"/>
      <c r="G16" s="667"/>
    </row>
    <row r="17" spans="1:7" s="661" customFormat="1">
      <c r="A17" s="668" t="s">
        <v>100</v>
      </c>
      <c r="B17" s="669" t="s">
        <v>248</v>
      </c>
      <c r="C17" s="670"/>
      <c r="D17" s="670"/>
      <c r="E17" s="670"/>
      <c r="F17" s="670"/>
      <c r="G17" s="670"/>
    </row>
    <row r="18" spans="1:7" s="661" customFormat="1">
      <c r="A18" s="668" t="s">
        <v>101</v>
      </c>
      <c r="B18" s="669" t="s">
        <v>416</v>
      </c>
      <c r="C18" s="670"/>
      <c r="D18" s="670"/>
      <c r="E18" s="670"/>
      <c r="F18" s="670"/>
      <c r="G18" s="670"/>
    </row>
    <row r="19" spans="1:7" s="661" customFormat="1">
      <c r="A19" s="668" t="s">
        <v>102</v>
      </c>
      <c r="B19" s="669" t="s">
        <v>417</v>
      </c>
      <c r="C19" s="670"/>
      <c r="D19" s="670"/>
      <c r="E19" s="670"/>
      <c r="F19" s="670"/>
      <c r="G19" s="670"/>
    </row>
    <row r="20" spans="1:7" s="661" customFormat="1">
      <c r="A20" s="668" t="s">
        <v>103</v>
      </c>
      <c r="B20" s="669" t="s">
        <v>249</v>
      </c>
      <c r="C20" s="670"/>
      <c r="D20" s="670"/>
      <c r="E20" s="670"/>
      <c r="F20" s="670"/>
      <c r="G20" s="670"/>
    </row>
    <row r="21" spans="1:7" s="661" customFormat="1" ht="16.5" thickBot="1">
      <c r="A21" s="672" t="s">
        <v>112</v>
      </c>
      <c r="B21" s="673" t="s">
        <v>250</v>
      </c>
      <c r="C21" s="675"/>
      <c r="D21" s="675"/>
      <c r="E21" s="675"/>
      <c r="F21" s="675"/>
      <c r="G21" s="675"/>
    </row>
    <row r="22" spans="1:7" s="661" customFormat="1" ht="16.5" thickBot="1">
      <c r="A22" s="662" t="s">
        <v>16</v>
      </c>
      <c r="B22" s="663" t="s">
        <v>251</v>
      </c>
      <c r="C22" s="664">
        <f>+C23+C24+C25+C26+C27</f>
        <v>0</v>
      </c>
      <c r="D22" s="664">
        <f>+D23+D24+D25+D26+D27</f>
        <v>0</v>
      </c>
      <c r="E22" s="664">
        <f>+E23+E24+E25+E26+E27</f>
        <v>0</v>
      </c>
      <c r="F22" s="664">
        <f>+F23+F24+F25+F26+F27</f>
        <v>0</v>
      </c>
      <c r="G22" s="664">
        <f>+G23+G24+G25+G26+G27</f>
        <v>0</v>
      </c>
    </row>
    <row r="23" spans="1:7" s="661" customFormat="1">
      <c r="A23" s="665" t="s">
        <v>82</v>
      </c>
      <c r="B23" s="666" t="s">
        <v>252</v>
      </c>
      <c r="C23" s="667"/>
      <c r="D23" s="667"/>
      <c r="E23" s="667"/>
      <c r="F23" s="667"/>
      <c r="G23" s="667"/>
    </row>
    <row r="24" spans="1:7" s="661" customFormat="1">
      <c r="A24" s="668" t="s">
        <v>83</v>
      </c>
      <c r="B24" s="669" t="s">
        <v>253</v>
      </c>
      <c r="C24" s="670"/>
      <c r="D24" s="670"/>
      <c r="E24" s="670"/>
      <c r="F24" s="670"/>
      <c r="G24" s="670"/>
    </row>
    <row r="25" spans="1:7" s="661" customFormat="1">
      <c r="A25" s="668" t="s">
        <v>84</v>
      </c>
      <c r="B25" s="669" t="s">
        <v>418</v>
      </c>
      <c r="C25" s="670"/>
      <c r="D25" s="670"/>
      <c r="E25" s="670"/>
      <c r="F25" s="670"/>
      <c r="G25" s="670"/>
    </row>
    <row r="26" spans="1:7" s="661" customFormat="1">
      <c r="A26" s="668" t="s">
        <v>85</v>
      </c>
      <c r="B26" s="669" t="s">
        <v>419</v>
      </c>
      <c r="C26" s="670"/>
      <c r="D26" s="670"/>
      <c r="E26" s="670"/>
      <c r="F26" s="670"/>
      <c r="G26" s="670"/>
    </row>
    <row r="27" spans="1:7" s="661" customFormat="1">
      <c r="A27" s="668" t="s">
        <v>160</v>
      </c>
      <c r="B27" s="669" t="s">
        <v>254</v>
      </c>
      <c r="C27" s="670"/>
      <c r="D27" s="670"/>
      <c r="E27" s="670"/>
      <c r="F27" s="670"/>
      <c r="G27" s="670"/>
    </row>
    <row r="28" spans="1:7" s="661" customFormat="1" ht="16.5" thickBot="1">
      <c r="A28" s="672" t="s">
        <v>161</v>
      </c>
      <c r="B28" s="676" t="s">
        <v>255</v>
      </c>
      <c r="C28" s="675"/>
      <c r="D28" s="675"/>
      <c r="E28" s="675"/>
      <c r="F28" s="675"/>
      <c r="G28" s="675"/>
    </row>
    <row r="29" spans="1:7" s="661" customFormat="1" ht="16.5" thickBot="1">
      <c r="A29" s="662" t="s">
        <v>162</v>
      </c>
      <c r="B29" s="663" t="s">
        <v>256</v>
      </c>
      <c r="C29" s="677">
        <f>+C30+C34+C35+C36</f>
        <v>0</v>
      </c>
      <c r="D29" s="677">
        <f>+D30+D34+D35+D36</f>
        <v>0</v>
      </c>
      <c r="E29" s="677">
        <f>+E30+E34+E35+E36</f>
        <v>0</v>
      </c>
      <c r="F29" s="677">
        <f>+F30+F34+F35+F36</f>
        <v>0</v>
      </c>
      <c r="G29" s="677">
        <f>+G30+G34+G35+G36</f>
        <v>0</v>
      </c>
    </row>
    <row r="30" spans="1:7" s="661" customFormat="1">
      <c r="A30" s="665" t="s">
        <v>257</v>
      </c>
      <c r="B30" s="666" t="s">
        <v>433</v>
      </c>
      <c r="C30" s="678">
        <f>C31+C32+C33</f>
        <v>0</v>
      </c>
      <c r="D30" s="678">
        <f>D31+D32+D33</f>
        <v>0</v>
      </c>
      <c r="E30" s="678">
        <f>E31+E32+E33</f>
        <v>0</v>
      </c>
      <c r="F30" s="678">
        <f>F31+F32+F33</f>
        <v>0</v>
      </c>
      <c r="G30" s="678">
        <f>G31+G32+G33</f>
        <v>0</v>
      </c>
    </row>
    <row r="31" spans="1:7" s="661" customFormat="1">
      <c r="A31" s="668" t="s">
        <v>258</v>
      </c>
      <c r="B31" s="669" t="s">
        <v>593</v>
      </c>
      <c r="C31" s="670"/>
      <c r="D31" s="670"/>
      <c r="E31" s="670"/>
      <c r="F31" s="670"/>
      <c r="G31" s="670"/>
    </row>
    <row r="32" spans="1:7" s="661" customFormat="1">
      <c r="A32" s="668" t="s">
        <v>259</v>
      </c>
      <c r="B32" s="669" t="s">
        <v>594</v>
      </c>
      <c r="C32" s="670"/>
      <c r="D32" s="670"/>
      <c r="E32" s="670"/>
      <c r="F32" s="670"/>
      <c r="G32" s="670"/>
    </row>
    <row r="33" spans="1:7" s="661" customFormat="1">
      <c r="A33" s="668" t="s">
        <v>431</v>
      </c>
      <c r="B33" s="679" t="s">
        <v>432</v>
      </c>
      <c r="C33" s="670"/>
      <c r="D33" s="670"/>
      <c r="E33" s="670"/>
      <c r="F33" s="670"/>
      <c r="G33" s="670"/>
    </row>
    <row r="34" spans="1:7" s="661" customFormat="1">
      <c r="A34" s="668" t="s">
        <v>260</v>
      </c>
      <c r="B34" s="669" t="s">
        <v>265</v>
      </c>
      <c r="C34" s="670"/>
      <c r="D34" s="670"/>
      <c r="E34" s="670"/>
      <c r="F34" s="670"/>
      <c r="G34" s="670"/>
    </row>
    <row r="35" spans="1:7" s="661" customFormat="1">
      <c r="A35" s="668" t="s">
        <v>261</v>
      </c>
      <c r="B35" s="669" t="s">
        <v>575</v>
      </c>
      <c r="C35" s="670"/>
      <c r="D35" s="670"/>
      <c r="E35" s="670"/>
      <c r="F35" s="670"/>
      <c r="G35" s="670"/>
    </row>
    <row r="36" spans="1:7" s="661" customFormat="1" ht="16.5" thickBot="1">
      <c r="A36" s="672" t="s">
        <v>262</v>
      </c>
      <c r="B36" s="676" t="s">
        <v>267</v>
      </c>
      <c r="C36" s="675"/>
      <c r="D36" s="675"/>
      <c r="E36" s="675"/>
      <c r="F36" s="675"/>
      <c r="G36" s="675"/>
    </row>
    <row r="37" spans="1:7" s="661" customFormat="1" ht="16.5" thickBot="1">
      <c r="A37" s="662" t="s">
        <v>18</v>
      </c>
      <c r="B37" s="663" t="s">
        <v>428</v>
      </c>
      <c r="C37" s="664">
        <f>SUM(C38:C48)</f>
        <v>117146829</v>
      </c>
      <c r="D37" s="664">
        <f>SUM(D38:D48)</f>
        <v>115922890</v>
      </c>
      <c r="E37" s="664">
        <f>SUM(E38:E48)</f>
        <v>115922890</v>
      </c>
      <c r="F37" s="664">
        <f>SUM(F38:F48)</f>
        <v>136975436</v>
      </c>
      <c r="G37" s="664">
        <f>SUM(G38:G48)</f>
        <v>136615886</v>
      </c>
    </row>
    <row r="38" spans="1:7" s="661" customFormat="1">
      <c r="A38" s="665" t="s">
        <v>86</v>
      </c>
      <c r="B38" s="666" t="s">
        <v>270</v>
      </c>
      <c r="C38" s="667"/>
      <c r="D38" s="667"/>
      <c r="E38" s="667"/>
      <c r="F38" s="667"/>
      <c r="G38" s="667"/>
    </row>
    <row r="39" spans="1:7" s="661" customFormat="1">
      <c r="A39" s="668" t="s">
        <v>87</v>
      </c>
      <c r="B39" s="669" t="s">
        <v>271</v>
      </c>
      <c r="C39" s="670">
        <f>99723710-4214790-3149606-787402</f>
        <v>91571912</v>
      </c>
      <c r="D39" s="670">
        <f>99723710-4214790-3149606-787402-869637-94095</f>
        <v>90608180</v>
      </c>
      <c r="E39" s="670">
        <f>99723710-4214790-3149606-787402-869637-94095-516000</f>
        <v>90092180</v>
      </c>
      <c r="F39" s="670">
        <f>99723710-4214790-3149606-787402-869637-94095-516000+1602492+280000+520000+1200000+500000+490200+2000000+1000000+3000000+500000+1000000+500000</f>
        <v>102684872</v>
      </c>
      <c r="G39" s="670">
        <f>99723710-4214790-3149606-787402-869637-94095-516000+1602492+280000+520000+1200000+500000+490200+2000000+1000000+3000000+500000+1000000+500000-306000</f>
        <v>102378872</v>
      </c>
    </row>
    <row r="40" spans="1:7" s="661" customFormat="1">
      <c r="A40" s="668" t="s">
        <v>88</v>
      </c>
      <c r="B40" s="669" t="s">
        <v>272</v>
      </c>
      <c r="C40" s="670"/>
      <c r="D40" s="670"/>
      <c r="E40" s="670"/>
      <c r="F40" s="670"/>
      <c r="G40" s="670"/>
    </row>
    <row r="41" spans="1:7" s="661" customFormat="1">
      <c r="A41" s="668" t="s">
        <v>164</v>
      </c>
      <c r="B41" s="669" t="s">
        <v>273</v>
      </c>
      <c r="C41" s="670"/>
      <c r="D41" s="670"/>
      <c r="E41" s="670"/>
      <c r="F41" s="670"/>
      <c r="G41" s="670"/>
    </row>
    <row r="42" spans="1:7" s="661" customFormat="1">
      <c r="A42" s="668" t="s">
        <v>165</v>
      </c>
      <c r="B42" s="669" t="s">
        <v>274</v>
      </c>
      <c r="C42" s="670"/>
      <c r="D42" s="670"/>
      <c r="E42" s="670"/>
      <c r="F42" s="670"/>
      <c r="G42" s="670"/>
    </row>
    <row r="43" spans="1:7" s="661" customFormat="1">
      <c r="A43" s="668" t="s">
        <v>166</v>
      </c>
      <c r="B43" s="669" t="s">
        <v>275</v>
      </c>
      <c r="C43" s="670">
        <f>27775902-1137993-850394-212598</f>
        <v>25574917</v>
      </c>
      <c r="D43" s="670">
        <f>27775902-1137993-850394-212598-234802-25405</f>
        <v>25314710</v>
      </c>
      <c r="E43" s="670">
        <f>27775902-1137993-850394-212598-234802-25405+139320-139320</f>
        <v>25314710</v>
      </c>
      <c r="F43" s="670">
        <f>25314710+49000+91000+210000+135000+6500000+132354+270000+810000+87500+175000</f>
        <v>33774564</v>
      </c>
      <c r="G43" s="670">
        <f>25314710+49000+91000+210000+135000+6500000+132354+270000+810000+87500+175000-53550</f>
        <v>33721014</v>
      </c>
    </row>
    <row r="44" spans="1:7" s="661" customFormat="1">
      <c r="A44" s="668" t="s">
        <v>167</v>
      </c>
      <c r="B44" s="669" t="s">
        <v>276</v>
      </c>
      <c r="C44" s="670"/>
      <c r="D44" s="670"/>
      <c r="E44" s="670"/>
      <c r="F44" s="670"/>
      <c r="G44" s="670"/>
    </row>
    <row r="45" spans="1:7" s="661" customFormat="1">
      <c r="A45" s="668" t="s">
        <v>168</v>
      </c>
      <c r="B45" s="669" t="s">
        <v>277</v>
      </c>
      <c r="C45" s="681"/>
      <c r="D45" s="681"/>
      <c r="E45" s="681"/>
      <c r="F45" s="681"/>
      <c r="G45" s="681"/>
    </row>
    <row r="46" spans="1:7" s="661" customFormat="1">
      <c r="A46" s="668" t="s">
        <v>268</v>
      </c>
      <c r="B46" s="669" t="s">
        <v>278</v>
      </c>
      <c r="C46" s="681"/>
      <c r="D46" s="681"/>
      <c r="E46" s="681"/>
      <c r="F46" s="681"/>
      <c r="G46" s="681"/>
    </row>
    <row r="47" spans="1:7" s="661" customFormat="1">
      <c r="A47" s="672" t="s">
        <v>269</v>
      </c>
      <c r="B47" s="676" t="s">
        <v>430</v>
      </c>
      <c r="C47" s="682"/>
      <c r="D47" s="682"/>
      <c r="E47" s="682"/>
      <c r="F47" s="682"/>
      <c r="G47" s="682"/>
    </row>
    <row r="48" spans="1:7" s="661" customFormat="1" ht="16.5" thickBot="1">
      <c r="A48" s="672" t="s">
        <v>429</v>
      </c>
      <c r="B48" s="673" t="s">
        <v>279</v>
      </c>
      <c r="C48" s="682"/>
      <c r="D48" s="682"/>
      <c r="E48" s="682">
        <f>516000</f>
        <v>516000</v>
      </c>
      <c r="F48" s="682">
        <f>516000</f>
        <v>516000</v>
      </c>
      <c r="G48" s="682">
        <f>516000</f>
        <v>516000</v>
      </c>
    </row>
    <row r="49" spans="1:7" s="661" customFormat="1" ht="16.5" thickBot="1">
      <c r="A49" s="662" t="s">
        <v>19</v>
      </c>
      <c r="B49" s="663" t="s">
        <v>280</v>
      </c>
      <c r="C49" s="664">
        <f>SUM(C50:C54)</f>
        <v>7000000</v>
      </c>
      <c r="D49" s="664">
        <f>SUM(D50:D54)</f>
        <v>7000000</v>
      </c>
      <c r="E49" s="664">
        <f>SUM(E50:E54)</f>
        <v>7000000</v>
      </c>
      <c r="F49" s="664">
        <f>SUM(F50:F54)</f>
        <v>7000000</v>
      </c>
      <c r="G49" s="664">
        <f>SUM(G50:G54)</f>
        <v>7000000</v>
      </c>
    </row>
    <row r="50" spans="1:7" s="661" customFormat="1">
      <c r="A50" s="665" t="s">
        <v>89</v>
      </c>
      <c r="B50" s="666" t="s">
        <v>284</v>
      </c>
      <c r="C50" s="683"/>
      <c r="D50" s="683"/>
      <c r="E50" s="683"/>
      <c r="F50" s="683"/>
      <c r="G50" s="683"/>
    </row>
    <row r="51" spans="1:7" s="661" customFormat="1">
      <c r="A51" s="668" t="s">
        <v>90</v>
      </c>
      <c r="B51" s="669" t="s">
        <v>285</v>
      </c>
      <c r="C51" s="681">
        <v>7000000</v>
      </c>
      <c r="D51" s="681">
        <v>7000000</v>
      </c>
      <c r="E51" s="681">
        <v>7000000</v>
      </c>
      <c r="F51" s="681">
        <v>7000000</v>
      </c>
      <c r="G51" s="681">
        <v>7000000</v>
      </c>
    </row>
    <row r="52" spans="1:7" s="661" customFormat="1">
      <c r="A52" s="668" t="s">
        <v>281</v>
      </c>
      <c r="B52" s="669" t="s">
        <v>286</v>
      </c>
      <c r="C52" s="681"/>
      <c r="D52" s="681"/>
      <c r="E52" s="681"/>
      <c r="F52" s="681"/>
      <c r="G52" s="681"/>
    </row>
    <row r="53" spans="1:7" s="661" customFormat="1">
      <c r="A53" s="668" t="s">
        <v>282</v>
      </c>
      <c r="B53" s="669" t="s">
        <v>287</v>
      </c>
      <c r="C53" s="681"/>
      <c r="D53" s="681"/>
      <c r="E53" s="681"/>
      <c r="F53" s="681"/>
      <c r="G53" s="681"/>
    </row>
    <row r="54" spans="1:7" s="661" customFormat="1" ht="16.5" thickBot="1">
      <c r="A54" s="672" t="s">
        <v>283</v>
      </c>
      <c r="B54" s="673" t="s">
        <v>288</v>
      </c>
      <c r="C54" s="682"/>
      <c r="D54" s="682"/>
      <c r="E54" s="682"/>
      <c r="F54" s="682"/>
      <c r="G54" s="682"/>
    </row>
    <row r="55" spans="1:7" s="661" customFormat="1" ht="16.5" thickBot="1">
      <c r="A55" s="662" t="s">
        <v>169</v>
      </c>
      <c r="B55" s="663" t="s">
        <v>289</v>
      </c>
      <c r="C55" s="664">
        <f>SUM(C56:C58)</f>
        <v>0</v>
      </c>
      <c r="D55" s="664">
        <f>SUM(D56:D58)</f>
        <v>0</v>
      </c>
      <c r="E55" s="664">
        <f>SUM(E56:E58)</f>
        <v>0</v>
      </c>
      <c r="F55" s="664">
        <f>SUM(F56:F58)</f>
        <v>0</v>
      </c>
      <c r="G55" s="664">
        <f>SUM(G56:G58)</f>
        <v>0</v>
      </c>
    </row>
    <row r="56" spans="1:7" s="661" customFormat="1">
      <c r="A56" s="665" t="s">
        <v>91</v>
      </c>
      <c r="B56" s="666" t="s">
        <v>290</v>
      </c>
      <c r="C56" s="667"/>
      <c r="D56" s="667"/>
      <c r="E56" s="667"/>
      <c r="F56" s="667"/>
      <c r="G56" s="667"/>
    </row>
    <row r="57" spans="1:7" s="661" customFormat="1">
      <c r="A57" s="668" t="s">
        <v>92</v>
      </c>
      <c r="B57" s="669" t="s">
        <v>420</v>
      </c>
      <c r="C57" s="670"/>
      <c r="D57" s="670"/>
      <c r="E57" s="670"/>
      <c r="F57" s="670"/>
      <c r="G57" s="670"/>
    </row>
    <row r="58" spans="1:7" s="661" customFormat="1">
      <c r="A58" s="668" t="s">
        <v>293</v>
      </c>
      <c r="B58" s="669" t="s">
        <v>291</v>
      </c>
      <c r="C58" s="670"/>
      <c r="D58" s="670"/>
      <c r="E58" s="670"/>
      <c r="F58" s="670"/>
      <c r="G58" s="670"/>
    </row>
    <row r="59" spans="1:7" s="661" customFormat="1" ht="16.5" thickBot="1">
      <c r="A59" s="672" t="s">
        <v>294</v>
      </c>
      <c r="B59" s="673" t="s">
        <v>292</v>
      </c>
      <c r="C59" s="675"/>
      <c r="D59" s="675"/>
      <c r="E59" s="675"/>
      <c r="F59" s="675"/>
      <c r="G59" s="675"/>
    </row>
    <row r="60" spans="1:7" s="661" customFormat="1" ht="16.5" thickBot="1">
      <c r="A60" s="662" t="s">
        <v>21</v>
      </c>
      <c r="B60" s="674" t="s">
        <v>295</v>
      </c>
      <c r="C60" s="664">
        <f>SUM(C61:C63)</f>
        <v>100000</v>
      </c>
      <c r="D60" s="664">
        <f>SUM(D61:D63)</f>
        <v>100000</v>
      </c>
      <c r="E60" s="664">
        <f>SUM(E61:E63)</f>
        <v>417500</v>
      </c>
      <c r="F60" s="664">
        <f>SUM(F61:F63)</f>
        <v>417500</v>
      </c>
      <c r="G60" s="664">
        <f>SUM(G61:G63)</f>
        <v>417500</v>
      </c>
    </row>
    <row r="61" spans="1:7" s="661" customFormat="1">
      <c r="A61" s="665" t="s">
        <v>170</v>
      </c>
      <c r="B61" s="666" t="s">
        <v>297</v>
      </c>
      <c r="C61" s="681"/>
      <c r="D61" s="681"/>
      <c r="E61" s="681"/>
      <c r="F61" s="681"/>
      <c r="G61" s="681"/>
    </row>
    <row r="62" spans="1:7" s="661" customFormat="1">
      <c r="A62" s="668" t="s">
        <v>171</v>
      </c>
      <c r="B62" s="669" t="s">
        <v>421</v>
      </c>
      <c r="C62" s="681">
        <v>100000</v>
      </c>
      <c r="D62" s="681">
        <v>100000</v>
      </c>
      <c r="E62" s="681">
        <v>100000</v>
      </c>
      <c r="F62" s="681">
        <v>100000</v>
      </c>
      <c r="G62" s="681">
        <v>100000</v>
      </c>
    </row>
    <row r="63" spans="1:7" s="661" customFormat="1">
      <c r="A63" s="668" t="s">
        <v>218</v>
      </c>
      <c r="B63" s="669" t="s">
        <v>298</v>
      </c>
      <c r="C63" s="681"/>
      <c r="D63" s="681"/>
      <c r="E63" s="681">
        <f>317500</f>
        <v>317500</v>
      </c>
      <c r="F63" s="681">
        <f>317500</f>
        <v>317500</v>
      </c>
      <c r="G63" s="681">
        <f>317500</f>
        <v>317500</v>
      </c>
    </row>
    <row r="64" spans="1:7" s="661" customFormat="1" ht="16.5" thickBot="1">
      <c r="A64" s="672" t="s">
        <v>296</v>
      </c>
      <c r="B64" s="673" t="s">
        <v>299</v>
      </c>
      <c r="C64" s="681"/>
      <c r="D64" s="681"/>
      <c r="E64" s="681"/>
      <c r="F64" s="681"/>
      <c r="G64" s="681"/>
    </row>
    <row r="65" spans="1:7" s="661" customFormat="1" ht="16.5" thickBot="1">
      <c r="A65" s="684" t="s">
        <v>472</v>
      </c>
      <c r="B65" s="663" t="s">
        <v>300</v>
      </c>
      <c r="C65" s="677">
        <f>+C8+C15+C22+C29+C37+C49+C55+C60</f>
        <v>124246829</v>
      </c>
      <c r="D65" s="677">
        <f>+D8+D15+D22+D29+D37+D49+D55+D60</f>
        <v>123022890</v>
      </c>
      <c r="E65" s="677">
        <f>+E8+E15+E22+E29+E37+E49+E55+E60</f>
        <v>123340390</v>
      </c>
      <c r="F65" s="677">
        <f>+F8+F15+F22+F29+F37+F49+F55+F60</f>
        <v>144392936</v>
      </c>
      <c r="G65" s="677">
        <f>+G8+G15+G22+G29+G37+G49+G55+G60</f>
        <v>144033386</v>
      </c>
    </row>
    <row r="66" spans="1:7" s="661" customFormat="1" ht="16.5" thickBot="1">
      <c r="A66" s="685" t="s">
        <v>301</v>
      </c>
      <c r="B66" s="674" t="s">
        <v>302</v>
      </c>
      <c r="C66" s="664">
        <f>SUM(C67:C69)</f>
        <v>0</v>
      </c>
      <c r="D66" s="664">
        <f>SUM(D67:D69)</f>
        <v>0</v>
      </c>
      <c r="E66" s="664">
        <f>SUM(E67:E69)</f>
        <v>0</v>
      </c>
      <c r="F66" s="664">
        <f>SUM(F67:F69)</f>
        <v>0</v>
      </c>
      <c r="G66" s="664">
        <f>SUM(G67:G69)</f>
        <v>0</v>
      </c>
    </row>
    <row r="67" spans="1:7" s="661" customFormat="1">
      <c r="A67" s="665" t="s">
        <v>333</v>
      </c>
      <c r="B67" s="666" t="s">
        <v>303</v>
      </c>
      <c r="C67" s="681"/>
      <c r="D67" s="681"/>
      <c r="E67" s="681"/>
      <c r="F67" s="681"/>
      <c r="G67" s="681"/>
    </row>
    <row r="68" spans="1:7" s="661" customFormat="1">
      <c r="A68" s="668" t="s">
        <v>342</v>
      </c>
      <c r="B68" s="669" t="s">
        <v>304</v>
      </c>
      <c r="C68" s="681"/>
      <c r="D68" s="681"/>
      <c r="E68" s="681"/>
      <c r="F68" s="681"/>
      <c r="G68" s="681"/>
    </row>
    <row r="69" spans="1:7" s="661" customFormat="1" ht="16.5" thickBot="1">
      <c r="A69" s="672" t="s">
        <v>343</v>
      </c>
      <c r="B69" s="686" t="s">
        <v>457</v>
      </c>
      <c r="C69" s="681"/>
      <c r="D69" s="681"/>
      <c r="E69" s="681"/>
      <c r="F69" s="681"/>
      <c r="G69" s="681"/>
    </row>
    <row r="70" spans="1:7" s="661" customFormat="1" ht="16.5" thickBot="1">
      <c r="A70" s="685" t="s">
        <v>306</v>
      </c>
      <c r="B70" s="674" t="s">
        <v>307</v>
      </c>
      <c r="C70" s="664">
        <f>SUM(C71:C74)</f>
        <v>0</v>
      </c>
      <c r="D70" s="664">
        <f>SUM(D71:D74)</f>
        <v>0</v>
      </c>
      <c r="E70" s="664">
        <f>SUM(E71:E74)</f>
        <v>0</v>
      </c>
      <c r="F70" s="664">
        <f>SUM(F71:F74)</f>
        <v>0</v>
      </c>
      <c r="G70" s="664">
        <f>SUM(G71:G74)</f>
        <v>0</v>
      </c>
    </row>
    <row r="71" spans="1:7" s="661" customFormat="1">
      <c r="A71" s="665" t="s">
        <v>140</v>
      </c>
      <c r="B71" s="666" t="s">
        <v>308</v>
      </c>
      <c r="C71" s="681"/>
      <c r="D71" s="681"/>
      <c r="E71" s="681"/>
      <c r="F71" s="681"/>
      <c r="G71" s="681"/>
    </row>
    <row r="72" spans="1:7" s="661" customFormat="1">
      <c r="A72" s="668" t="s">
        <v>141</v>
      </c>
      <c r="B72" s="669" t="s">
        <v>309</v>
      </c>
      <c r="C72" s="681"/>
      <c r="D72" s="681"/>
      <c r="E72" s="681"/>
      <c r="F72" s="681"/>
      <c r="G72" s="681"/>
    </row>
    <row r="73" spans="1:7" s="661" customFormat="1">
      <c r="A73" s="668" t="s">
        <v>334</v>
      </c>
      <c r="B73" s="669" t="s">
        <v>310</v>
      </c>
      <c r="C73" s="681"/>
      <c r="D73" s="681"/>
      <c r="E73" s="681"/>
      <c r="F73" s="681"/>
      <c r="G73" s="681"/>
    </row>
    <row r="74" spans="1:7" s="661" customFormat="1" ht="16.5" thickBot="1">
      <c r="A74" s="672" t="s">
        <v>335</v>
      </c>
      <c r="B74" s="673" t="s">
        <v>311</v>
      </c>
      <c r="C74" s="681"/>
      <c r="D74" s="681"/>
      <c r="E74" s="681"/>
      <c r="F74" s="681"/>
      <c r="G74" s="681"/>
    </row>
    <row r="75" spans="1:7" s="661" customFormat="1" ht="16.5" thickBot="1">
      <c r="A75" s="685" t="s">
        <v>312</v>
      </c>
      <c r="B75" s="674" t="s">
        <v>313</v>
      </c>
      <c r="C75" s="664">
        <f>SUM(C76:C77)</f>
        <v>0</v>
      </c>
      <c r="D75" s="664">
        <f>SUM(D76:D77)</f>
        <v>0</v>
      </c>
      <c r="E75" s="664">
        <f>SUM(E76:E77)</f>
        <v>0</v>
      </c>
      <c r="F75" s="664">
        <f>SUM(F76:F77)</f>
        <v>0</v>
      </c>
      <c r="G75" s="664">
        <f>SUM(G76:G77)</f>
        <v>0</v>
      </c>
    </row>
    <row r="76" spans="1:7" s="661" customFormat="1">
      <c r="A76" s="665" t="s">
        <v>336</v>
      </c>
      <c r="B76" s="666" t="s">
        <v>314</v>
      </c>
      <c r="C76" s="681"/>
      <c r="D76" s="681"/>
      <c r="E76" s="681"/>
      <c r="F76" s="681"/>
      <c r="G76" s="681"/>
    </row>
    <row r="77" spans="1:7" s="661" customFormat="1" ht="16.5" thickBot="1">
      <c r="A77" s="672" t="s">
        <v>337</v>
      </c>
      <c r="B77" s="673" t="s">
        <v>315</v>
      </c>
      <c r="C77" s="681"/>
      <c r="D77" s="681"/>
      <c r="E77" s="681"/>
      <c r="F77" s="681"/>
      <c r="G77" s="681"/>
    </row>
    <row r="78" spans="1:7" s="661" customFormat="1" ht="16.5" thickBot="1">
      <c r="A78" s="685" t="s">
        <v>316</v>
      </c>
      <c r="B78" s="674" t="s">
        <v>317</v>
      </c>
      <c r="C78" s="664">
        <f>SUM(C79:C81)</f>
        <v>0</v>
      </c>
      <c r="D78" s="664">
        <f>SUM(D79:D81)</f>
        <v>0</v>
      </c>
      <c r="E78" s="664">
        <f>SUM(E79:E81)</f>
        <v>0</v>
      </c>
      <c r="F78" s="664">
        <f>SUM(F79:F81)</f>
        <v>0</v>
      </c>
      <c r="G78" s="664">
        <f>SUM(G79:G81)</f>
        <v>0</v>
      </c>
    </row>
    <row r="79" spans="1:7" s="661" customFormat="1">
      <c r="A79" s="665" t="s">
        <v>338</v>
      </c>
      <c r="B79" s="666" t="s">
        <v>318</v>
      </c>
      <c r="C79" s="681"/>
      <c r="D79" s="681"/>
      <c r="E79" s="681"/>
      <c r="F79" s="681"/>
      <c r="G79" s="681"/>
    </row>
    <row r="80" spans="1:7" s="661" customFormat="1">
      <c r="A80" s="668" t="s">
        <v>339</v>
      </c>
      <c r="B80" s="669" t="s">
        <v>319</v>
      </c>
      <c r="C80" s="681"/>
      <c r="D80" s="681"/>
      <c r="E80" s="681"/>
      <c r="F80" s="681"/>
      <c r="G80" s="681"/>
    </row>
    <row r="81" spans="1:7" s="661" customFormat="1" ht="16.5" thickBot="1">
      <c r="A81" s="672" t="s">
        <v>340</v>
      </c>
      <c r="B81" s="673" t="s">
        <v>320</v>
      </c>
      <c r="C81" s="681"/>
      <c r="D81" s="681"/>
      <c r="E81" s="681"/>
      <c r="F81" s="681"/>
      <c r="G81" s="681"/>
    </row>
    <row r="82" spans="1:7" s="661" customFormat="1" ht="16.5" thickBot="1">
      <c r="A82" s="685" t="s">
        <v>321</v>
      </c>
      <c r="B82" s="674" t="s">
        <v>341</v>
      </c>
      <c r="C82" s="664">
        <f>SUM(C83:C86)</f>
        <v>0</v>
      </c>
      <c r="D82" s="664">
        <f>SUM(D83:D86)</f>
        <v>0</v>
      </c>
      <c r="E82" s="664">
        <f>SUM(E83:E86)</f>
        <v>0</v>
      </c>
      <c r="F82" s="664">
        <f>SUM(F83:F86)</f>
        <v>0</v>
      </c>
      <c r="G82" s="664">
        <f>SUM(G83:G86)</f>
        <v>0</v>
      </c>
    </row>
    <row r="83" spans="1:7" s="661" customFormat="1">
      <c r="A83" s="687" t="s">
        <v>322</v>
      </c>
      <c r="B83" s="666" t="s">
        <v>323</v>
      </c>
      <c r="C83" s="681"/>
      <c r="D83" s="681"/>
      <c r="E83" s="681"/>
      <c r="F83" s="681"/>
      <c r="G83" s="681"/>
    </row>
    <row r="84" spans="1:7" s="661" customFormat="1">
      <c r="A84" s="688" t="s">
        <v>324</v>
      </c>
      <c r="B84" s="669" t="s">
        <v>325</v>
      </c>
      <c r="C84" s="681"/>
      <c r="D84" s="681"/>
      <c r="E84" s="681"/>
      <c r="F84" s="681"/>
      <c r="G84" s="681"/>
    </row>
    <row r="85" spans="1:7" s="661" customFormat="1">
      <c r="A85" s="688" t="s">
        <v>326</v>
      </c>
      <c r="B85" s="669" t="s">
        <v>327</v>
      </c>
      <c r="C85" s="681"/>
      <c r="D85" s="681"/>
      <c r="E85" s="681"/>
      <c r="F85" s="681"/>
      <c r="G85" s="681"/>
    </row>
    <row r="86" spans="1:7" s="661" customFormat="1" ht="16.5" thickBot="1">
      <c r="A86" s="689" t="s">
        <v>328</v>
      </c>
      <c r="B86" s="673" t="s">
        <v>329</v>
      </c>
      <c r="C86" s="681"/>
      <c r="D86" s="681"/>
      <c r="E86" s="681"/>
      <c r="F86" s="681"/>
      <c r="G86" s="681"/>
    </row>
    <row r="87" spans="1:7" s="661" customFormat="1" ht="16.5" thickBot="1">
      <c r="A87" s="685" t="s">
        <v>330</v>
      </c>
      <c r="B87" s="674" t="s">
        <v>471</v>
      </c>
      <c r="C87" s="690"/>
      <c r="D87" s="690"/>
      <c r="E87" s="690"/>
      <c r="F87" s="690"/>
      <c r="G87" s="690"/>
    </row>
    <row r="88" spans="1:7" s="661" customFormat="1" ht="16.5" thickBot="1">
      <c r="A88" s="685" t="s">
        <v>332</v>
      </c>
      <c r="B88" s="674" t="s">
        <v>331</v>
      </c>
      <c r="C88" s="690"/>
      <c r="D88" s="690"/>
      <c r="E88" s="690"/>
      <c r="F88" s="690"/>
      <c r="G88" s="690"/>
    </row>
    <row r="89" spans="1:7" s="661" customFormat="1" ht="16.5" thickBot="1">
      <c r="A89" s="685" t="s">
        <v>344</v>
      </c>
      <c r="B89" s="691" t="s">
        <v>474</v>
      </c>
      <c r="C89" s="677">
        <f>+C66+C70+C75+C78+C82+C88+C87</f>
        <v>0</v>
      </c>
      <c r="D89" s="677">
        <f>+D66+D70+D75+D78+D82+D88+D87</f>
        <v>0</v>
      </c>
      <c r="E89" s="677">
        <f>+E66+E70+E75+E78+E82+E88+E87</f>
        <v>0</v>
      </c>
      <c r="F89" s="677">
        <f>+F66+F70+F75+F78+F82+F88+F87</f>
        <v>0</v>
      </c>
      <c r="G89" s="677">
        <f>+G66+G70+G75+G78+G82+G88+G87</f>
        <v>0</v>
      </c>
    </row>
    <row r="90" spans="1:7" s="661" customFormat="1" ht="32.25" thickBot="1">
      <c r="A90" s="692" t="s">
        <v>473</v>
      </c>
      <c r="B90" s="693" t="s">
        <v>475</v>
      </c>
      <c r="C90" s="677">
        <f>+C65+C89</f>
        <v>124246829</v>
      </c>
      <c r="D90" s="677">
        <f>+D65+D89</f>
        <v>123022890</v>
      </c>
      <c r="E90" s="677">
        <f>+E65+E89</f>
        <v>123340390</v>
      </c>
      <c r="F90" s="677">
        <f>+F65+F89</f>
        <v>144392936</v>
      </c>
      <c r="G90" s="677">
        <f>+G65+G89</f>
        <v>144033386</v>
      </c>
    </row>
    <row r="91" spans="1:7" s="661" customFormat="1">
      <c r="A91" s="70"/>
      <c r="B91" s="71"/>
      <c r="C91" s="537"/>
      <c r="D91" s="537"/>
      <c r="E91" s="537"/>
      <c r="F91" s="537"/>
      <c r="G91" s="537"/>
    </row>
    <row r="92" spans="1:7" s="657" customFormat="1">
      <c r="A92" s="789" t="s">
        <v>42</v>
      </c>
      <c r="B92" s="789"/>
    </row>
    <row r="93" spans="1:7" s="657" customFormat="1" ht="16.5" thickBot="1">
      <c r="A93" s="836" t="s">
        <v>143</v>
      </c>
      <c r="B93" s="836"/>
      <c r="C93" s="694"/>
      <c r="D93" s="694"/>
      <c r="E93" s="694"/>
      <c r="F93" s="694"/>
      <c r="G93" s="694"/>
    </row>
    <row r="94" spans="1:7" s="657" customFormat="1" ht="48" thickBot="1">
      <c r="A94" s="654" t="s">
        <v>64</v>
      </c>
      <c r="B94" s="655" t="s">
        <v>43</v>
      </c>
      <c r="C94" s="656" t="s">
        <v>690</v>
      </c>
      <c r="D94" s="656" t="s">
        <v>716</v>
      </c>
      <c r="E94" s="656" t="s">
        <v>719</v>
      </c>
      <c r="F94" s="656" t="s">
        <v>729</v>
      </c>
      <c r="G94" s="656" t="s">
        <v>729</v>
      </c>
    </row>
    <row r="95" spans="1:7" s="661" customFormat="1" ht="16.5" thickBot="1">
      <c r="A95" s="654" t="s">
        <v>483</v>
      </c>
      <c r="B95" s="655" t="s">
        <v>484</v>
      </c>
      <c r="C95" s="695" t="s">
        <v>485</v>
      </c>
      <c r="D95" s="695" t="s">
        <v>485</v>
      </c>
      <c r="E95" s="695" t="s">
        <v>485</v>
      </c>
      <c r="F95" s="695" t="s">
        <v>485</v>
      </c>
      <c r="G95" s="695" t="s">
        <v>485</v>
      </c>
    </row>
    <row r="96" spans="1:7" s="657" customFormat="1" ht="16.5" thickBot="1">
      <c r="A96" s="696" t="s">
        <v>14</v>
      </c>
      <c r="B96" s="697" t="s">
        <v>725</v>
      </c>
      <c r="C96" s="698">
        <f>C97+C98+C99+C100+C101+C114</f>
        <v>99723129</v>
      </c>
      <c r="D96" s="698">
        <f>D97+D98+D99+D100+D101+D114</f>
        <v>98499190</v>
      </c>
      <c r="E96" s="698">
        <f>E97+E98+E99+E100+E101+E114</f>
        <v>98499190</v>
      </c>
      <c r="F96" s="698">
        <f>F97+F98+F99+F100+F101+F114</f>
        <v>117659182</v>
      </c>
      <c r="G96" s="698">
        <f>G97+G98+G99+G100+G101+G114</f>
        <v>117299632</v>
      </c>
    </row>
    <row r="97" spans="1:7" s="657" customFormat="1">
      <c r="A97" s="699" t="s">
        <v>93</v>
      </c>
      <c r="B97" s="700" t="s">
        <v>44</v>
      </c>
      <c r="C97" s="701">
        <v>13754400</v>
      </c>
      <c r="D97" s="701">
        <f>13754400-1006323-100000</f>
        <v>12648077</v>
      </c>
      <c r="E97" s="701">
        <f>12648077+2000000</f>
        <v>14648077</v>
      </c>
      <c r="F97" s="701">
        <f>14648077+1363823+280000+520000+1200000+500000+1000000</f>
        <v>19511900</v>
      </c>
      <c r="G97" s="701">
        <f>14648077+1363823+280000+520000+1200000+500000+1000000-306000</f>
        <v>19205900</v>
      </c>
    </row>
    <row r="98" spans="1:7" s="657" customFormat="1">
      <c r="A98" s="668" t="s">
        <v>94</v>
      </c>
      <c r="B98" s="702" t="s">
        <v>172</v>
      </c>
      <c r="C98" s="670">
        <v>2831544</v>
      </c>
      <c r="D98" s="670">
        <f>2831544-98116-19500</f>
        <v>2713928</v>
      </c>
      <c r="E98" s="670">
        <f>2713928+390000</f>
        <v>3103928</v>
      </c>
      <c r="F98" s="670">
        <f>3103928+238669+49000+91000+210000+87500+175000</f>
        <v>3955097</v>
      </c>
      <c r="G98" s="670">
        <f>3103928+238669+49000+91000+210000+87500+175000-53550</f>
        <v>3901547</v>
      </c>
    </row>
    <row r="99" spans="1:7" s="657" customFormat="1">
      <c r="A99" s="668" t="s">
        <v>95</v>
      </c>
      <c r="B99" s="702" t="s">
        <v>131</v>
      </c>
      <c r="C99" s="675">
        <v>83137185</v>
      </c>
      <c r="D99" s="675">
        <v>83137185</v>
      </c>
      <c r="E99" s="675">
        <f>83137185-2390000</f>
        <v>80747185</v>
      </c>
      <c r="F99" s="675">
        <f>83137185-2390000+7135000+2000000+3810000+500000</f>
        <v>94192185</v>
      </c>
      <c r="G99" s="675">
        <f>83137185-2390000+7135000+2000000+3810000+500000</f>
        <v>94192185</v>
      </c>
    </row>
    <row r="100" spans="1:7" s="657" customFormat="1">
      <c r="A100" s="668" t="s">
        <v>96</v>
      </c>
      <c r="B100" s="703" t="s">
        <v>173</v>
      </c>
      <c r="C100" s="675"/>
      <c r="D100" s="675"/>
      <c r="E100" s="675"/>
      <c r="F100" s="675"/>
      <c r="G100" s="675"/>
    </row>
    <row r="101" spans="1:7" s="657" customFormat="1">
      <c r="A101" s="668" t="s">
        <v>107</v>
      </c>
      <c r="B101" s="704" t="s">
        <v>174</v>
      </c>
      <c r="C101" s="675">
        <f>C102+C103+C104+C105+C106+C108+C109+C110+C111+C112+C113</f>
        <v>0</v>
      </c>
      <c r="D101" s="675">
        <f>D102+D103+D104+D105+D106+D108+D109+D110+D111+D112+D113</f>
        <v>0</v>
      </c>
      <c r="E101" s="675">
        <f>E102+E103+E104+E105+E106+E108+E109+E110+E111+E112+E113</f>
        <v>0</v>
      </c>
      <c r="F101" s="675">
        <f>F102+F103+F104+F105+F106+F108+F109+F110+F111+F112+F113</f>
        <v>0</v>
      </c>
      <c r="G101" s="675">
        <f>G102+G103+G104+G105+G106+G108+G109+G110+G111+G112+G113</f>
        <v>0</v>
      </c>
    </row>
    <row r="102" spans="1:7" s="657" customFormat="1">
      <c r="A102" s="668" t="s">
        <v>97</v>
      </c>
      <c r="B102" s="702" t="s">
        <v>438</v>
      </c>
      <c r="C102" s="675"/>
      <c r="D102" s="675"/>
      <c r="E102" s="675"/>
      <c r="F102" s="675"/>
      <c r="G102" s="675"/>
    </row>
    <row r="103" spans="1:7" s="657" customFormat="1">
      <c r="A103" s="668" t="s">
        <v>98</v>
      </c>
      <c r="B103" s="705" t="s">
        <v>437</v>
      </c>
      <c r="C103" s="675"/>
      <c r="D103" s="675"/>
      <c r="E103" s="675"/>
      <c r="F103" s="675"/>
      <c r="G103" s="675"/>
    </row>
    <row r="104" spans="1:7" s="657" customFormat="1">
      <c r="A104" s="668" t="s">
        <v>108</v>
      </c>
      <c r="B104" s="705" t="s">
        <v>436</v>
      </c>
      <c r="C104" s="675"/>
      <c r="D104" s="675"/>
      <c r="E104" s="675"/>
      <c r="F104" s="675"/>
      <c r="G104" s="675"/>
    </row>
    <row r="105" spans="1:7" s="657" customFormat="1">
      <c r="A105" s="668" t="s">
        <v>109</v>
      </c>
      <c r="B105" s="706" t="s">
        <v>347</v>
      </c>
      <c r="C105" s="675"/>
      <c r="D105" s="675"/>
      <c r="E105" s="675"/>
      <c r="F105" s="675"/>
      <c r="G105" s="675"/>
    </row>
    <row r="106" spans="1:7" s="657" customFormat="1">
      <c r="A106" s="668" t="s">
        <v>110</v>
      </c>
      <c r="B106" s="707" t="s">
        <v>348</v>
      </c>
      <c r="C106" s="675"/>
      <c r="D106" s="675"/>
      <c r="E106" s="675"/>
      <c r="F106" s="675"/>
      <c r="G106" s="675"/>
    </row>
    <row r="107" spans="1:7" s="657" customFormat="1">
      <c r="A107" s="668" t="s">
        <v>111</v>
      </c>
      <c r="B107" s="707" t="s">
        <v>349</v>
      </c>
      <c r="C107" s="675"/>
      <c r="D107" s="675"/>
      <c r="E107" s="675"/>
      <c r="F107" s="675"/>
      <c r="G107" s="675"/>
    </row>
    <row r="108" spans="1:7" s="657" customFormat="1">
      <c r="A108" s="668" t="s">
        <v>113</v>
      </c>
      <c r="B108" s="706" t="s">
        <v>350</v>
      </c>
      <c r="C108" s="675"/>
      <c r="D108" s="675"/>
      <c r="E108" s="675"/>
      <c r="F108" s="675"/>
      <c r="G108" s="675"/>
    </row>
    <row r="109" spans="1:7" s="657" customFormat="1">
      <c r="A109" s="668" t="s">
        <v>175</v>
      </c>
      <c r="B109" s="706" t="s">
        <v>351</v>
      </c>
      <c r="C109" s="675"/>
      <c r="D109" s="675"/>
      <c r="E109" s="675"/>
      <c r="F109" s="675"/>
      <c r="G109" s="675"/>
    </row>
    <row r="110" spans="1:7" s="657" customFormat="1">
      <c r="A110" s="668" t="s">
        <v>345</v>
      </c>
      <c r="B110" s="707" t="s">
        <v>352</v>
      </c>
      <c r="C110" s="675"/>
      <c r="D110" s="675"/>
      <c r="E110" s="675"/>
      <c r="F110" s="675"/>
      <c r="G110" s="675"/>
    </row>
    <row r="111" spans="1:7" s="657" customFormat="1">
      <c r="A111" s="708" t="s">
        <v>346</v>
      </c>
      <c r="B111" s="705" t="s">
        <v>353</v>
      </c>
      <c r="C111" s="675"/>
      <c r="D111" s="675"/>
      <c r="E111" s="675"/>
      <c r="F111" s="675"/>
      <c r="G111" s="675"/>
    </row>
    <row r="112" spans="1:7" s="657" customFormat="1">
      <c r="A112" s="668" t="s">
        <v>434</v>
      </c>
      <c r="B112" s="705" t="s">
        <v>354</v>
      </c>
      <c r="C112" s="675"/>
      <c r="D112" s="675"/>
      <c r="E112" s="675"/>
      <c r="F112" s="675"/>
      <c r="G112" s="675"/>
    </row>
    <row r="113" spans="1:7" s="657" customFormat="1">
      <c r="A113" s="672" t="s">
        <v>435</v>
      </c>
      <c r="B113" s="705" t="s">
        <v>355</v>
      </c>
      <c r="C113" s="675"/>
      <c r="D113" s="675"/>
      <c r="E113" s="675"/>
      <c r="F113" s="675"/>
      <c r="G113" s="675"/>
    </row>
    <row r="114" spans="1:7" s="657" customFormat="1">
      <c r="A114" s="668" t="s">
        <v>439</v>
      </c>
      <c r="B114" s="703" t="s">
        <v>45</v>
      </c>
      <c r="C114" s="670">
        <f>C115+C116</f>
        <v>0</v>
      </c>
      <c r="D114" s="670">
        <f>D115+D116</f>
        <v>0</v>
      </c>
      <c r="E114" s="670">
        <f>E115+E116</f>
        <v>0</v>
      </c>
      <c r="F114" s="670">
        <f>F115+F116</f>
        <v>0</v>
      </c>
      <c r="G114" s="670">
        <f>G115+G116</f>
        <v>0</v>
      </c>
    </row>
    <row r="115" spans="1:7" s="657" customFormat="1">
      <c r="A115" s="668" t="s">
        <v>440</v>
      </c>
      <c r="B115" s="702" t="s">
        <v>442</v>
      </c>
      <c r="C115" s="670"/>
      <c r="D115" s="670"/>
      <c r="E115" s="670"/>
      <c r="F115" s="670"/>
      <c r="G115" s="670"/>
    </row>
    <row r="116" spans="1:7" s="657" customFormat="1">
      <c r="A116" s="668" t="s">
        <v>441</v>
      </c>
      <c r="B116" s="729" t="s">
        <v>443</v>
      </c>
      <c r="C116" s="670"/>
      <c r="D116" s="670"/>
      <c r="E116" s="670"/>
      <c r="F116" s="670"/>
      <c r="G116" s="670"/>
    </row>
    <row r="117" spans="1:7" s="657" customFormat="1" ht="16.5" thickBot="1">
      <c r="A117" s="712" t="s">
        <v>15</v>
      </c>
      <c r="B117" s="713" t="s">
        <v>726</v>
      </c>
      <c r="C117" s="714">
        <f>+C118+C120+C122</f>
        <v>24523700</v>
      </c>
      <c r="D117" s="714">
        <f>+D118+D120+D122</f>
        <v>24523700</v>
      </c>
      <c r="E117" s="714">
        <f>+E118+E120+E122</f>
        <v>24841200</v>
      </c>
      <c r="F117" s="714">
        <f>+F118+F120+F122</f>
        <v>26733754</v>
      </c>
      <c r="G117" s="714">
        <f>+G118+G120+G122</f>
        <v>26733754</v>
      </c>
    </row>
    <row r="118" spans="1:7" s="657" customFormat="1">
      <c r="A118" s="665" t="s">
        <v>99</v>
      </c>
      <c r="B118" s="702" t="s">
        <v>217</v>
      </c>
      <c r="C118" s="667">
        <v>18097500</v>
      </c>
      <c r="D118" s="667">
        <v>18097500</v>
      </c>
      <c r="E118" s="667">
        <f>18097500+317500</f>
        <v>18415000</v>
      </c>
      <c r="F118" s="667">
        <f>18097500+317500+622554+1270000</f>
        <v>20307554</v>
      </c>
      <c r="G118" s="667">
        <f>18097500+317500+622554+1270000</f>
        <v>20307554</v>
      </c>
    </row>
    <row r="119" spans="1:7" s="657" customFormat="1">
      <c r="A119" s="665" t="s">
        <v>100</v>
      </c>
      <c r="B119" s="715" t="s">
        <v>359</v>
      </c>
      <c r="C119" s="667"/>
      <c r="D119" s="667"/>
      <c r="E119" s="667"/>
      <c r="F119" s="667"/>
      <c r="G119" s="667"/>
    </row>
    <row r="120" spans="1:7" s="657" customFormat="1">
      <c r="A120" s="665" t="s">
        <v>101</v>
      </c>
      <c r="B120" s="715" t="s">
        <v>176</v>
      </c>
      <c r="C120" s="670">
        <v>6426200</v>
      </c>
      <c r="D120" s="670">
        <v>6426200</v>
      </c>
      <c r="E120" s="670">
        <v>6426200</v>
      </c>
      <c r="F120" s="670">
        <v>6426200</v>
      </c>
      <c r="G120" s="670">
        <v>6426200</v>
      </c>
    </row>
    <row r="121" spans="1:7" s="657" customFormat="1">
      <c r="A121" s="665" t="s">
        <v>102</v>
      </c>
      <c r="B121" s="715" t="s">
        <v>360</v>
      </c>
      <c r="C121" s="716"/>
      <c r="D121" s="716"/>
      <c r="E121" s="716"/>
      <c r="F121" s="716"/>
      <c r="G121" s="716"/>
    </row>
    <row r="122" spans="1:7" s="657" customFormat="1">
      <c r="A122" s="665" t="s">
        <v>103</v>
      </c>
      <c r="B122" s="673" t="s">
        <v>219</v>
      </c>
      <c r="C122" s="716">
        <f>C123+C124+C125+C126+C127+C128+C129+C130</f>
        <v>0</v>
      </c>
      <c r="D122" s="716">
        <f>D123+D124+D125+D126+D127+D128+D129+D130</f>
        <v>0</v>
      </c>
      <c r="E122" s="716">
        <f>E123+E124+E125+E126+E127+E128+E129+E130</f>
        <v>0</v>
      </c>
      <c r="F122" s="716">
        <f>F123+F124+F125+F126+F127+F128+F129+F130</f>
        <v>0</v>
      </c>
      <c r="G122" s="716">
        <f>G123+G124+G125+G126+G127+G128+G129+G130</f>
        <v>0</v>
      </c>
    </row>
    <row r="123" spans="1:7" s="657" customFormat="1">
      <c r="A123" s="665" t="s">
        <v>112</v>
      </c>
      <c r="B123" s="671" t="s">
        <v>422</v>
      </c>
      <c r="C123" s="716"/>
      <c r="D123" s="716"/>
      <c r="E123" s="716"/>
      <c r="F123" s="716"/>
      <c r="G123" s="716"/>
    </row>
    <row r="124" spans="1:7" s="657" customFormat="1">
      <c r="A124" s="665" t="s">
        <v>114</v>
      </c>
      <c r="B124" s="717" t="s">
        <v>365</v>
      </c>
      <c r="C124" s="716"/>
      <c r="D124" s="716"/>
      <c r="E124" s="716"/>
      <c r="F124" s="716"/>
      <c r="G124" s="716"/>
    </row>
    <row r="125" spans="1:7" s="657" customFormat="1">
      <c r="A125" s="665" t="s">
        <v>177</v>
      </c>
      <c r="B125" s="707" t="s">
        <v>349</v>
      </c>
      <c r="C125" s="716"/>
      <c r="D125" s="716"/>
      <c r="E125" s="716"/>
      <c r="F125" s="716"/>
      <c r="G125" s="716"/>
    </row>
    <row r="126" spans="1:7" s="657" customFormat="1">
      <c r="A126" s="665" t="s">
        <v>178</v>
      </c>
      <c r="B126" s="707" t="s">
        <v>364</v>
      </c>
      <c r="C126" s="716"/>
      <c r="D126" s="716"/>
      <c r="E126" s="716"/>
      <c r="F126" s="716"/>
      <c r="G126" s="716"/>
    </row>
    <row r="127" spans="1:7" s="657" customFormat="1">
      <c r="A127" s="665" t="s">
        <v>179</v>
      </c>
      <c r="B127" s="707" t="s">
        <v>363</v>
      </c>
      <c r="C127" s="716"/>
      <c r="D127" s="716"/>
      <c r="E127" s="716"/>
      <c r="F127" s="716"/>
      <c r="G127" s="716"/>
    </row>
    <row r="128" spans="1:7" s="657" customFormat="1">
      <c r="A128" s="665" t="s">
        <v>356</v>
      </c>
      <c r="B128" s="707" t="s">
        <v>352</v>
      </c>
      <c r="C128" s="716"/>
      <c r="D128" s="716"/>
      <c r="E128" s="716"/>
      <c r="F128" s="716"/>
      <c r="G128" s="716"/>
    </row>
    <row r="129" spans="1:7" s="657" customFormat="1">
      <c r="A129" s="665" t="s">
        <v>357</v>
      </c>
      <c r="B129" s="707" t="s">
        <v>362</v>
      </c>
      <c r="C129" s="716"/>
      <c r="D129" s="716"/>
      <c r="E129" s="716"/>
      <c r="F129" s="716"/>
      <c r="G129" s="716"/>
    </row>
    <row r="130" spans="1:7" s="657" customFormat="1" ht="16.5" thickBot="1">
      <c r="A130" s="708" t="s">
        <v>358</v>
      </c>
      <c r="B130" s="707" t="s">
        <v>361</v>
      </c>
      <c r="C130" s="718"/>
      <c r="D130" s="718"/>
      <c r="E130" s="718"/>
      <c r="F130" s="718"/>
      <c r="G130" s="718"/>
    </row>
    <row r="131" spans="1:7" s="657" customFormat="1" ht="16.5" thickBot="1">
      <c r="A131" s="662" t="s">
        <v>16</v>
      </c>
      <c r="B131" s="719" t="s">
        <v>444</v>
      </c>
      <c r="C131" s="664">
        <f>+C96+C117</f>
        <v>124246829</v>
      </c>
      <c r="D131" s="664">
        <f>+D96+D117</f>
        <v>123022890</v>
      </c>
      <c r="E131" s="664">
        <f>+E96+E117</f>
        <v>123340390</v>
      </c>
      <c r="F131" s="664">
        <f>+F96+F117</f>
        <v>144392936</v>
      </c>
      <c r="G131" s="664">
        <f>+G96+G117</f>
        <v>144033386</v>
      </c>
    </row>
    <row r="132" spans="1:7" s="657" customFormat="1" ht="16.5" thickBot="1">
      <c r="A132" s="662" t="s">
        <v>17</v>
      </c>
      <c r="B132" s="719" t="s">
        <v>445</v>
      </c>
      <c r="C132" s="664">
        <f>+C133+C134+C135</f>
        <v>0</v>
      </c>
      <c r="D132" s="664">
        <f>+D133+D134+D135</f>
        <v>0</v>
      </c>
      <c r="E132" s="664">
        <f>+E133+E134+E135</f>
        <v>0</v>
      </c>
      <c r="F132" s="664">
        <f>+F133+F134+F135</f>
        <v>0</v>
      </c>
      <c r="G132" s="664">
        <f>+G133+G134+G135</f>
        <v>0</v>
      </c>
    </row>
    <row r="133" spans="1:7" s="657" customFormat="1">
      <c r="A133" s="665" t="s">
        <v>257</v>
      </c>
      <c r="B133" s="715" t="s">
        <v>452</v>
      </c>
      <c r="C133" s="716"/>
      <c r="D133" s="716"/>
      <c r="E133" s="716"/>
      <c r="F133" s="716"/>
      <c r="G133" s="716"/>
    </row>
    <row r="134" spans="1:7" s="657" customFormat="1">
      <c r="A134" s="665" t="s">
        <v>260</v>
      </c>
      <c r="B134" s="715" t="s">
        <v>453</v>
      </c>
      <c r="C134" s="716"/>
      <c r="D134" s="716"/>
      <c r="E134" s="716"/>
      <c r="F134" s="716"/>
      <c r="G134" s="716"/>
    </row>
    <row r="135" spans="1:7" s="657" customFormat="1" ht="16.5" thickBot="1">
      <c r="A135" s="708" t="s">
        <v>261</v>
      </c>
      <c r="B135" s="715" t="s">
        <v>454</v>
      </c>
      <c r="C135" s="716"/>
      <c r="D135" s="716"/>
      <c r="E135" s="716"/>
      <c r="F135" s="716"/>
      <c r="G135" s="716"/>
    </row>
    <row r="136" spans="1:7" s="657" customFormat="1" ht="16.5" thickBot="1">
      <c r="A136" s="662" t="s">
        <v>18</v>
      </c>
      <c r="B136" s="719" t="s">
        <v>446</v>
      </c>
      <c r="C136" s="664">
        <f>SUM(C137:C142)</f>
        <v>0</v>
      </c>
      <c r="D136" s="664">
        <f>SUM(D137:D142)</f>
        <v>0</v>
      </c>
      <c r="E136" s="664">
        <f>SUM(E137:E142)</f>
        <v>0</v>
      </c>
      <c r="F136" s="664">
        <f>SUM(F137:F142)</f>
        <v>0</v>
      </c>
      <c r="G136" s="664">
        <f>SUM(G137:G142)</f>
        <v>0</v>
      </c>
    </row>
    <row r="137" spans="1:7" s="657" customFormat="1">
      <c r="A137" s="665" t="s">
        <v>86</v>
      </c>
      <c r="B137" s="720" t="s">
        <v>455</v>
      </c>
      <c r="C137" s="716"/>
      <c r="D137" s="716"/>
      <c r="E137" s="716"/>
      <c r="F137" s="716"/>
      <c r="G137" s="716"/>
    </row>
    <row r="138" spans="1:7" s="657" customFormat="1">
      <c r="A138" s="665" t="s">
        <v>87</v>
      </c>
      <c r="B138" s="720" t="s">
        <v>447</v>
      </c>
      <c r="C138" s="716"/>
      <c r="D138" s="716"/>
      <c r="E138" s="716"/>
      <c r="F138" s="716"/>
      <c r="G138" s="716"/>
    </row>
    <row r="139" spans="1:7" s="657" customFormat="1">
      <c r="A139" s="665" t="s">
        <v>88</v>
      </c>
      <c r="B139" s="720" t="s">
        <v>448</v>
      </c>
      <c r="C139" s="716"/>
      <c r="D139" s="716"/>
      <c r="E139" s="716"/>
      <c r="F139" s="716"/>
      <c r="G139" s="716"/>
    </row>
    <row r="140" spans="1:7" s="657" customFormat="1">
      <c r="A140" s="665" t="s">
        <v>164</v>
      </c>
      <c r="B140" s="720" t="s">
        <v>449</v>
      </c>
      <c r="C140" s="716"/>
      <c r="D140" s="716"/>
      <c r="E140" s="716"/>
      <c r="F140" s="716"/>
      <c r="G140" s="716"/>
    </row>
    <row r="141" spans="1:7" s="657" customFormat="1">
      <c r="A141" s="665" t="s">
        <v>165</v>
      </c>
      <c r="B141" s="720" t="s">
        <v>450</v>
      </c>
      <c r="C141" s="716"/>
      <c r="D141" s="716"/>
      <c r="E141" s="716"/>
      <c r="F141" s="716"/>
      <c r="G141" s="716"/>
    </row>
    <row r="142" spans="1:7" s="657" customFormat="1" ht="16.5" thickBot="1">
      <c r="A142" s="708" t="s">
        <v>166</v>
      </c>
      <c r="B142" s="720" t="s">
        <v>451</v>
      </c>
      <c r="C142" s="716"/>
      <c r="D142" s="716"/>
      <c r="E142" s="716"/>
      <c r="F142" s="716"/>
      <c r="G142" s="716"/>
    </row>
    <row r="143" spans="1:7" s="657" customFormat="1" ht="16.5" thickBot="1">
      <c r="A143" s="662" t="s">
        <v>19</v>
      </c>
      <c r="B143" s="719" t="s">
        <v>459</v>
      </c>
      <c r="C143" s="677">
        <f>+C144+C145+C146+C147</f>
        <v>0</v>
      </c>
      <c r="D143" s="677">
        <f>+D144+D145+D146+D147</f>
        <v>0</v>
      </c>
      <c r="E143" s="677">
        <f>+E144+E145+E146+E147</f>
        <v>0</v>
      </c>
      <c r="F143" s="677">
        <f>+F144+F145+F146+F147</f>
        <v>0</v>
      </c>
      <c r="G143" s="677">
        <f>+G144+G145+G146+G147</f>
        <v>0</v>
      </c>
    </row>
    <row r="144" spans="1:7" s="657" customFormat="1">
      <c r="A144" s="665" t="s">
        <v>89</v>
      </c>
      <c r="B144" s="720" t="s">
        <v>366</v>
      </c>
      <c r="C144" s="716"/>
      <c r="D144" s="716"/>
      <c r="E144" s="716"/>
      <c r="F144" s="716"/>
      <c r="G144" s="716"/>
    </row>
    <row r="145" spans="1:7" s="657" customFormat="1">
      <c r="A145" s="665" t="s">
        <v>90</v>
      </c>
      <c r="B145" s="720" t="s">
        <v>367</v>
      </c>
      <c r="C145" s="716"/>
      <c r="D145" s="716"/>
      <c r="E145" s="716"/>
      <c r="F145" s="716"/>
      <c r="G145" s="716"/>
    </row>
    <row r="146" spans="1:7" s="657" customFormat="1">
      <c r="A146" s="665" t="s">
        <v>281</v>
      </c>
      <c r="B146" s="720" t="s">
        <v>460</v>
      </c>
      <c r="C146" s="716"/>
      <c r="D146" s="716"/>
      <c r="E146" s="716"/>
      <c r="F146" s="716"/>
      <c r="G146" s="716"/>
    </row>
    <row r="147" spans="1:7" s="657" customFormat="1" ht="16.5" thickBot="1">
      <c r="A147" s="708" t="s">
        <v>282</v>
      </c>
      <c r="B147" s="721" t="s">
        <v>386</v>
      </c>
      <c r="C147" s="716"/>
      <c r="D147" s="716"/>
      <c r="E147" s="716"/>
      <c r="F147" s="716"/>
      <c r="G147" s="716"/>
    </row>
    <row r="148" spans="1:7" s="657" customFormat="1" ht="16.5" thickBot="1">
      <c r="A148" s="662" t="s">
        <v>20</v>
      </c>
      <c r="B148" s="719" t="s">
        <v>461</v>
      </c>
      <c r="C148" s="722">
        <f>SUM(C149:C153)</f>
        <v>0</v>
      </c>
      <c r="D148" s="722">
        <f>SUM(D149:D153)</f>
        <v>0</v>
      </c>
      <c r="E148" s="722">
        <f>SUM(E149:E153)</f>
        <v>0</v>
      </c>
      <c r="F148" s="722">
        <f>SUM(F149:F153)</f>
        <v>0</v>
      </c>
      <c r="G148" s="722">
        <f>SUM(G149:G153)</f>
        <v>0</v>
      </c>
    </row>
    <row r="149" spans="1:7" s="657" customFormat="1">
      <c r="A149" s="665" t="s">
        <v>91</v>
      </c>
      <c r="B149" s="720" t="s">
        <v>456</v>
      </c>
      <c r="C149" s="716"/>
      <c r="D149" s="716"/>
      <c r="E149" s="716"/>
      <c r="F149" s="716"/>
      <c r="G149" s="716"/>
    </row>
    <row r="150" spans="1:7" s="657" customFormat="1">
      <c r="A150" s="665" t="s">
        <v>92</v>
      </c>
      <c r="B150" s="720" t="s">
        <v>463</v>
      </c>
      <c r="C150" s="716"/>
      <c r="D150" s="716"/>
      <c r="E150" s="716"/>
      <c r="F150" s="716"/>
      <c r="G150" s="716"/>
    </row>
    <row r="151" spans="1:7" s="657" customFormat="1">
      <c r="A151" s="665" t="s">
        <v>293</v>
      </c>
      <c r="B151" s="720" t="s">
        <v>458</v>
      </c>
      <c r="C151" s="716"/>
      <c r="D151" s="716"/>
      <c r="E151" s="716"/>
      <c r="F151" s="716"/>
      <c r="G151" s="716"/>
    </row>
    <row r="152" spans="1:7" s="657" customFormat="1">
      <c r="A152" s="665" t="s">
        <v>294</v>
      </c>
      <c r="B152" s="720" t="s">
        <v>464</v>
      </c>
      <c r="C152" s="716"/>
      <c r="D152" s="716"/>
      <c r="E152" s="716"/>
      <c r="F152" s="716"/>
      <c r="G152" s="716"/>
    </row>
    <row r="153" spans="1:7" s="657" customFormat="1" ht="16.5" thickBot="1">
      <c r="A153" s="665" t="s">
        <v>462</v>
      </c>
      <c r="B153" s="720" t="s">
        <v>465</v>
      </c>
      <c r="C153" s="716"/>
      <c r="D153" s="716"/>
      <c r="E153" s="716"/>
      <c r="F153" s="716"/>
      <c r="G153" s="716"/>
    </row>
    <row r="154" spans="1:7" s="657" customFormat="1" ht="16.5" thickBot="1">
      <c r="A154" s="662" t="s">
        <v>21</v>
      </c>
      <c r="B154" s="719" t="s">
        <v>466</v>
      </c>
      <c r="C154" s="723"/>
      <c r="D154" s="723"/>
      <c r="E154" s="723"/>
      <c r="F154" s="723"/>
      <c r="G154" s="723"/>
    </row>
    <row r="155" spans="1:7" s="657" customFormat="1" ht="16.5" thickBot="1">
      <c r="A155" s="662" t="s">
        <v>22</v>
      </c>
      <c r="B155" s="719" t="s">
        <v>467</v>
      </c>
      <c r="C155" s="723"/>
      <c r="D155" s="723"/>
      <c r="E155" s="723"/>
      <c r="F155" s="723"/>
      <c r="G155" s="723"/>
    </row>
    <row r="156" spans="1:7" s="657" customFormat="1" ht="16.5" thickBot="1">
      <c r="A156" s="662" t="s">
        <v>23</v>
      </c>
      <c r="B156" s="719" t="s">
        <v>469</v>
      </c>
      <c r="C156" s="724">
        <f>+C132+C136+C143+C148+C154+C155</f>
        <v>0</v>
      </c>
      <c r="D156" s="724">
        <f>+D132+D136+D143+D148+D154+D155</f>
        <v>0</v>
      </c>
      <c r="E156" s="724">
        <f>+E132+E136+E143+E148+E154+E155</f>
        <v>0</v>
      </c>
      <c r="F156" s="724">
        <f>+F132+F136+F143+F148+F154+F155</f>
        <v>0</v>
      </c>
      <c r="G156" s="724">
        <f>+G132+G136+G143+G148+G154+G155</f>
        <v>0</v>
      </c>
    </row>
    <row r="157" spans="1:7" s="661" customFormat="1" ht="16.5" thickBot="1">
      <c r="A157" s="725" t="s">
        <v>24</v>
      </c>
      <c r="B157" s="726" t="s">
        <v>468</v>
      </c>
      <c r="C157" s="724">
        <f>+C131+C156</f>
        <v>124246829</v>
      </c>
      <c r="D157" s="724">
        <f>+D131+D156</f>
        <v>123022890</v>
      </c>
      <c r="E157" s="724">
        <f>+E131+E156</f>
        <v>123340390</v>
      </c>
      <c r="F157" s="724">
        <f>+F131+F156</f>
        <v>144392936</v>
      </c>
      <c r="G157" s="724">
        <f>+G131+G156</f>
        <v>144033386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7" orientation="landscape" verticalDpi="300" r:id="rId1"/>
  <headerFooter alignWithMargins="0">
    <oddFooter>&amp;P. oldal, összesen: &amp;N</oddFooter>
  </headerFooter>
  <rowBreaks count="3" manualBreakCount="3">
    <brk id="48" max="16383" man="1"/>
    <brk id="90" max="16383" man="1"/>
    <brk id="1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7030A0"/>
  </sheetPr>
  <dimension ref="A1:G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783" customWidth="1"/>
    <col min="2" max="2" width="72" style="773" customWidth="1"/>
    <col min="3" max="7" width="25" style="784" customWidth="1"/>
    <col min="8" max="16384" width="9.33203125" style="773"/>
  </cols>
  <sheetData>
    <row r="1" spans="1:7" s="100" customFormat="1" ht="16.5" customHeight="1" thickBot="1">
      <c r="A1" s="1"/>
      <c r="B1" s="101" t="s">
        <v>763</v>
      </c>
      <c r="C1" s="101"/>
      <c r="D1" s="101"/>
      <c r="E1" s="101"/>
      <c r="F1" s="101"/>
      <c r="G1" s="101"/>
    </row>
    <row r="2" spans="1:7" s="103" customFormat="1" ht="21" customHeight="1">
      <c r="A2" s="2" t="s">
        <v>56</v>
      </c>
      <c r="B2" s="3" t="s">
        <v>536</v>
      </c>
      <c r="C2" s="102" t="s">
        <v>49</v>
      </c>
      <c r="D2" s="102" t="s">
        <v>49</v>
      </c>
      <c r="E2" s="102" t="s">
        <v>49</v>
      </c>
      <c r="F2" s="102" t="s">
        <v>49</v>
      </c>
      <c r="G2" s="102" t="s">
        <v>49</v>
      </c>
    </row>
    <row r="3" spans="1:7" s="103" customFormat="1" ht="16.5" thickBot="1">
      <c r="A3" s="104" t="s">
        <v>191</v>
      </c>
      <c r="B3" s="4" t="s">
        <v>519</v>
      </c>
      <c r="C3" s="105" t="s">
        <v>425</v>
      </c>
      <c r="D3" s="105" t="s">
        <v>425</v>
      </c>
      <c r="E3" s="105" t="s">
        <v>425</v>
      </c>
      <c r="F3" s="105" t="s">
        <v>425</v>
      </c>
      <c r="G3" s="105" t="s">
        <v>425</v>
      </c>
    </row>
    <row r="4" spans="1:7" s="106" customFormat="1" ht="15.95" customHeight="1" thickBot="1">
      <c r="A4" s="5"/>
      <c r="B4" s="5"/>
      <c r="C4" s="6" t="s">
        <v>581</v>
      </c>
      <c r="D4" s="6" t="s">
        <v>581</v>
      </c>
      <c r="E4" s="6" t="s">
        <v>581</v>
      </c>
      <c r="F4" s="6" t="s">
        <v>581</v>
      </c>
      <c r="G4" s="6" t="s">
        <v>581</v>
      </c>
    </row>
    <row r="5" spans="1:7" ht="26.25" thickBot="1">
      <c r="A5" s="7" t="s">
        <v>193</v>
      </c>
      <c r="B5" s="8" t="s">
        <v>50</v>
      </c>
      <c r="C5" s="485" t="s">
        <v>690</v>
      </c>
      <c r="D5" s="485" t="s">
        <v>716</v>
      </c>
      <c r="E5" s="485" t="s">
        <v>719</v>
      </c>
      <c r="F5" s="485" t="s">
        <v>729</v>
      </c>
      <c r="G5" s="485" t="s">
        <v>750</v>
      </c>
    </row>
    <row r="6" spans="1:7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  <c r="G6" s="12" t="s">
        <v>485</v>
      </c>
    </row>
    <row r="7" spans="1:7" s="107" customFormat="1" ht="15.95" customHeight="1" thickBot="1">
      <c r="A7" s="13"/>
      <c r="B7" s="14" t="s">
        <v>51</v>
      </c>
      <c r="C7" s="108"/>
      <c r="D7" s="108"/>
      <c r="E7" s="108"/>
      <c r="F7" s="108"/>
      <c r="G7" s="108"/>
    </row>
    <row r="8" spans="1:7" s="107" customFormat="1" ht="12" customHeight="1" thickBot="1">
      <c r="A8" s="72" t="s">
        <v>14</v>
      </c>
      <c r="B8" s="39" t="s">
        <v>241</v>
      </c>
      <c r="C8" s="40">
        <f>+C9+C10+C11+C12+C13+C14</f>
        <v>0</v>
      </c>
      <c r="D8" s="40">
        <f>+D9+D10+D11+D12+D13+D14</f>
        <v>0</v>
      </c>
      <c r="E8" s="40">
        <f>+E9+E10+E11+E12+E13+E14</f>
        <v>0</v>
      </c>
      <c r="F8" s="40">
        <f>+F9+F10+F11+F12+F13+F14</f>
        <v>0</v>
      </c>
      <c r="G8" s="40">
        <f>+G9+G10+G11+G12+G13+G14</f>
        <v>0</v>
      </c>
    </row>
    <row r="9" spans="1:7" s="197" customFormat="1" ht="12" customHeight="1">
      <c r="A9" s="196" t="s">
        <v>93</v>
      </c>
      <c r="B9" s="43" t="s">
        <v>242</v>
      </c>
      <c r="C9" s="44"/>
      <c r="D9" s="44"/>
      <c r="E9" s="44"/>
      <c r="F9" s="44"/>
      <c r="G9" s="44"/>
    </row>
    <row r="10" spans="1:7" s="199" customFormat="1" ht="12" customHeight="1">
      <c r="A10" s="198" t="s">
        <v>94</v>
      </c>
      <c r="B10" s="46" t="s">
        <v>243</v>
      </c>
      <c r="C10" s="47"/>
      <c r="D10" s="47"/>
      <c r="E10" s="47"/>
      <c r="F10" s="47"/>
      <c r="G10" s="47"/>
    </row>
    <row r="11" spans="1:7" s="199" customFormat="1" ht="12" customHeight="1">
      <c r="A11" s="198" t="s">
        <v>95</v>
      </c>
      <c r="B11" s="46" t="s">
        <v>244</v>
      </c>
      <c r="C11" s="47"/>
      <c r="D11" s="47"/>
      <c r="E11" s="47"/>
      <c r="F11" s="47"/>
      <c r="G11" s="47"/>
    </row>
    <row r="12" spans="1:7" s="199" customFormat="1" ht="12" customHeight="1">
      <c r="A12" s="198" t="s">
        <v>96</v>
      </c>
      <c r="B12" s="46" t="s">
        <v>245</v>
      </c>
      <c r="C12" s="47"/>
      <c r="D12" s="47"/>
      <c r="E12" s="47"/>
      <c r="F12" s="47"/>
      <c r="G12" s="47"/>
    </row>
    <row r="13" spans="1:7" s="199" customFormat="1" ht="12" customHeight="1">
      <c r="A13" s="198" t="s">
        <v>139</v>
      </c>
      <c r="B13" s="46" t="s">
        <v>497</v>
      </c>
      <c r="C13" s="47"/>
      <c r="D13" s="47"/>
      <c r="E13" s="47"/>
      <c r="F13" s="47"/>
      <c r="G13" s="47"/>
    </row>
    <row r="14" spans="1:7" s="197" customFormat="1" ht="12" customHeight="1" thickBot="1">
      <c r="A14" s="200" t="s">
        <v>97</v>
      </c>
      <c r="B14" s="53" t="s">
        <v>427</v>
      </c>
      <c r="C14" s="47"/>
      <c r="D14" s="47"/>
      <c r="E14" s="47"/>
      <c r="F14" s="47"/>
      <c r="G14" s="47"/>
    </row>
    <row r="15" spans="1:7" s="197" customFormat="1" ht="12" customHeight="1" thickBot="1">
      <c r="A15" s="72" t="s">
        <v>15</v>
      </c>
      <c r="B15" s="51" t="s">
        <v>246</v>
      </c>
      <c r="C15" s="40">
        <f>+C16+C17+C18+C19+C20</f>
        <v>0</v>
      </c>
      <c r="D15" s="40">
        <f>+D16+D17+D18+D19+D20</f>
        <v>0</v>
      </c>
      <c r="E15" s="40">
        <f>+E16+E17+E18+E19+E20</f>
        <v>0</v>
      </c>
      <c r="F15" s="40">
        <f>+F16+F17+F18+F19+F20</f>
        <v>0</v>
      </c>
      <c r="G15" s="40">
        <f>+G16+G17+G18+G19+G20</f>
        <v>0</v>
      </c>
    </row>
    <row r="16" spans="1:7" s="197" customFormat="1" ht="12" customHeight="1">
      <c r="A16" s="196" t="s">
        <v>99</v>
      </c>
      <c r="B16" s="43" t="s">
        <v>247</v>
      </c>
      <c r="C16" s="44"/>
      <c r="D16" s="44"/>
      <c r="E16" s="44"/>
      <c r="F16" s="44"/>
      <c r="G16" s="44"/>
    </row>
    <row r="17" spans="1:7" s="197" customFormat="1" ht="12" customHeight="1">
      <c r="A17" s="198" t="s">
        <v>100</v>
      </c>
      <c r="B17" s="46" t="s">
        <v>248</v>
      </c>
      <c r="C17" s="47"/>
      <c r="D17" s="47"/>
      <c r="E17" s="47"/>
      <c r="F17" s="47"/>
      <c r="G17" s="47"/>
    </row>
    <row r="18" spans="1:7" s="197" customFormat="1" ht="12" customHeight="1">
      <c r="A18" s="198" t="s">
        <v>101</v>
      </c>
      <c r="B18" s="46" t="s">
        <v>416</v>
      </c>
      <c r="C18" s="47"/>
      <c r="D18" s="47"/>
      <c r="E18" s="47"/>
      <c r="F18" s="47"/>
      <c r="G18" s="47"/>
    </row>
    <row r="19" spans="1:7" s="197" customFormat="1" ht="12" customHeight="1">
      <c r="A19" s="198" t="s">
        <v>102</v>
      </c>
      <c r="B19" s="46" t="s">
        <v>417</v>
      </c>
      <c r="C19" s="47"/>
      <c r="D19" s="47"/>
      <c r="E19" s="47"/>
      <c r="F19" s="47"/>
      <c r="G19" s="47"/>
    </row>
    <row r="20" spans="1:7" s="197" customFormat="1" ht="12" customHeight="1">
      <c r="A20" s="198" t="s">
        <v>103</v>
      </c>
      <c r="B20" s="46" t="s">
        <v>249</v>
      </c>
      <c r="C20" s="47"/>
      <c r="D20" s="47"/>
      <c r="E20" s="47"/>
      <c r="F20" s="47"/>
      <c r="G20" s="47"/>
    </row>
    <row r="21" spans="1:7" s="199" customFormat="1" ht="12" customHeight="1" thickBot="1">
      <c r="A21" s="200" t="s">
        <v>112</v>
      </c>
      <c r="B21" s="53" t="s">
        <v>250</v>
      </c>
      <c r="C21" s="52"/>
      <c r="D21" s="52"/>
      <c r="E21" s="52"/>
      <c r="F21" s="52"/>
      <c r="G21" s="52"/>
    </row>
    <row r="22" spans="1:7" s="199" customFormat="1" ht="12" customHeight="1" thickBot="1">
      <c r="A22" s="72" t="s">
        <v>16</v>
      </c>
      <c r="B22" s="39" t="s">
        <v>251</v>
      </c>
      <c r="C22" s="40">
        <f>+C23+C24+C25+C26+C27</f>
        <v>0</v>
      </c>
      <c r="D22" s="40">
        <f>+D23+D24+D25+D26+D27</f>
        <v>0</v>
      </c>
      <c r="E22" s="40">
        <f>+E23+E24+E25+E26+E27</f>
        <v>0</v>
      </c>
      <c r="F22" s="40">
        <f>+F23+F24+F25+F26+F27</f>
        <v>0</v>
      </c>
      <c r="G22" s="40">
        <f>+G23+G24+G25+G26+G27</f>
        <v>0</v>
      </c>
    </row>
    <row r="23" spans="1:7" s="199" customFormat="1" ht="12" customHeight="1">
      <c r="A23" s="196" t="s">
        <v>82</v>
      </c>
      <c r="B23" s="43" t="s">
        <v>252</v>
      </c>
      <c r="C23" s="44"/>
      <c r="D23" s="44"/>
      <c r="E23" s="44"/>
      <c r="F23" s="44"/>
      <c r="G23" s="44"/>
    </row>
    <row r="24" spans="1:7" s="197" customFormat="1" ht="12" customHeight="1">
      <c r="A24" s="198" t="s">
        <v>83</v>
      </c>
      <c r="B24" s="46" t="s">
        <v>253</v>
      </c>
      <c r="C24" s="47"/>
      <c r="D24" s="47"/>
      <c r="E24" s="47"/>
      <c r="F24" s="47"/>
      <c r="G24" s="47"/>
    </row>
    <row r="25" spans="1:7" s="199" customFormat="1" ht="12" customHeight="1">
      <c r="A25" s="198" t="s">
        <v>84</v>
      </c>
      <c r="B25" s="46" t="s">
        <v>418</v>
      </c>
      <c r="C25" s="47"/>
      <c r="D25" s="47"/>
      <c r="E25" s="47"/>
      <c r="F25" s="47"/>
      <c r="G25" s="47"/>
    </row>
    <row r="26" spans="1:7" s="199" customFormat="1" ht="12" customHeight="1">
      <c r="A26" s="198" t="s">
        <v>85</v>
      </c>
      <c r="B26" s="46" t="s">
        <v>419</v>
      </c>
      <c r="C26" s="47"/>
      <c r="D26" s="47"/>
      <c r="E26" s="47"/>
      <c r="F26" s="47"/>
      <c r="G26" s="47"/>
    </row>
    <row r="27" spans="1:7" s="199" customFormat="1" ht="12" customHeight="1">
      <c r="A27" s="198" t="s">
        <v>160</v>
      </c>
      <c r="B27" s="46" t="s">
        <v>254</v>
      </c>
      <c r="C27" s="47"/>
      <c r="D27" s="47"/>
      <c r="E27" s="47"/>
      <c r="F27" s="47"/>
      <c r="G27" s="47"/>
    </row>
    <row r="28" spans="1:7" s="199" customFormat="1" ht="12" customHeight="1" thickBot="1">
      <c r="A28" s="200" t="s">
        <v>161</v>
      </c>
      <c r="B28" s="53" t="s">
        <v>255</v>
      </c>
      <c r="C28" s="52"/>
      <c r="D28" s="52"/>
      <c r="E28" s="52"/>
      <c r="F28" s="52"/>
      <c r="G28" s="52"/>
    </row>
    <row r="29" spans="1:7" s="199" customFormat="1" ht="12" customHeight="1" thickBot="1">
      <c r="A29" s="72" t="s">
        <v>162</v>
      </c>
      <c r="B29" s="39" t="s">
        <v>256</v>
      </c>
      <c r="C29" s="54">
        <f>+C30+C34+C35+C36</f>
        <v>0</v>
      </c>
      <c r="D29" s="54">
        <f>+D30+D34+D35+D36</f>
        <v>0</v>
      </c>
      <c r="E29" s="54">
        <f>+E30+E34+E35+E36</f>
        <v>0</v>
      </c>
      <c r="F29" s="54">
        <f>+F30+F34+F35+F36</f>
        <v>0</v>
      </c>
      <c r="G29" s="54">
        <f>+G30+G34+G35+G36</f>
        <v>0</v>
      </c>
    </row>
    <row r="30" spans="1:7" s="199" customFormat="1" ht="12" customHeight="1">
      <c r="A30" s="196" t="s">
        <v>257</v>
      </c>
      <c r="B30" s="43" t="s">
        <v>498</v>
      </c>
      <c r="C30" s="55">
        <f>+C31+C32+C33</f>
        <v>0</v>
      </c>
      <c r="D30" s="55">
        <f>+D31+D32+D33</f>
        <v>0</v>
      </c>
      <c r="E30" s="55">
        <f>+E31+E32+E33</f>
        <v>0</v>
      </c>
      <c r="F30" s="55">
        <f>+F31+F32+F33</f>
        <v>0</v>
      </c>
      <c r="G30" s="55">
        <f>+G31+G32+G33</f>
        <v>0</v>
      </c>
    </row>
    <row r="31" spans="1:7" s="199" customFormat="1" ht="12" customHeight="1">
      <c r="A31" s="198" t="s">
        <v>258</v>
      </c>
      <c r="B31" s="46" t="s">
        <v>263</v>
      </c>
      <c r="C31" s="47"/>
      <c r="D31" s="47"/>
      <c r="E31" s="47"/>
      <c r="F31" s="47"/>
      <c r="G31" s="47"/>
    </row>
    <row r="32" spans="1:7" s="199" customFormat="1" ht="12" customHeight="1">
      <c r="A32" s="198" t="s">
        <v>259</v>
      </c>
      <c r="B32" s="46" t="s">
        <v>264</v>
      </c>
      <c r="C32" s="47"/>
      <c r="D32" s="47"/>
      <c r="E32" s="47"/>
      <c r="F32" s="47"/>
      <c r="G32" s="47"/>
    </row>
    <row r="33" spans="1:7" s="199" customFormat="1" ht="12" customHeight="1">
      <c r="A33" s="198" t="s">
        <v>431</v>
      </c>
      <c r="B33" s="56" t="s">
        <v>432</v>
      </c>
      <c r="C33" s="47"/>
      <c r="D33" s="47"/>
      <c r="E33" s="47"/>
      <c r="F33" s="47"/>
      <c r="G33" s="47"/>
    </row>
    <row r="34" spans="1:7" s="199" customFormat="1" ht="12" customHeight="1">
      <c r="A34" s="198" t="s">
        <v>260</v>
      </c>
      <c r="B34" s="46" t="s">
        <v>265</v>
      </c>
      <c r="C34" s="47"/>
      <c r="D34" s="47"/>
      <c r="E34" s="47"/>
      <c r="F34" s="47"/>
      <c r="G34" s="47"/>
    </row>
    <row r="35" spans="1:7" s="199" customFormat="1" ht="12" customHeight="1">
      <c r="A35" s="198" t="s">
        <v>261</v>
      </c>
      <c r="B35" s="46" t="s">
        <v>266</v>
      </c>
      <c r="C35" s="47"/>
      <c r="D35" s="47"/>
      <c r="E35" s="47"/>
      <c r="F35" s="47"/>
      <c r="G35" s="47"/>
    </row>
    <row r="36" spans="1:7" s="199" customFormat="1" ht="12" customHeight="1" thickBot="1">
      <c r="A36" s="200" t="s">
        <v>262</v>
      </c>
      <c r="B36" s="53" t="s">
        <v>267</v>
      </c>
      <c r="C36" s="52"/>
      <c r="D36" s="52"/>
      <c r="E36" s="52"/>
      <c r="F36" s="52"/>
      <c r="G36" s="52"/>
    </row>
    <row r="37" spans="1:7" s="199" customFormat="1" ht="12" customHeight="1" thickBot="1">
      <c r="A37" s="72" t="s">
        <v>18</v>
      </c>
      <c r="B37" s="39" t="s">
        <v>428</v>
      </c>
      <c r="C37" s="40">
        <f>SUM(C38:C48)</f>
        <v>0</v>
      </c>
      <c r="D37" s="40">
        <f>SUM(D38:D48)</f>
        <v>0</v>
      </c>
      <c r="E37" s="40">
        <f>SUM(E38:E48)</f>
        <v>0</v>
      </c>
      <c r="F37" s="40">
        <f>SUM(F38:F48)</f>
        <v>0</v>
      </c>
      <c r="G37" s="40">
        <f>SUM(G38:G48)</f>
        <v>0</v>
      </c>
    </row>
    <row r="38" spans="1:7" s="199" customFormat="1" ht="12" customHeight="1">
      <c r="A38" s="196" t="s">
        <v>86</v>
      </c>
      <c r="B38" s="43" t="s">
        <v>270</v>
      </c>
      <c r="C38" s="44"/>
      <c r="D38" s="44"/>
      <c r="E38" s="44"/>
      <c r="F38" s="44"/>
      <c r="G38" s="44"/>
    </row>
    <row r="39" spans="1:7" s="199" customFormat="1" ht="12" customHeight="1">
      <c r="A39" s="198" t="s">
        <v>87</v>
      </c>
      <c r="B39" s="46" t="s">
        <v>271</v>
      </c>
      <c r="C39" s="47"/>
      <c r="D39" s="47"/>
      <c r="E39" s="47"/>
      <c r="F39" s="47"/>
      <c r="G39" s="47"/>
    </row>
    <row r="40" spans="1:7" s="199" customFormat="1" ht="12" customHeight="1">
      <c r="A40" s="198" t="s">
        <v>88</v>
      </c>
      <c r="B40" s="46" t="s">
        <v>272</v>
      </c>
      <c r="C40" s="47"/>
      <c r="D40" s="47"/>
      <c r="E40" s="47"/>
      <c r="F40" s="47"/>
      <c r="G40" s="47"/>
    </row>
    <row r="41" spans="1:7" s="199" customFormat="1" ht="12" customHeight="1">
      <c r="A41" s="198" t="s">
        <v>164</v>
      </c>
      <c r="B41" s="46" t="s">
        <v>273</v>
      </c>
      <c r="C41" s="47"/>
      <c r="D41" s="47"/>
      <c r="E41" s="47"/>
      <c r="F41" s="47"/>
      <c r="G41" s="47"/>
    </row>
    <row r="42" spans="1:7" s="199" customFormat="1" ht="12" customHeight="1">
      <c r="A42" s="198" t="s">
        <v>165</v>
      </c>
      <c r="B42" s="46" t="s">
        <v>274</v>
      </c>
      <c r="C42" s="47"/>
      <c r="D42" s="47"/>
      <c r="E42" s="47"/>
      <c r="F42" s="47"/>
      <c r="G42" s="47"/>
    </row>
    <row r="43" spans="1:7" s="199" customFormat="1" ht="12" customHeight="1">
      <c r="A43" s="198" t="s">
        <v>166</v>
      </c>
      <c r="B43" s="46" t="s">
        <v>275</v>
      </c>
      <c r="C43" s="47"/>
      <c r="D43" s="47"/>
      <c r="E43" s="47"/>
      <c r="F43" s="47"/>
      <c r="G43" s="47"/>
    </row>
    <row r="44" spans="1:7" s="199" customFormat="1" ht="12" customHeight="1">
      <c r="A44" s="198" t="s">
        <v>167</v>
      </c>
      <c r="B44" s="46" t="s">
        <v>276</v>
      </c>
      <c r="C44" s="47"/>
      <c r="D44" s="47"/>
      <c r="E44" s="47"/>
      <c r="F44" s="47"/>
      <c r="G44" s="47"/>
    </row>
    <row r="45" spans="1:7" s="199" customFormat="1" ht="12" customHeight="1">
      <c r="A45" s="198" t="s">
        <v>168</v>
      </c>
      <c r="B45" s="46" t="s">
        <v>277</v>
      </c>
      <c r="C45" s="47"/>
      <c r="D45" s="47"/>
      <c r="E45" s="47"/>
      <c r="F45" s="47"/>
      <c r="G45" s="47"/>
    </row>
    <row r="46" spans="1:7" s="199" customFormat="1" ht="12" customHeight="1">
      <c r="A46" s="198" t="s">
        <v>268</v>
      </c>
      <c r="B46" s="46" t="s">
        <v>278</v>
      </c>
      <c r="C46" s="57"/>
      <c r="D46" s="57"/>
      <c r="E46" s="57"/>
      <c r="F46" s="57"/>
      <c r="G46" s="57"/>
    </row>
    <row r="47" spans="1:7" s="199" customFormat="1" ht="12" customHeight="1">
      <c r="A47" s="200" t="s">
        <v>269</v>
      </c>
      <c r="B47" s="53" t="s">
        <v>430</v>
      </c>
      <c r="C47" s="58"/>
      <c r="D47" s="58"/>
      <c r="E47" s="58"/>
      <c r="F47" s="58"/>
      <c r="G47" s="58"/>
    </row>
    <row r="48" spans="1:7" s="199" customFormat="1" ht="12" customHeight="1" thickBot="1">
      <c r="A48" s="200" t="s">
        <v>429</v>
      </c>
      <c r="B48" s="53" t="s">
        <v>279</v>
      </c>
      <c r="C48" s="58"/>
      <c r="D48" s="58"/>
      <c r="E48" s="58"/>
      <c r="F48" s="58"/>
      <c r="G48" s="58"/>
    </row>
    <row r="49" spans="1:7" s="199" customFormat="1" ht="12" customHeight="1" thickBot="1">
      <c r="A49" s="72" t="s">
        <v>19</v>
      </c>
      <c r="B49" s="39" t="s">
        <v>280</v>
      </c>
      <c r="C49" s="40">
        <f>SUM(C50:C54)</f>
        <v>0</v>
      </c>
      <c r="D49" s="40">
        <f>SUM(D50:D54)</f>
        <v>0</v>
      </c>
      <c r="E49" s="40">
        <f>SUM(E50:E54)</f>
        <v>0</v>
      </c>
      <c r="F49" s="40">
        <f>SUM(F50:F54)</f>
        <v>0</v>
      </c>
      <c r="G49" s="40">
        <f>SUM(G50:G54)</f>
        <v>0</v>
      </c>
    </row>
    <row r="50" spans="1:7" s="199" customFormat="1" ht="12" customHeight="1">
      <c r="A50" s="196" t="s">
        <v>89</v>
      </c>
      <c r="B50" s="43" t="s">
        <v>284</v>
      </c>
      <c r="C50" s="59"/>
      <c r="D50" s="59"/>
      <c r="E50" s="59"/>
      <c r="F50" s="59"/>
      <c r="G50" s="59"/>
    </row>
    <row r="51" spans="1:7" s="199" customFormat="1" ht="12" customHeight="1">
      <c r="A51" s="198" t="s">
        <v>90</v>
      </c>
      <c r="B51" s="46" t="s">
        <v>285</v>
      </c>
      <c r="C51" s="57"/>
      <c r="D51" s="57"/>
      <c r="E51" s="57"/>
      <c r="F51" s="57"/>
      <c r="G51" s="57"/>
    </row>
    <row r="52" spans="1:7" s="199" customFormat="1" ht="12" customHeight="1">
      <c r="A52" s="198" t="s">
        <v>281</v>
      </c>
      <c r="B52" s="46" t="s">
        <v>286</v>
      </c>
      <c r="C52" s="57"/>
      <c r="D52" s="57"/>
      <c r="E52" s="57"/>
      <c r="F52" s="57"/>
      <c r="G52" s="57"/>
    </row>
    <row r="53" spans="1:7" s="199" customFormat="1" ht="12" customHeight="1">
      <c r="A53" s="198" t="s">
        <v>282</v>
      </c>
      <c r="B53" s="46" t="s">
        <v>287</v>
      </c>
      <c r="C53" s="57"/>
      <c r="D53" s="57"/>
      <c r="E53" s="57"/>
      <c r="F53" s="57"/>
      <c r="G53" s="57"/>
    </row>
    <row r="54" spans="1:7" s="199" customFormat="1" ht="12" customHeight="1" thickBot="1">
      <c r="A54" s="200" t="s">
        <v>283</v>
      </c>
      <c r="B54" s="53" t="s">
        <v>288</v>
      </c>
      <c r="C54" s="58"/>
      <c r="D54" s="58"/>
      <c r="E54" s="58"/>
      <c r="F54" s="58"/>
      <c r="G54" s="58"/>
    </row>
    <row r="55" spans="1:7" s="199" customFormat="1" ht="12" customHeight="1" thickBot="1">
      <c r="A55" s="72" t="s">
        <v>169</v>
      </c>
      <c r="B55" s="39" t="s">
        <v>289</v>
      </c>
      <c r="C55" s="40">
        <f>SUM(C56:C58)</f>
        <v>0</v>
      </c>
      <c r="D55" s="40">
        <f>SUM(D56:D58)</f>
        <v>0</v>
      </c>
      <c r="E55" s="40">
        <f>SUM(E56:E58)</f>
        <v>0</v>
      </c>
      <c r="F55" s="40">
        <f>SUM(F56:F58)</f>
        <v>0</v>
      </c>
      <c r="G55" s="40">
        <f>SUM(G56:G58)</f>
        <v>0</v>
      </c>
    </row>
    <row r="56" spans="1:7" s="199" customFormat="1" ht="12" customHeight="1">
      <c r="A56" s="196" t="s">
        <v>91</v>
      </c>
      <c r="B56" s="43" t="s">
        <v>290</v>
      </c>
      <c r="C56" s="44"/>
      <c r="D56" s="44"/>
      <c r="E56" s="44"/>
      <c r="F56" s="44"/>
      <c r="G56" s="44"/>
    </row>
    <row r="57" spans="1:7" s="199" customFormat="1" ht="12" customHeight="1">
      <c r="A57" s="198" t="s">
        <v>92</v>
      </c>
      <c r="B57" s="46" t="s">
        <v>420</v>
      </c>
      <c r="C57" s="47"/>
      <c r="D57" s="47"/>
      <c r="E57" s="47"/>
      <c r="F57" s="47"/>
      <c r="G57" s="47"/>
    </row>
    <row r="58" spans="1:7" s="199" customFormat="1" ht="12" customHeight="1">
      <c r="A58" s="198" t="s">
        <v>293</v>
      </c>
      <c r="B58" s="46" t="s">
        <v>291</v>
      </c>
      <c r="C58" s="47"/>
      <c r="D58" s="47"/>
      <c r="E58" s="47"/>
      <c r="F58" s="47"/>
      <c r="G58" s="47"/>
    </row>
    <row r="59" spans="1:7" s="199" customFormat="1" ht="12" customHeight="1" thickBot="1">
      <c r="A59" s="200" t="s">
        <v>294</v>
      </c>
      <c r="B59" s="53" t="s">
        <v>292</v>
      </c>
      <c r="C59" s="52"/>
      <c r="D59" s="52"/>
      <c r="E59" s="52"/>
      <c r="F59" s="52"/>
      <c r="G59" s="52"/>
    </row>
    <row r="60" spans="1:7" s="199" customFormat="1" ht="12" customHeight="1" thickBot="1">
      <c r="A60" s="72" t="s">
        <v>21</v>
      </c>
      <c r="B60" s="51" t="s">
        <v>295</v>
      </c>
      <c r="C60" s="40">
        <f>SUM(C61:C63)</f>
        <v>0</v>
      </c>
      <c r="D60" s="40">
        <f>SUM(D61:D63)</f>
        <v>0</v>
      </c>
      <c r="E60" s="40">
        <f>SUM(E61:E63)</f>
        <v>0</v>
      </c>
      <c r="F60" s="40">
        <f>SUM(F61:F63)</f>
        <v>0</v>
      </c>
      <c r="G60" s="40">
        <f>SUM(G61:G63)</f>
        <v>0</v>
      </c>
    </row>
    <row r="61" spans="1:7" s="199" customFormat="1" ht="12" customHeight="1">
      <c r="A61" s="196" t="s">
        <v>170</v>
      </c>
      <c r="B61" s="43" t="s">
        <v>297</v>
      </c>
      <c r="C61" s="57"/>
      <c r="D61" s="57"/>
      <c r="E61" s="57"/>
      <c r="F61" s="57"/>
      <c r="G61" s="57"/>
    </row>
    <row r="62" spans="1:7" s="199" customFormat="1" ht="12" customHeight="1">
      <c r="A62" s="198" t="s">
        <v>171</v>
      </c>
      <c r="B62" s="46" t="s">
        <v>421</v>
      </c>
      <c r="C62" s="57"/>
      <c r="D62" s="57"/>
      <c r="E62" s="57"/>
      <c r="F62" s="57"/>
      <c r="G62" s="57"/>
    </row>
    <row r="63" spans="1:7" s="199" customFormat="1" ht="12" customHeight="1">
      <c r="A63" s="198" t="s">
        <v>218</v>
      </c>
      <c r="B63" s="46" t="s">
        <v>298</v>
      </c>
      <c r="C63" s="57"/>
      <c r="D63" s="57"/>
      <c r="E63" s="57"/>
      <c r="F63" s="57"/>
      <c r="G63" s="57"/>
    </row>
    <row r="64" spans="1:7" s="199" customFormat="1" ht="12" customHeight="1" thickBot="1">
      <c r="A64" s="200" t="s">
        <v>296</v>
      </c>
      <c r="B64" s="53" t="s">
        <v>299</v>
      </c>
      <c r="C64" s="57"/>
      <c r="D64" s="57"/>
      <c r="E64" s="57"/>
      <c r="F64" s="57"/>
      <c r="G64" s="57"/>
    </row>
    <row r="65" spans="1:7" s="199" customFormat="1" ht="12" customHeight="1" thickBot="1">
      <c r="A65" s="72" t="s">
        <v>22</v>
      </c>
      <c r="B65" s="39" t="s">
        <v>300</v>
      </c>
      <c r="C65" s="54">
        <f>+C8+C15+C22+C29+C37+C49+C55+C60</f>
        <v>0</v>
      </c>
      <c r="D65" s="54">
        <f>+D8+D15+D22+D29+D37+D49+D55+D60</f>
        <v>0</v>
      </c>
      <c r="E65" s="54">
        <f>+E8+E15+E22+E29+E37+E49+E55+E60</f>
        <v>0</v>
      </c>
      <c r="F65" s="54">
        <f>+F8+F15+F22+F29+F37+F49+F55+F60</f>
        <v>0</v>
      </c>
      <c r="G65" s="54">
        <f>+G8+G15+G22+G29+G37+G49+G55+G60</f>
        <v>0</v>
      </c>
    </row>
    <row r="66" spans="1:7" s="199" customFormat="1" ht="12" customHeight="1" thickBot="1">
      <c r="A66" s="201" t="s">
        <v>390</v>
      </c>
      <c r="B66" s="51" t="s">
        <v>302</v>
      </c>
      <c r="C66" s="40">
        <f>SUM(C67:C69)</f>
        <v>0</v>
      </c>
      <c r="D66" s="40">
        <f>SUM(D67:D69)</f>
        <v>0</v>
      </c>
      <c r="E66" s="40">
        <f>SUM(E67:E69)</f>
        <v>0</v>
      </c>
      <c r="F66" s="40">
        <f>SUM(F67:F69)</f>
        <v>0</v>
      </c>
      <c r="G66" s="40">
        <f>SUM(G67:G69)</f>
        <v>0</v>
      </c>
    </row>
    <row r="67" spans="1:7" s="199" customFormat="1" ht="12" customHeight="1">
      <c r="A67" s="196" t="s">
        <v>333</v>
      </c>
      <c r="B67" s="43" t="s">
        <v>303</v>
      </c>
      <c r="C67" s="57"/>
      <c r="D67" s="57"/>
      <c r="E67" s="57"/>
      <c r="F67" s="57"/>
      <c r="G67" s="57"/>
    </row>
    <row r="68" spans="1:7" s="199" customFormat="1" ht="12" customHeight="1">
      <c r="A68" s="198" t="s">
        <v>342</v>
      </c>
      <c r="B68" s="46" t="s">
        <v>304</v>
      </c>
      <c r="C68" s="57"/>
      <c r="D68" s="57"/>
      <c r="E68" s="57"/>
      <c r="F68" s="57"/>
      <c r="G68" s="57"/>
    </row>
    <row r="69" spans="1:7" s="199" customFormat="1" ht="12" customHeight="1" thickBot="1">
      <c r="A69" s="200" t="s">
        <v>343</v>
      </c>
      <c r="B69" s="202" t="s">
        <v>305</v>
      </c>
      <c r="C69" s="57"/>
      <c r="D69" s="57"/>
      <c r="E69" s="57"/>
      <c r="F69" s="57"/>
      <c r="G69" s="57"/>
    </row>
    <row r="70" spans="1:7" s="199" customFormat="1" ht="12" customHeight="1" thickBot="1">
      <c r="A70" s="201" t="s">
        <v>306</v>
      </c>
      <c r="B70" s="51" t="s">
        <v>307</v>
      </c>
      <c r="C70" s="40">
        <f>SUM(C71:C74)</f>
        <v>0</v>
      </c>
      <c r="D70" s="40">
        <f>SUM(D71:D74)</f>
        <v>0</v>
      </c>
      <c r="E70" s="40">
        <f>SUM(E71:E74)</f>
        <v>0</v>
      </c>
      <c r="F70" s="40">
        <f>SUM(F71:F74)</f>
        <v>0</v>
      </c>
      <c r="G70" s="40">
        <f>SUM(G71:G74)</f>
        <v>0</v>
      </c>
    </row>
    <row r="71" spans="1:7" s="199" customFormat="1" ht="12" customHeight="1">
      <c r="A71" s="196" t="s">
        <v>140</v>
      </c>
      <c r="B71" s="43" t="s">
        <v>308</v>
      </c>
      <c r="C71" s="57"/>
      <c r="D71" s="57"/>
      <c r="E71" s="57"/>
      <c r="F71" s="57"/>
      <c r="G71" s="57"/>
    </row>
    <row r="72" spans="1:7" s="199" customFormat="1" ht="12" customHeight="1">
      <c r="A72" s="198" t="s">
        <v>141</v>
      </c>
      <c r="B72" s="46" t="s">
        <v>309</v>
      </c>
      <c r="C72" s="57"/>
      <c r="D72" s="57"/>
      <c r="E72" s="57"/>
      <c r="F72" s="57"/>
      <c r="G72" s="57"/>
    </row>
    <row r="73" spans="1:7" s="199" customFormat="1" ht="12" customHeight="1">
      <c r="A73" s="198" t="s">
        <v>334</v>
      </c>
      <c r="B73" s="46" t="s">
        <v>310</v>
      </c>
      <c r="C73" s="57"/>
      <c r="D73" s="57"/>
      <c r="E73" s="57"/>
      <c r="F73" s="57"/>
      <c r="G73" s="57"/>
    </row>
    <row r="74" spans="1:7" s="199" customFormat="1" ht="12" customHeight="1" thickBot="1">
      <c r="A74" s="200" t="s">
        <v>335</v>
      </c>
      <c r="B74" s="53" t="s">
        <v>311</v>
      </c>
      <c r="C74" s="57"/>
      <c r="D74" s="57"/>
      <c r="E74" s="57"/>
      <c r="F74" s="57"/>
      <c r="G74" s="57"/>
    </row>
    <row r="75" spans="1:7" s="199" customFormat="1" ht="12" customHeight="1" thickBot="1">
      <c r="A75" s="201" t="s">
        <v>312</v>
      </c>
      <c r="B75" s="51" t="s">
        <v>313</v>
      </c>
      <c r="C75" s="40">
        <f>SUM(C76:C77)</f>
        <v>0</v>
      </c>
      <c r="D75" s="40">
        <f>SUM(D76:D77)</f>
        <v>0</v>
      </c>
      <c r="E75" s="40">
        <f>SUM(E76:E77)</f>
        <v>0</v>
      </c>
      <c r="F75" s="40">
        <f>SUM(F76:F77)</f>
        <v>0</v>
      </c>
      <c r="G75" s="40">
        <f>SUM(G76:G77)</f>
        <v>0</v>
      </c>
    </row>
    <row r="76" spans="1:7" s="199" customFormat="1" ht="12" customHeight="1">
      <c r="A76" s="196" t="s">
        <v>336</v>
      </c>
      <c r="B76" s="43" t="s">
        <v>314</v>
      </c>
      <c r="C76" s="57"/>
      <c r="D76" s="57"/>
      <c r="E76" s="57"/>
      <c r="F76" s="57"/>
      <c r="G76" s="57"/>
    </row>
    <row r="77" spans="1:7" s="199" customFormat="1" ht="12" customHeight="1" thickBot="1">
      <c r="A77" s="200" t="s">
        <v>337</v>
      </c>
      <c r="B77" s="53" t="s">
        <v>315</v>
      </c>
      <c r="C77" s="57"/>
      <c r="D77" s="57"/>
      <c r="E77" s="57"/>
      <c r="F77" s="57"/>
      <c r="G77" s="57"/>
    </row>
    <row r="78" spans="1:7" s="197" customFormat="1" ht="12" customHeight="1" thickBot="1">
      <c r="A78" s="201" t="s">
        <v>316</v>
      </c>
      <c r="B78" s="51" t="s">
        <v>317</v>
      </c>
      <c r="C78" s="40">
        <f>SUM(C79:C81)</f>
        <v>0</v>
      </c>
      <c r="D78" s="40">
        <f>SUM(D79:D81)</f>
        <v>0</v>
      </c>
      <c r="E78" s="40">
        <f>SUM(E79:E81)</f>
        <v>0</v>
      </c>
      <c r="F78" s="40">
        <f>SUM(F79:F81)</f>
        <v>0</v>
      </c>
      <c r="G78" s="40">
        <f>SUM(G79:G81)</f>
        <v>0</v>
      </c>
    </row>
    <row r="79" spans="1:7" s="199" customFormat="1" ht="12" customHeight="1">
      <c r="A79" s="196" t="s">
        <v>338</v>
      </c>
      <c r="B79" s="43" t="s">
        <v>318</v>
      </c>
      <c r="C79" s="57"/>
      <c r="D79" s="57"/>
      <c r="E79" s="57"/>
      <c r="F79" s="57"/>
      <c r="G79" s="57"/>
    </row>
    <row r="80" spans="1:7" s="199" customFormat="1" ht="12" customHeight="1">
      <c r="A80" s="198" t="s">
        <v>339</v>
      </c>
      <c r="B80" s="46" t="s">
        <v>319</v>
      </c>
      <c r="C80" s="57"/>
      <c r="D80" s="57"/>
      <c r="E80" s="57"/>
      <c r="F80" s="57"/>
      <c r="G80" s="57"/>
    </row>
    <row r="81" spans="1:7" s="199" customFormat="1" ht="12" customHeight="1" thickBot="1">
      <c r="A81" s="200" t="s">
        <v>340</v>
      </c>
      <c r="B81" s="53" t="s">
        <v>320</v>
      </c>
      <c r="C81" s="57"/>
      <c r="D81" s="57"/>
      <c r="E81" s="57"/>
      <c r="F81" s="57"/>
      <c r="G81" s="57"/>
    </row>
    <row r="82" spans="1:7" s="199" customFormat="1" ht="12" customHeight="1" thickBot="1">
      <c r="A82" s="201" t="s">
        <v>321</v>
      </c>
      <c r="B82" s="51" t="s">
        <v>341</v>
      </c>
      <c r="C82" s="40">
        <f>SUM(C83:C86)</f>
        <v>0</v>
      </c>
      <c r="D82" s="40">
        <f>SUM(D83:D86)</f>
        <v>0</v>
      </c>
      <c r="E82" s="40">
        <f>SUM(E83:E86)</f>
        <v>0</v>
      </c>
      <c r="F82" s="40">
        <f>SUM(F83:F86)</f>
        <v>0</v>
      </c>
      <c r="G82" s="40">
        <f>SUM(G83:G86)</f>
        <v>0</v>
      </c>
    </row>
    <row r="83" spans="1:7" s="199" customFormat="1" ht="12" customHeight="1">
      <c r="A83" s="203" t="s">
        <v>322</v>
      </c>
      <c r="B83" s="43" t="s">
        <v>323</v>
      </c>
      <c r="C83" s="57"/>
      <c r="D83" s="57"/>
      <c r="E83" s="57"/>
      <c r="F83" s="57"/>
      <c r="G83" s="57"/>
    </row>
    <row r="84" spans="1:7" s="199" customFormat="1" ht="12" customHeight="1">
      <c r="A84" s="204" t="s">
        <v>324</v>
      </c>
      <c r="B84" s="46" t="s">
        <v>325</v>
      </c>
      <c r="C84" s="57"/>
      <c r="D84" s="57"/>
      <c r="E84" s="57"/>
      <c r="F84" s="57"/>
      <c r="G84" s="57"/>
    </row>
    <row r="85" spans="1:7" s="199" customFormat="1" ht="12" customHeight="1">
      <c r="A85" s="204" t="s">
        <v>326</v>
      </c>
      <c r="B85" s="46" t="s">
        <v>327</v>
      </c>
      <c r="C85" s="57"/>
      <c r="D85" s="57"/>
      <c r="E85" s="57"/>
      <c r="F85" s="57"/>
      <c r="G85" s="57"/>
    </row>
    <row r="86" spans="1:7" s="197" customFormat="1" ht="12" customHeight="1" thickBot="1">
      <c r="A86" s="205" t="s">
        <v>328</v>
      </c>
      <c r="B86" s="53" t="s">
        <v>329</v>
      </c>
      <c r="C86" s="57"/>
      <c r="D86" s="57"/>
      <c r="E86" s="57"/>
      <c r="F86" s="57"/>
      <c r="G86" s="57"/>
    </row>
    <row r="87" spans="1:7" s="197" customFormat="1" ht="12" customHeight="1" thickBot="1">
      <c r="A87" s="201" t="s">
        <v>330</v>
      </c>
      <c r="B87" s="51" t="s">
        <v>471</v>
      </c>
      <c r="C87" s="66"/>
      <c r="D87" s="66"/>
      <c r="E87" s="66"/>
      <c r="F87" s="66"/>
      <c r="G87" s="66"/>
    </row>
    <row r="88" spans="1:7" s="197" customFormat="1" ht="12" customHeight="1" thickBot="1">
      <c r="A88" s="201" t="s">
        <v>499</v>
      </c>
      <c r="B88" s="51" t="s">
        <v>331</v>
      </c>
      <c r="C88" s="66"/>
      <c r="D88" s="66"/>
      <c r="E88" s="66"/>
      <c r="F88" s="66"/>
      <c r="G88" s="66"/>
    </row>
    <row r="89" spans="1:7" s="197" customFormat="1" ht="12" customHeight="1" thickBot="1">
      <c r="A89" s="201" t="s">
        <v>500</v>
      </c>
      <c r="B89" s="67" t="s">
        <v>474</v>
      </c>
      <c r="C89" s="54">
        <f>+C66+C70+C75+C78+C82+C88+C87</f>
        <v>0</v>
      </c>
      <c r="D89" s="54">
        <f>+D66+D70+D75+D78+D82+D88+D87</f>
        <v>0</v>
      </c>
      <c r="E89" s="54">
        <f>+E66+E70+E75+E78+E82+E88+E87</f>
        <v>0</v>
      </c>
      <c r="F89" s="54">
        <f>+F66+F70+F75+F78+F82+F88+F87</f>
        <v>0</v>
      </c>
      <c r="G89" s="54">
        <f>+G66+G70+G75+G78+G82+G88+G87</f>
        <v>0</v>
      </c>
    </row>
    <row r="90" spans="1:7" s="197" customFormat="1" ht="12" customHeight="1" thickBot="1">
      <c r="A90" s="206" t="s">
        <v>501</v>
      </c>
      <c r="B90" s="69" t="s">
        <v>502</v>
      </c>
      <c r="C90" s="54">
        <f>+C65+C89</f>
        <v>0</v>
      </c>
      <c r="D90" s="54">
        <f>+D65+D89</f>
        <v>0</v>
      </c>
      <c r="E90" s="54">
        <f>+E65+E89</f>
        <v>0</v>
      </c>
      <c r="F90" s="54">
        <f>+F65+F89</f>
        <v>0</v>
      </c>
      <c r="G90" s="54">
        <f>+G65+G89</f>
        <v>0</v>
      </c>
    </row>
    <row r="91" spans="1:7" s="199" customFormat="1" ht="15" customHeight="1" thickBot="1">
      <c r="A91" s="22"/>
      <c r="B91" s="23"/>
      <c r="C91" s="24"/>
      <c r="D91" s="24"/>
      <c r="E91" s="24"/>
      <c r="F91" s="24"/>
      <c r="G91" s="24"/>
    </row>
    <row r="92" spans="1:7" s="107" customFormat="1" ht="26.25" thickBot="1">
      <c r="A92" s="25"/>
      <c r="B92" s="26" t="s">
        <v>52</v>
      </c>
      <c r="C92" s="485" t="s">
        <v>690</v>
      </c>
      <c r="D92" s="485" t="s">
        <v>716</v>
      </c>
      <c r="E92" s="485" t="s">
        <v>719</v>
      </c>
      <c r="F92" s="485" t="s">
        <v>729</v>
      </c>
      <c r="G92" s="485" t="s">
        <v>729</v>
      </c>
    </row>
    <row r="93" spans="1:7" s="207" customFormat="1" ht="12" customHeight="1" thickBot="1">
      <c r="A93" s="35" t="s">
        <v>14</v>
      </c>
      <c r="B93" s="75" t="s">
        <v>629</v>
      </c>
      <c r="C93" s="76">
        <f>+C94+C95+C96+C97+C98+C111</f>
        <v>0</v>
      </c>
      <c r="D93" s="76">
        <f>+D94+D95+D96+D97+D98+D111</f>
        <v>0</v>
      </c>
      <c r="E93" s="76">
        <f>+E94+E95+E96+E97+E98+E111</f>
        <v>0</v>
      </c>
      <c r="F93" s="76">
        <f>+F94+F95+F96+F97+F98+F111</f>
        <v>0</v>
      </c>
      <c r="G93" s="76">
        <f>+G94+G95+G96+G97+G98+G111</f>
        <v>0</v>
      </c>
    </row>
    <row r="94" spans="1:7" ht="12" customHeight="1">
      <c r="A94" s="208" t="s">
        <v>93</v>
      </c>
      <c r="B94" s="15" t="s">
        <v>44</v>
      </c>
      <c r="C94" s="78"/>
      <c r="D94" s="78"/>
      <c r="E94" s="78"/>
      <c r="F94" s="78"/>
      <c r="G94" s="78"/>
    </row>
    <row r="95" spans="1:7" ht="12" customHeight="1">
      <c r="A95" s="198" t="s">
        <v>94</v>
      </c>
      <c r="B95" s="16" t="s">
        <v>172</v>
      </c>
      <c r="C95" s="47"/>
      <c r="D95" s="47"/>
      <c r="E95" s="47"/>
      <c r="F95" s="47"/>
      <c r="G95" s="47"/>
    </row>
    <row r="96" spans="1:7" ht="12" customHeight="1">
      <c r="A96" s="198" t="s">
        <v>95</v>
      </c>
      <c r="B96" s="16" t="s">
        <v>131</v>
      </c>
      <c r="C96" s="52"/>
      <c r="D96" s="52"/>
      <c r="E96" s="52"/>
      <c r="F96" s="52"/>
      <c r="G96" s="52"/>
    </row>
    <row r="97" spans="1:7" ht="12" customHeight="1">
      <c r="A97" s="198" t="s">
        <v>96</v>
      </c>
      <c r="B97" s="79" t="s">
        <v>173</v>
      </c>
      <c r="C97" s="52"/>
      <c r="D97" s="52"/>
      <c r="E97" s="52"/>
      <c r="F97" s="52"/>
      <c r="G97" s="52"/>
    </row>
    <row r="98" spans="1:7" ht="12" customHeight="1">
      <c r="A98" s="198" t="s">
        <v>107</v>
      </c>
      <c r="B98" s="80" t="s">
        <v>174</v>
      </c>
      <c r="C98" s="52"/>
      <c r="D98" s="52"/>
      <c r="E98" s="52"/>
      <c r="F98" s="52"/>
      <c r="G98" s="52"/>
    </row>
    <row r="99" spans="1:7" ht="12" customHeight="1">
      <c r="A99" s="198" t="s">
        <v>97</v>
      </c>
      <c r="B99" s="16" t="s">
        <v>503</v>
      </c>
      <c r="C99" s="52"/>
      <c r="D99" s="52"/>
      <c r="E99" s="52"/>
      <c r="F99" s="675"/>
      <c r="G99" s="675"/>
    </row>
    <row r="100" spans="1:7" ht="12" customHeight="1">
      <c r="A100" s="198" t="s">
        <v>98</v>
      </c>
      <c r="B100" s="82" t="s">
        <v>437</v>
      </c>
      <c r="C100" s="52"/>
      <c r="D100" s="52"/>
      <c r="E100" s="52"/>
      <c r="F100" s="52"/>
      <c r="G100" s="52"/>
    </row>
    <row r="101" spans="1:7" ht="12" customHeight="1">
      <c r="A101" s="198" t="s">
        <v>108</v>
      </c>
      <c r="B101" s="82" t="s">
        <v>436</v>
      </c>
      <c r="C101" s="52"/>
      <c r="D101" s="52"/>
      <c r="E101" s="52"/>
      <c r="F101" s="52"/>
      <c r="G101" s="52"/>
    </row>
    <row r="102" spans="1:7" ht="12" customHeight="1">
      <c r="A102" s="198" t="s">
        <v>109</v>
      </c>
      <c r="B102" s="82" t="s">
        <v>347</v>
      </c>
      <c r="C102" s="52"/>
      <c r="D102" s="52"/>
      <c r="E102" s="52"/>
      <c r="F102" s="52"/>
      <c r="G102" s="52"/>
    </row>
    <row r="103" spans="1:7" ht="12" customHeight="1">
      <c r="A103" s="198" t="s">
        <v>110</v>
      </c>
      <c r="B103" s="83" t="s">
        <v>348</v>
      </c>
      <c r="C103" s="52"/>
      <c r="D103" s="52"/>
      <c r="E103" s="52"/>
      <c r="F103" s="52"/>
      <c r="G103" s="52"/>
    </row>
    <row r="104" spans="1:7" ht="12" customHeight="1">
      <c r="A104" s="198" t="s">
        <v>111</v>
      </c>
      <c r="B104" s="83" t="s">
        <v>349</v>
      </c>
      <c r="C104" s="52"/>
      <c r="D104" s="52"/>
      <c r="E104" s="52"/>
      <c r="F104" s="52"/>
      <c r="G104" s="52"/>
    </row>
    <row r="105" spans="1:7" ht="12" customHeight="1">
      <c r="A105" s="198" t="s">
        <v>113</v>
      </c>
      <c r="B105" s="82" t="s">
        <v>350</v>
      </c>
      <c r="C105" s="52"/>
      <c r="D105" s="52"/>
      <c r="E105" s="52"/>
      <c r="F105" s="52"/>
      <c r="G105" s="52"/>
    </row>
    <row r="106" spans="1:7" ht="12" customHeight="1">
      <c r="A106" s="198" t="s">
        <v>175</v>
      </c>
      <c r="B106" s="82" t="s">
        <v>351</v>
      </c>
      <c r="C106" s="52"/>
      <c r="D106" s="52"/>
      <c r="E106" s="52"/>
      <c r="F106" s="52"/>
      <c r="G106" s="52"/>
    </row>
    <row r="107" spans="1:7" ht="12" customHeight="1">
      <c r="A107" s="198" t="s">
        <v>345</v>
      </c>
      <c r="B107" s="83" t="s">
        <v>352</v>
      </c>
      <c r="C107" s="52"/>
      <c r="D107" s="52"/>
      <c r="E107" s="52"/>
      <c r="F107" s="52"/>
      <c r="G107" s="52"/>
    </row>
    <row r="108" spans="1:7" ht="12" customHeight="1">
      <c r="A108" s="209" t="s">
        <v>346</v>
      </c>
      <c r="B108" s="81" t="s">
        <v>353</v>
      </c>
      <c r="C108" s="52"/>
      <c r="D108" s="52"/>
      <c r="E108" s="52"/>
      <c r="F108" s="52"/>
      <c r="G108" s="52"/>
    </row>
    <row r="109" spans="1:7" ht="12" customHeight="1">
      <c r="A109" s="198" t="s">
        <v>434</v>
      </c>
      <c r="B109" s="81" t="s">
        <v>354</v>
      </c>
      <c r="C109" s="52"/>
      <c r="D109" s="52"/>
      <c r="E109" s="52"/>
      <c r="F109" s="52"/>
      <c r="G109" s="52"/>
    </row>
    <row r="110" spans="1:7" ht="12" customHeight="1">
      <c r="A110" s="198" t="s">
        <v>435</v>
      </c>
      <c r="B110" s="83" t="s">
        <v>355</v>
      </c>
      <c r="C110" s="47"/>
      <c r="D110" s="47"/>
      <c r="E110" s="47"/>
      <c r="F110" s="47"/>
      <c r="G110" s="47"/>
    </row>
    <row r="111" spans="1:7" ht="12" customHeight="1">
      <c r="A111" s="198" t="s">
        <v>439</v>
      </c>
      <c r="B111" s="79" t="s">
        <v>45</v>
      </c>
      <c r="C111" s="47"/>
      <c r="D111" s="47"/>
      <c r="E111" s="47"/>
      <c r="F111" s="47"/>
      <c r="G111" s="47"/>
    </row>
    <row r="112" spans="1:7" ht="12" customHeight="1">
      <c r="A112" s="200" t="s">
        <v>440</v>
      </c>
      <c r="B112" s="16" t="s">
        <v>504</v>
      </c>
      <c r="C112" s="52"/>
      <c r="D112" s="52"/>
      <c r="E112" s="52"/>
      <c r="F112" s="52"/>
      <c r="G112" s="52"/>
    </row>
    <row r="113" spans="1:7" ht="12" customHeight="1" thickBot="1">
      <c r="A113" s="210" t="s">
        <v>441</v>
      </c>
      <c r="B113" s="211" t="s">
        <v>505</v>
      </c>
      <c r="C113" s="87"/>
      <c r="D113" s="87"/>
      <c r="E113" s="87"/>
      <c r="F113" s="87"/>
      <c r="G113" s="87"/>
    </row>
    <row r="114" spans="1:7" ht="12" customHeight="1" thickBot="1">
      <c r="A114" s="72" t="s">
        <v>15</v>
      </c>
      <c r="B114" s="99" t="s">
        <v>625</v>
      </c>
      <c r="C114" s="40">
        <f>+C115+C117+C119</f>
        <v>0</v>
      </c>
      <c r="D114" s="40">
        <f>+D115+D117+D119</f>
        <v>0</v>
      </c>
      <c r="E114" s="40">
        <f>+E115+E117+E119</f>
        <v>0</v>
      </c>
      <c r="F114" s="40">
        <f>+F115+F117+F119</f>
        <v>0</v>
      </c>
      <c r="G114" s="40">
        <f>+G115+G117+G119</f>
        <v>0</v>
      </c>
    </row>
    <row r="115" spans="1:7" ht="12" customHeight="1">
      <c r="A115" s="196" t="s">
        <v>99</v>
      </c>
      <c r="B115" s="16" t="s">
        <v>217</v>
      </c>
      <c r="C115" s="44"/>
      <c r="D115" s="44"/>
      <c r="E115" s="44"/>
      <c r="F115" s="44"/>
      <c r="G115" s="44"/>
    </row>
    <row r="116" spans="1:7" ht="12" customHeight="1">
      <c r="A116" s="196" t="s">
        <v>100</v>
      </c>
      <c r="B116" s="90" t="s">
        <v>359</v>
      </c>
      <c r="C116" s="44"/>
      <c r="D116" s="44"/>
      <c r="E116" s="44"/>
      <c r="F116" s="44"/>
      <c r="G116" s="44"/>
    </row>
    <row r="117" spans="1:7" ht="12" customHeight="1">
      <c r="A117" s="196" t="s">
        <v>101</v>
      </c>
      <c r="B117" s="90" t="s">
        <v>176</v>
      </c>
      <c r="C117" s="47"/>
      <c r="D117" s="47"/>
      <c r="E117" s="47"/>
      <c r="F117" s="47"/>
      <c r="G117" s="47"/>
    </row>
    <row r="118" spans="1:7" ht="12" customHeight="1">
      <c r="A118" s="196" t="s">
        <v>102</v>
      </c>
      <c r="B118" s="90" t="s">
        <v>360</v>
      </c>
      <c r="C118" s="91"/>
      <c r="D118" s="91"/>
      <c r="E118" s="91"/>
      <c r="F118" s="91"/>
      <c r="G118" s="91"/>
    </row>
    <row r="119" spans="1:7" ht="12" customHeight="1">
      <c r="A119" s="196" t="s">
        <v>103</v>
      </c>
      <c r="B119" s="50" t="s">
        <v>219</v>
      </c>
      <c r="C119" s="91"/>
      <c r="D119" s="91"/>
      <c r="E119" s="91"/>
      <c r="F119" s="91"/>
      <c r="G119" s="91"/>
    </row>
    <row r="120" spans="1:7" ht="12" customHeight="1">
      <c r="A120" s="196" t="s">
        <v>112</v>
      </c>
      <c r="B120" s="48" t="s">
        <v>422</v>
      </c>
      <c r="C120" s="91"/>
      <c r="D120" s="91"/>
      <c r="E120" s="91"/>
      <c r="F120" s="91"/>
      <c r="G120" s="91"/>
    </row>
    <row r="121" spans="1:7" ht="12" customHeight="1">
      <c r="A121" s="196" t="s">
        <v>114</v>
      </c>
      <c r="B121" s="92" t="s">
        <v>365</v>
      </c>
      <c r="C121" s="91"/>
      <c r="D121" s="91"/>
      <c r="E121" s="91"/>
      <c r="F121" s="91"/>
      <c r="G121" s="91"/>
    </row>
    <row r="122" spans="1:7" ht="12" customHeight="1">
      <c r="A122" s="196" t="s">
        <v>177</v>
      </c>
      <c r="B122" s="83" t="s">
        <v>349</v>
      </c>
      <c r="C122" s="91"/>
      <c r="D122" s="91"/>
      <c r="E122" s="91"/>
      <c r="F122" s="91"/>
      <c r="G122" s="91"/>
    </row>
    <row r="123" spans="1:7" ht="12" customHeight="1">
      <c r="A123" s="196" t="s">
        <v>178</v>
      </c>
      <c r="B123" s="83" t="s">
        <v>364</v>
      </c>
      <c r="C123" s="91"/>
      <c r="D123" s="91"/>
      <c r="E123" s="91"/>
      <c r="F123" s="91"/>
      <c r="G123" s="91"/>
    </row>
    <row r="124" spans="1:7" ht="12" customHeight="1">
      <c r="A124" s="196" t="s">
        <v>179</v>
      </c>
      <c r="B124" s="83" t="s">
        <v>363</v>
      </c>
      <c r="C124" s="91"/>
      <c r="D124" s="91"/>
      <c r="E124" s="91"/>
      <c r="F124" s="91"/>
      <c r="G124" s="91"/>
    </row>
    <row r="125" spans="1:7" ht="12" customHeight="1">
      <c r="A125" s="196" t="s">
        <v>356</v>
      </c>
      <c r="B125" s="83" t="s">
        <v>352</v>
      </c>
      <c r="C125" s="91"/>
      <c r="D125" s="91"/>
      <c r="E125" s="91"/>
      <c r="F125" s="91"/>
      <c r="G125" s="91"/>
    </row>
    <row r="126" spans="1:7" ht="12" customHeight="1">
      <c r="A126" s="196" t="s">
        <v>357</v>
      </c>
      <c r="B126" s="83" t="s">
        <v>362</v>
      </c>
      <c r="C126" s="91"/>
      <c r="D126" s="91"/>
      <c r="E126" s="91"/>
      <c r="F126" s="91"/>
      <c r="G126" s="91"/>
    </row>
    <row r="127" spans="1:7" ht="12" customHeight="1" thickBot="1">
      <c r="A127" s="209" t="s">
        <v>358</v>
      </c>
      <c r="B127" s="83" t="s">
        <v>361</v>
      </c>
      <c r="C127" s="93"/>
      <c r="D127" s="93"/>
      <c r="E127" s="93"/>
      <c r="F127" s="93"/>
      <c r="G127" s="93"/>
    </row>
    <row r="128" spans="1:7" ht="12" customHeight="1" thickBot="1">
      <c r="A128" s="72" t="s">
        <v>16</v>
      </c>
      <c r="B128" s="19" t="s">
        <v>444</v>
      </c>
      <c r="C128" s="40">
        <f>+C93+C114</f>
        <v>0</v>
      </c>
      <c r="D128" s="40">
        <f>+D93+D114</f>
        <v>0</v>
      </c>
      <c r="E128" s="40">
        <f>+E93+E114</f>
        <v>0</v>
      </c>
      <c r="F128" s="40">
        <f>+F93+F114</f>
        <v>0</v>
      </c>
      <c r="G128" s="40">
        <f>+G93+G114</f>
        <v>0</v>
      </c>
    </row>
    <row r="129" spans="1:7" ht="12" customHeight="1" thickBot="1">
      <c r="A129" s="72" t="s">
        <v>17</v>
      </c>
      <c r="B129" s="19" t="s">
        <v>445</v>
      </c>
      <c r="C129" s="40">
        <f>+C130+C131+C132</f>
        <v>0</v>
      </c>
      <c r="D129" s="40">
        <f>+D130+D131+D132</f>
        <v>0</v>
      </c>
      <c r="E129" s="40">
        <f>+E130+E131+E132</f>
        <v>0</v>
      </c>
      <c r="F129" s="40">
        <f>+F130+F131+F132</f>
        <v>0</v>
      </c>
      <c r="G129" s="40">
        <f>+G130+G131+G132</f>
        <v>0</v>
      </c>
    </row>
    <row r="130" spans="1:7" s="207" customFormat="1" ht="12" customHeight="1">
      <c r="A130" s="196" t="s">
        <v>257</v>
      </c>
      <c r="B130" s="18" t="s">
        <v>508</v>
      </c>
      <c r="C130" s="91"/>
      <c r="D130" s="91"/>
      <c r="E130" s="91"/>
      <c r="F130" s="91"/>
      <c r="G130" s="91"/>
    </row>
    <row r="131" spans="1:7" ht="12" customHeight="1">
      <c r="A131" s="196" t="s">
        <v>260</v>
      </c>
      <c r="B131" s="18" t="s">
        <v>453</v>
      </c>
      <c r="C131" s="91"/>
      <c r="D131" s="91"/>
      <c r="E131" s="91"/>
      <c r="F131" s="91"/>
      <c r="G131" s="91"/>
    </row>
    <row r="132" spans="1:7" ht="12" customHeight="1" thickBot="1">
      <c r="A132" s="209" t="s">
        <v>261</v>
      </c>
      <c r="B132" s="17" t="s">
        <v>507</v>
      </c>
      <c r="C132" s="91"/>
      <c r="D132" s="91"/>
      <c r="E132" s="91"/>
      <c r="F132" s="91"/>
      <c r="G132" s="91"/>
    </row>
    <row r="133" spans="1:7" ht="12" customHeight="1" thickBot="1">
      <c r="A133" s="72" t="s">
        <v>18</v>
      </c>
      <c r="B133" s="19" t="s">
        <v>446</v>
      </c>
      <c r="C133" s="40">
        <f>+C134+C135+C136+C137+C138+C139</f>
        <v>0</v>
      </c>
      <c r="D133" s="40">
        <f>+D134+D135+D136+D137+D138+D139</f>
        <v>0</v>
      </c>
      <c r="E133" s="40">
        <f>+E134+E135+E136+E137+E138+E139</f>
        <v>0</v>
      </c>
      <c r="F133" s="40">
        <f>+F134+F135+F136+F137+F138+F139</f>
        <v>0</v>
      </c>
      <c r="G133" s="40">
        <f>+G134+G135+G136+G137+G138+G139</f>
        <v>0</v>
      </c>
    </row>
    <row r="134" spans="1:7" ht="12" customHeight="1">
      <c r="A134" s="196" t="s">
        <v>86</v>
      </c>
      <c r="B134" s="18" t="s">
        <v>455</v>
      </c>
      <c r="C134" s="91"/>
      <c r="D134" s="91"/>
      <c r="E134" s="91"/>
      <c r="F134" s="91"/>
      <c r="G134" s="91"/>
    </row>
    <row r="135" spans="1:7" ht="12" customHeight="1">
      <c r="A135" s="196" t="s">
        <v>87</v>
      </c>
      <c r="B135" s="18" t="s">
        <v>447</v>
      </c>
      <c r="C135" s="91"/>
      <c r="D135" s="91"/>
      <c r="E135" s="91"/>
      <c r="F135" s="91"/>
      <c r="G135" s="91"/>
    </row>
    <row r="136" spans="1:7" ht="12" customHeight="1">
      <c r="A136" s="196" t="s">
        <v>88</v>
      </c>
      <c r="B136" s="18" t="s">
        <v>448</v>
      </c>
      <c r="C136" s="91"/>
      <c r="D136" s="91"/>
      <c r="E136" s="91"/>
      <c r="F136" s="91"/>
      <c r="G136" s="91"/>
    </row>
    <row r="137" spans="1:7" ht="12" customHeight="1">
      <c r="A137" s="196" t="s">
        <v>164</v>
      </c>
      <c r="B137" s="18" t="s">
        <v>506</v>
      </c>
      <c r="C137" s="91"/>
      <c r="D137" s="91"/>
      <c r="E137" s="91"/>
      <c r="F137" s="91"/>
      <c r="G137" s="91"/>
    </row>
    <row r="138" spans="1:7" ht="12" customHeight="1">
      <c r="A138" s="196" t="s">
        <v>165</v>
      </c>
      <c r="B138" s="18" t="s">
        <v>450</v>
      </c>
      <c r="C138" s="91"/>
      <c r="D138" s="91"/>
      <c r="E138" s="91"/>
      <c r="F138" s="91"/>
      <c r="G138" s="91"/>
    </row>
    <row r="139" spans="1:7" s="207" customFormat="1" ht="12" customHeight="1" thickBot="1">
      <c r="A139" s="209" t="s">
        <v>166</v>
      </c>
      <c r="B139" s="17" t="s">
        <v>451</v>
      </c>
      <c r="C139" s="91"/>
      <c r="D139" s="91"/>
      <c r="E139" s="91"/>
      <c r="F139" s="91"/>
      <c r="G139" s="91"/>
    </row>
    <row r="140" spans="1:7" ht="12" customHeight="1" thickBot="1">
      <c r="A140" s="72" t="s">
        <v>19</v>
      </c>
      <c r="B140" s="19" t="s">
        <v>532</v>
      </c>
      <c r="C140" s="54">
        <f>+C141+C142+C144+C145+C143</f>
        <v>0</v>
      </c>
      <c r="D140" s="54">
        <f>+D141+D142+D144+D145+D143</f>
        <v>0</v>
      </c>
      <c r="E140" s="54">
        <f>+E141+E142+E144+E145+E143</f>
        <v>0</v>
      </c>
      <c r="F140" s="54">
        <f>+F141+F142+F144+F145+F143</f>
        <v>0</v>
      </c>
      <c r="G140" s="54">
        <f>+G141+G142+G144+G145+G143</f>
        <v>0</v>
      </c>
    </row>
    <row r="141" spans="1:7">
      <c r="A141" s="196" t="s">
        <v>89</v>
      </c>
      <c r="B141" s="18" t="s">
        <v>366</v>
      </c>
      <c r="C141" s="91"/>
      <c r="D141" s="91"/>
      <c r="E141" s="91"/>
      <c r="F141" s="91"/>
      <c r="G141" s="91"/>
    </row>
    <row r="142" spans="1:7" ht="12" customHeight="1">
      <c r="A142" s="196" t="s">
        <v>90</v>
      </c>
      <c r="B142" s="18" t="s">
        <v>367</v>
      </c>
      <c r="C142" s="91"/>
      <c r="D142" s="91"/>
      <c r="E142" s="91"/>
      <c r="F142" s="91"/>
      <c r="G142" s="91"/>
    </row>
    <row r="143" spans="1:7" s="207" customFormat="1" ht="12" customHeight="1">
      <c r="A143" s="196" t="s">
        <v>281</v>
      </c>
      <c r="B143" s="18" t="s">
        <v>531</v>
      </c>
      <c r="C143" s="91"/>
      <c r="D143" s="91"/>
      <c r="E143" s="91"/>
      <c r="F143" s="91"/>
      <c r="G143" s="91"/>
    </row>
    <row r="144" spans="1:7" s="207" customFormat="1" ht="12" customHeight="1">
      <c r="A144" s="196" t="s">
        <v>282</v>
      </c>
      <c r="B144" s="18" t="s">
        <v>460</v>
      </c>
      <c r="C144" s="91"/>
      <c r="D144" s="91"/>
      <c r="E144" s="91"/>
      <c r="F144" s="91"/>
      <c r="G144" s="91"/>
    </row>
    <row r="145" spans="1:7" s="207" customFormat="1" ht="12" customHeight="1" thickBot="1">
      <c r="A145" s="209" t="s">
        <v>283</v>
      </c>
      <c r="B145" s="17" t="s">
        <v>386</v>
      </c>
      <c r="C145" s="91"/>
      <c r="D145" s="91"/>
      <c r="E145" s="91"/>
      <c r="F145" s="91"/>
      <c r="G145" s="91"/>
    </row>
    <row r="146" spans="1:7" s="207" customFormat="1" ht="12" customHeight="1" thickBot="1">
      <c r="A146" s="72" t="s">
        <v>20</v>
      </c>
      <c r="B146" s="19" t="s">
        <v>461</v>
      </c>
      <c r="C146" s="94">
        <f>+C147+C148+C149+C150+C151</f>
        <v>0</v>
      </c>
      <c r="D146" s="94">
        <f>+D147+D148+D149+D150+D151</f>
        <v>0</v>
      </c>
      <c r="E146" s="94">
        <f>+E147+E148+E149+E150+E151</f>
        <v>0</v>
      </c>
      <c r="F146" s="94">
        <f>+F147+F148+F149+F150+F151</f>
        <v>0</v>
      </c>
      <c r="G146" s="94">
        <f>+G147+G148+G149+G150+G151</f>
        <v>0</v>
      </c>
    </row>
    <row r="147" spans="1:7" s="207" customFormat="1" ht="12" customHeight="1">
      <c r="A147" s="196" t="s">
        <v>91</v>
      </c>
      <c r="B147" s="18" t="s">
        <v>456</v>
      </c>
      <c r="C147" s="91"/>
      <c r="D147" s="91"/>
      <c r="E147" s="91"/>
      <c r="F147" s="91"/>
      <c r="G147" s="91"/>
    </row>
    <row r="148" spans="1:7" s="207" customFormat="1" ht="12" customHeight="1">
      <c r="A148" s="196" t="s">
        <v>92</v>
      </c>
      <c r="B148" s="18" t="s">
        <v>463</v>
      </c>
      <c r="C148" s="91"/>
      <c r="D148" s="91"/>
      <c r="E148" s="91"/>
      <c r="F148" s="91"/>
      <c r="G148" s="91"/>
    </row>
    <row r="149" spans="1:7" s="207" customFormat="1" ht="12" customHeight="1">
      <c r="A149" s="196" t="s">
        <v>293</v>
      </c>
      <c r="B149" s="18" t="s">
        <v>458</v>
      </c>
      <c r="C149" s="91"/>
      <c r="D149" s="91"/>
      <c r="E149" s="91"/>
      <c r="F149" s="91"/>
      <c r="G149" s="91"/>
    </row>
    <row r="150" spans="1:7" ht="12.75" customHeight="1">
      <c r="A150" s="196" t="s">
        <v>294</v>
      </c>
      <c r="B150" s="18" t="s">
        <v>509</v>
      </c>
      <c r="C150" s="91"/>
      <c r="D150" s="91"/>
      <c r="E150" s="91"/>
      <c r="F150" s="91"/>
      <c r="G150" s="91"/>
    </row>
    <row r="151" spans="1:7" ht="12.75" customHeight="1" thickBot="1">
      <c r="A151" s="209" t="s">
        <v>462</v>
      </c>
      <c r="B151" s="17" t="s">
        <v>465</v>
      </c>
      <c r="C151" s="93"/>
      <c r="D151" s="93"/>
      <c r="E151" s="93"/>
      <c r="F151" s="93"/>
      <c r="G151" s="93"/>
    </row>
    <row r="152" spans="1:7" ht="12.75" customHeight="1" thickBot="1">
      <c r="A152" s="212" t="s">
        <v>21</v>
      </c>
      <c r="B152" s="19" t="s">
        <v>466</v>
      </c>
      <c r="C152" s="94"/>
      <c r="D152" s="94"/>
      <c r="E152" s="94"/>
      <c r="F152" s="94"/>
      <c r="G152" s="94"/>
    </row>
    <row r="153" spans="1:7" ht="12" customHeight="1" thickBot="1">
      <c r="A153" s="212" t="s">
        <v>22</v>
      </c>
      <c r="B153" s="19" t="s">
        <v>467</v>
      </c>
      <c r="C153" s="94"/>
      <c r="D153" s="94"/>
      <c r="E153" s="94"/>
      <c r="F153" s="94"/>
      <c r="G153" s="94"/>
    </row>
    <row r="154" spans="1:7" ht="15" customHeight="1" thickBot="1">
      <c r="A154" s="72" t="s">
        <v>23</v>
      </c>
      <c r="B154" s="19" t="s">
        <v>469</v>
      </c>
      <c r="C154" s="95">
        <f>+C129+C133+C140+C146+C152+C153</f>
        <v>0</v>
      </c>
      <c r="D154" s="95">
        <f>+D129+D133+D140+D146+D152+D153</f>
        <v>0</v>
      </c>
      <c r="E154" s="95">
        <f>+E129+E133+E140+E146+E152+E153</f>
        <v>0</v>
      </c>
      <c r="F154" s="95">
        <f>+F129+F133+F140+F146+F152+F153</f>
        <v>0</v>
      </c>
      <c r="G154" s="95">
        <f>+G129+G133+G140+G146+G152+G153</f>
        <v>0</v>
      </c>
    </row>
    <row r="155" spans="1:7" ht="13.5" thickBot="1">
      <c r="A155" s="213" t="s">
        <v>24</v>
      </c>
      <c r="B155" s="98" t="s">
        <v>468</v>
      </c>
      <c r="C155" s="95">
        <f>+C128+C154</f>
        <v>0</v>
      </c>
      <c r="D155" s="95">
        <f>+D128+D154</f>
        <v>0</v>
      </c>
      <c r="E155" s="95">
        <f>+E128+E154</f>
        <v>0</v>
      </c>
      <c r="F155" s="95">
        <f>+F128+F154</f>
        <v>0</v>
      </c>
      <c r="G155" s="95">
        <f>+G128+G154</f>
        <v>0</v>
      </c>
    </row>
    <row r="156" spans="1:7" ht="15" customHeight="1" thickBot="1"/>
    <row r="157" spans="1:7" ht="14.25" customHeight="1" thickBot="1">
      <c r="A157" s="30" t="s">
        <v>510</v>
      </c>
      <c r="B157" s="31"/>
      <c r="C157" s="32"/>
      <c r="D157" s="32"/>
      <c r="E157" s="32"/>
      <c r="F157" s="32"/>
      <c r="G157" s="32"/>
    </row>
    <row r="158" spans="1:7" ht="13.5" thickBot="1">
      <c r="A158" s="30" t="s">
        <v>194</v>
      </c>
      <c r="B158" s="31"/>
      <c r="C158" s="32"/>
      <c r="D158" s="32"/>
      <c r="E158" s="32"/>
      <c r="F158" s="32"/>
      <c r="G158" s="32"/>
    </row>
  </sheetData>
  <sheetProtection formatCells="0"/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51" orientation="portrait" verticalDpi="300" r:id="rId1"/>
  <headerFooter alignWithMargins="0">
    <oddFooter>&amp;P. oldal, összesen: &amp;N</oddFooter>
  </headerFooter>
  <rowBreaks count="3" manualBreakCount="3">
    <brk id="65" max="16383" man="1"/>
    <brk id="90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70C0"/>
  </sheetPr>
  <dimension ref="A1:F61"/>
  <sheetViews>
    <sheetView topLeftCell="B1" zoomScaleNormal="100"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6" width="25" style="9" customWidth="1"/>
    <col min="7" max="16384" width="9.33203125" style="9"/>
  </cols>
  <sheetData>
    <row r="1" spans="1:6" s="100" customFormat="1" ht="21" customHeight="1" thickBot="1">
      <c r="A1" s="1"/>
      <c r="B1" s="408" t="s">
        <v>764</v>
      </c>
      <c r="C1" s="408"/>
      <c r="D1" s="408"/>
      <c r="E1" s="408"/>
      <c r="F1" s="408"/>
    </row>
    <row r="2" spans="1:6" s="103" customFormat="1" ht="33" customHeight="1">
      <c r="A2" s="2" t="s">
        <v>192</v>
      </c>
      <c r="B2" s="3" t="s">
        <v>537</v>
      </c>
      <c r="C2" s="510" t="s">
        <v>54</v>
      </c>
      <c r="D2" s="510" t="s">
        <v>54</v>
      </c>
      <c r="E2" s="510" t="s">
        <v>54</v>
      </c>
      <c r="F2" s="510" t="s">
        <v>54</v>
      </c>
    </row>
    <row r="3" spans="1:6" s="103" customFormat="1" ht="24.75" thickBot="1">
      <c r="A3" s="409" t="s">
        <v>191</v>
      </c>
      <c r="B3" s="4" t="s">
        <v>394</v>
      </c>
      <c r="C3" s="511" t="s">
        <v>54</v>
      </c>
      <c r="D3" s="511" t="s">
        <v>54</v>
      </c>
      <c r="E3" s="511" t="s">
        <v>54</v>
      </c>
      <c r="F3" s="511" t="s">
        <v>54</v>
      </c>
    </row>
    <row r="4" spans="1:6" s="106" customFormat="1" ht="15.95" customHeight="1" thickBot="1">
      <c r="A4" s="5"/>
      <c r="B4" s="5"/>
      <c r="C4" s="6" t="s">
        <v>581</v>
      </c>
      <c r="D4" s="6" t="s">
        <v>581</v>
      </c>
      <c r="E4" s="6" t="s">
        <v>581</v>
      </c>
      <c r="F4" s="6" t="s">
        <v>581</v>
      </c>
    </row>
    <row r="5" spans="1:6" ht="44.45" customHeight="1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750</v>
      </c>
    </row>
    <row r="6" spans="1:6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5.95" customHeight="1" thickBot="1">
      <c r="A7" s="13"/>
      <c r="B7" s="14" t="s">
        <v>51</v>
      </c>
      <c r="C7" s="512"/>
      <c r="D7" s="512"/>
      <c r="E7" s="512"/>
      <c r="F7" s="512"/>
    </row>
    <row r="8" spans="1:6" s="197" customFormat="1" ht="12" customHeight="1" thickBot="1">
      <c r="A8" s="10" t="s">
        <v>14</v>
      </c>
      <c r="B8" s="410" t="s">
        <v>511</v>
      </c>
      <c r="C8" s="513">
        <f>SUM(C9:C19)</f>
        <v>501010</v>
      </c>
      <c r="D8" s="513">
        <f>SUM(D9:D19)</f>
        <v>501010</v>
      </c>
      <c r="E8" s="513">
        <f>SUM(E9:E19)</f>
        <v>511010</v>
      </c>
      <c r="F8" s="513">
        <f>SUM(F9:F19)</f>
        <v>641010</v>
      </c>
    </row>
    <row r="9" spans="1:6" s="197" customFormat="1" ht="12" customHeight="1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2" customHeight="1">
      <c r="A10" s="412" t="s">
        <v>94</v>
      </c>
      <c r="B10" s="16" t="s">
        <v>271</v>
      </c>
      <c r="C10" s="515"/>
      <c r="D10" s="515"/>
      <c r="E10" s="515">
        <v>5000</v>
      </c>
      <c r="F10" s="515">
        <v>5000</v>
      </c>
    </row>
    <row r="11" spans="1:6" s="197" customFormat="1" ht="12" customHeight="1">
      <c r="A11" s="412" t="s">
        <v>95</v>
      </c>
      <c r="B11" s="16" t="s">
        <v>272</v>
      </c>
      <c r="C11" s="515">
        <v>500000</v>
      </c>
      <c r="D11" s="515">
        <v>500000</v>
      </c>
      <c r="E11" s="515">
        <v>500000</v>
      </c>
      <c r="F11" s="515">
        <f>500000+130000</f>
        <v>630000</v>
      </c>
    </row>
    <row r="12" spans="1:6" s="197" customFormat="1" ht="12" customHeight="1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2" customHeight="1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2" customHeight="1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2" customHeight="1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2" customHeight="1">
      <c r="A16" s="412" t="s">
        <v>108</v>
      </c>
      <c r="B16" s="16" t="s">
        <v>277</v>
      </c>
      <c r="C16" s="516">
        <v>10</v>
      </c>
      <c r="D16" s="516">
        <v>10</v>
      </c>
      <c r="E16" s="516">
        <v>10</v>
      </c>
      <c r="F16" s="516">
        <v>10</v>
      </c>
    </row>
    <row r="17" spans="1:6" s="199" customFormat="1" ht="12" customHeight="1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2" customHeight="1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2" customHeight="1" thickBot="1">
      <c r="A19" s="412" t="s">
        <v>111</v>
      </c>
      <c r="B19" s="17" t="s">
        <v>279</v>
      </c>
      <c r="C19" s="517">
        <v>1000</v>
      </c>
      <c r="D19" s="517">
        <v>1000</v>
      </c>
      <c r="E19" s="517">
        <f>1000+5000</f>
        <v>6000</v>
      </c>
      <c r="F19" s="517">
        <f>1000+5000</f>
        <v>6000</v>
      </c>
    </row>
    <row r="20" spans="1:6" s="197" customFormat="1" ht="12" customHeight="1" thickBot="1">
      <c r="A20" s="10" t="s">
        <v>15</v>
      </c>
      <c r="B20" s="410" t="s">
        <v>397</v>
      </c>
      <c r="C20" s="513">
        <f>SUM(C21:C23)</f>
        <v>0</v>
      </c>
      <c r="D20" s="513">
        <f>SUM(D21:D23)</f>
        <v>1106182</v>
      </c>
      <c r="E20" s="513">
        <f>SUM(E21:E23)</f>
        <v>1298141</v>
      </c>
      <c r="F20" s="513">
        <f>SUM(F21:F23)</f>
        <v>2960372</v>
      </c>
    </row>
    <row r="21" spans="1:6" s="199" customFormat="1" ht="12" customHeight="1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12" customHeight="1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12" customHeight="1">
      <c r="A23" s="412" t="s">
        <v>101</v>
      </c>
      <c r="B23" s="16" t="s">
        <v>399</v>
      </c>
      <c r="C23" s="515"/>
      <c r="D23" s="515">
        <f>1106182</f>
        <v>1106182</v>
      </c>
      <c r="E23" s="515">
        <f>1106182+191959</f>
        <v>1298141</v>
      </c>
      <c r="F23" s="515">
        <f>1106182+191959+1546668+115563</f>
        <v>2960372</v>
      </c>
    </row>
    <row r="24" spans="1:6" s="199" customFormat="1" ht="12" customHeight="1" thickBot="1">
      <c r="A24" s="412" t="s">
        <v>102</v>
      </c>
      <c r="B24" s="16" t="s">
        <v>512</v>
      </c>
      <c r="C24" s="515"/>
      <c r="D24" s="515"/>
      <c r="E24" s="515"/>
      <c r="F24" s="515"/>
    </row>
    <row r="25" spans="1:6" s="199" customFormat="1" ht="12" customHeight="1" thickBot="1">
      <c r="A25" s="356" t="s">
        <v>16</v>
      </c>
      <c r="B25" s="19" t="s">
        <v>163</v>
      </c>
      <c r="C25" s="518">
        <v>1050000</v>
      </c>
      <c r="D25" s="518">
        <v>1050000</v>
      </c>
      <c r="E25" s="518">
        <v>1050000</v>
      </c>
      <c r="F25" s="518">
        <f>1050000+260000</f>
        <v>1310000</v>
      </c>
    </row>
    <row r="26" spans="1:6" s="199" customFormat="1" ht="12" customHeight="1" thickBot="1">
      <c r="A26" s="356" t="s">
        <v>17</v>
      </c>
      <c r="B26" s="19" t="s">
        <v>513</v>
      </c>
      <c r="C26" s="513">
        <f>+C27+C28+C29</f>
        <v>0</v>
      </c>
      <c r="D26" s="513">
        <f>+D27+D28+D29</f>
        <v>0</v>
      </c>
      <c r="E26" s="513">
        <f>+E27+E28+E29</f>
        <v>0</v>
      </c>
      <c r="F26" s="513">
        <f>+F27+F28+F29</f>
        <v>0</v>
      </c>
    </row>
    <row r="27" spans="1:6" s="199" customFormat="1" ht="12" customHeight="1">
      <c r="A27" s="413" t="s">
        <v>257</v>
      </c>
      <c r="B27" s="414" t="s">
        <v>252</v>
      </c>
      <c r="C27" s="20"/>
      <c r="D27" s="20"/>
      <c r="E27" s="20"/>
      <c r="F27" s="20"/>
    </row>
    <row r="28" spans="1:6" s="199" customFormat="1" ht="12" customHeight="1">
      <c r="A28" s="413" t="s">
        <v>260</v>
      </c>
      <c r="B28" s="414" t="s">
        <v>398</v>
      </c>
      <c r="C28" s="515"/>
      <c r="D28" s="515"/>
      <c r="E28" s="515"/>
      <c r="F28" s="515"/>
    </row>
    <row r="29" spans="1:6" s="199" customFormat="1" ht="12" customHeight="1">
      <c r="A29" s="413" t="s">
        <v>261</v>
      </c>
      <c r="B29" s="415" t="s">
        <v>401</v>
      </c>
      <c r="C29" s="515"/>
      <c r="D29" s="515"/>
      <c r="E29" s="515"/>
      <c r="F29" s="515"/>
    </row>
    <row r="30" spans="1:6" s="199" customFormat="1" ht="12" customHeight="1" thickBot="1">
      <c r="A30" s="412" t="s">
        <v>262</v>
      </c>
      <c r="B30" s="416" t="s">
        <v>514</v>
      </c>
      <c r="C30" s="21"/>
      <c r="D30" s="21"/>
      <c r="E30" s="21"/>
      <c r="F30" s="21"/>
    </row>
    <row r="31" spans="1:6" s="199" customFormat="1" ht="12" customHeight="1" thickBot="1">
      <c r="A31" s="356" t="s">
        <v>18</v>
      </c>
      <c r="B31" s="19" t="s">
        <v>402</v>
      </c>
      <c r="C31" s="513">
        <f>+C32+C33+C34</f>
        <v>0</v>
      </c>
      <c r="D31" s="513">
        <f>+D32+D33+D34</f>
        <v>0</v>
      </c>
      <c r="E31" s="513">
        <f>+E32+E33+E34</f>
        <v>0</v>
      </c>
      <c r="F31" s="513">
        <f>+F32+F33+F34</f>
        <v>0</v>
      </c>
    </row>
    <row r="32" spans="1:6" s="199" customFormat="1" ht="12" customHeight="1">
      <c r="A32" s="413" t="s">
        <v>86</v>
      </c>
      <c r="B32" s="414" t="s">
        <v>284</v>
      </c>
      <c r="C32" s="20"/>
      <c r="D32" s="20"/>
      <c r="E32" s="20"/>
      <c r="F32" s="20"/>
    </row>
    <row r="33" spans="1:6" s="199" customFormat="1" ht="12" customHeight="1">
      <c r="A33" s="413" t="s">
        <v>87</v>
      </c>
      <c r="B33" s="415" t="s">
        <v>285</v>
      </c>
      <c r="C33" s="519"/>
      <c r="D33" s="519"/>
      <c r="E33" s="519"/>
      <c r="F33" s="519"/>
    </row>
    <row r="34" spans="1:6" s="199" customFormat="1" ht="12" customHeight="1" thickBot="1">
      <c r="A34" s="412" t="s">
        <v>88</v>
      </c>
      <c r="B34" s="416" t="s">
        <v>286</v>
      </c>
      <c r="C34" s="21"/>
      <c r="D34" s="21"/>
      <c r="E34" s="21"/>
      <c r="F34" s="21"/>
    </row>
    <row r="35" spans="1:6" s="197" customFormat="1" ht="12" customHeight="1" thickBot="1">
      <c r="A35" s="356" t="s">
        <v>19</v>
      </c>
      <c r="B35" s="19" t="s">
        <v>371</v>
      </c>
      <c r="C35" s="518"/>
      <c r="D35" s="518"/>
      <c r="E35" s="518"/>
      <c r="F35" s="518"/>
    </row>
    <row r="36" spans="1:6" s="197" customFormat="1" ht="12" customHeight="1" thickBot="1">
      <c r="A36" s="356" t="s">
        <v>20</v>
      </c>
      <c r="B36" s="19" t="s">
        <v>403</v>
      </c>
      <c r="C36" s="520"/>
      <c r="D36" s="520"/>
      <c r="E36" s="520"/>
      <c r="F36" s="520"/>
    </row>
    <row r="37" spans="1:6" s="197" customFormat="1" ht="12" customHeight="1" thickBot="1">
      <c r="A37" s="10" t="s">
        <v>21</v>
      </c>
      <c r="B37" s="19" t="s">
        <v>404</v>
      </c>
      <c r="C37" s="521">
        <f>+C8+C20+C25+C26+C31+C35+C36</f>
        <v>1551010</v>
      </c>
      <c r="D37" s="521">
        <f>+D8+D20+D25+D26+D31+D35+D36</f>
        <v>2657192</v>
      </c>
      <c r="E37" s="521">
        <f>+E8+E20+E25+E26+E31+E35+E36</f>
        <v>2859151</v>
      </c>
      <c r="F37" s="521">
        <f>+F8+F20+F25+F26+F31+F35+F36</f>
        <v>4911382</v>
      </c>
    </row>
    <row r="38" spans="1:6" s="197" customFormat="1" ht="12" customHeight="1" thickBot="1">
      <c r="A38" s="417" t="s">
        <v>22</v>
      </c>
      <c r="B38" s="19" t="s">
        <v>405</v>
      </c>
      <c r="C38" s="521">
        <f>+C39+C40+C41</f>
        <v>121437129</v>
      </c>
      <c r="D38" s="521">
        <f>+D39+D40+D41</f>
        <v>129025606</v>
      </c>
      <c r="E38" s="521">
        <f>+E39+E40+E41</f>
        <v>129989351</v>
      </c>
      <c r="F38" s="521">
        <f>+F39+F40+F41</f>
        <v>129599351</v>
      </c>
    </row>
    <row r="39" spans="1:6" s="197" customFormat="1" ht="12" customHeight="1">
      <c r="A39" s="413" t="s">
        <v>406</v>
      </c>
      <c r="B39" s="414" t="s">
        <v>226</v>
      </c>
      <c r="C39" s="20"/>
      <c r="D39" s="20">
        <v>1776671</v>
      </c>
      <c r="E39" s="20">
        <v>1776671</v>
      </c>
      <c r="F39" s="20">
        <v>1776671</v>
      </c>
    </row>
    <row r="40" spans="1:6" s="197" customFormat="1" ht="12" customHeight="1">
      <c r="A40" s="413" t="s">
        <v>407</v>
      </c>
      <c r="B40" s="415" t="s">
        <v>0</v>
      </c>
      <c r="C40" s="519"/>
      <c r="D40" s="519"/>
      <c r="E40" s="519"/>
      <c r="F40" s="519"/>
    </row>
    <row r="41" spans="1:6" s="199" customFormat="1" ht="12" customHeight="1" thickBot="1">
      <c r="A41" s="412" t="s">
        <v>408</v>
      </c>
      <c r="B41" s="416" t="s">
        <v>409</v>
      </c>
      <c r="C41" s="21">
        <v>121437129</v>
      </c>
      <c r="D41" s="21">
        <f>127248935</f>
        <v>127248935</v>
      </c>
      <c r="E41" s="21">
        <f>127248935-5000-5000+350000+623745</f>
        <v>128212680</v>
      </c>
      <c r="F41" s="21">
        <f>127248935-5000-5000+350000+623745-390000</f>
        <v>127822680</v>
      </c>
    </row>
    <row r="42" spans="1:6" s="199" customFormat="1" ht="15" customHeight="1" thickBot="1">
      <c r="A42" s="417" t="s">
        <v>23</v>
      </c>
      <c r="B42" s="418" t="s">
        <v>410</v>
      </c>
      <c r="C42" s="522">
        <f>C37+C38</f>
        <v>122988139</v>
      </c>
      <c r="D42" s="522">
        <f>D37+D38</f>
        <v>131682798</v>
      </c>
      <c r="E42" s="522">
        <f>E37+E38</f>
        <v>132848502</v>
      </c>
      <c r="F42" s="522">
        <f>F37+F38</f>
        <v>134510733</v>
      </c>
    </row>
    <row r="43" spans="1:6" s="199" customFormat="1" ht="15" customHeight="1">
      <c r="A43" s="22"/>
      <c r="B43" s="23"/>
      <c r="C43" s="24"/>
      <c r="D43" s="24"/>
      <c r="E43" s="24"/>
      <c r="F43" s="24"/>
    </row>
    <row r="44" spans="1:6" ht="13.5" thickBot="1">
      <c r="A44" s="419"/>
      <c r="B44" s="420"/>
      <c r="C44" s="523"/>
      <c r="D44" s="523"/>
      <c r="E44" s="523"/>
      <c r="F44" s="523"/>
    </row>
    <row r="45" spans="1:6" s="107" customFormat="1" ht="16.5" customHeight="1" thickBot="1">
      <c r="A45" s="25"/>
      <c r="B45" s="26" t="s">
        <v>52</v>
      </c>
      <c r="C45" s="522"/>
      <c r="D45" s="522"/>
      <c r="E45" s="522"/>
      <c r="F45" s="522"/>
    </row>
    <row r="46" spans="1:6" s="207" customFormat="1" ht="12" customHeight="1" thickBot="1">
      <c r="A46" s="356" t="s">
        <v>14</v>
      </c>
      <c r="B46" s="19" t="s">
        <v>411</v>
      </c>
      <c r="C46" s="513">
        <f>SUM(C47:C51)</f>
        <v>122162639</v>
      </c>
      <c r="D46" s="513">
        <f>SUM(D47:D51)</f>
        <v>130857298</v>
      </c>
      <c r="E46" s="513">
        <f>SUM(E47:E51)</f>
        <v>132023002</v>
      </c>
      <c r="F46" s="513">
        <f>SUM(F47:F51)</f>
        <v>133685233</v>
      </c>
    </row>
    <row r="47" spans="1:6" ht="12" customHeight="1">
      <c r="A47" s="412" t="s">
        <v>93</v>
      </c>
      <c r="B47" s="18" t="s">
        <v>44</v>
      </c>
      <c r="C47" s="20">
        <v>78369300</v>
      </c>
      <c r="D47" s="20">
        <f>85583623</f>
        <v>85583623</v>
      </c>
      <c r="E47" s="20">
        <f>85583623+129633+714+297872+530800</f>
        <v>86542642</v>
      </c>
      <c r="F47" s="20">
        <f>85583623+129633+714+297872+530800+1196240+115563</f>
        <v>87854445</v>
      </c>
    </row>
    <row r="48" spans="1:6" ht="12" customHeight="1">
      <c r="A48" s="412" t="s">
        <v>94</v>
      </c>
      <c r="B48" s="16" t="s">
        <v>172</v>
      </c>
      <c r="C48" s="27">
        <v>15968871</v>
      </c>
      <c r="D48" s="27">
        <f>17392896</f>
        <v>17392896</v>
      </c>
      <c r="E48" s="27">
        <f>17392896+20086-681+52128+92945</f>
        <v>17557374</v>
      </c>
      <c r="F48" s="27">
        <f>17392896+20086-681+52128+92945+244102</f>
        <v>17801476</v>
      </c>
    </row>
    <row r="49" spans="1:6" ht="12" customHeight="1">
      <c r="A49" s="412" t="s">
        <v>95</v>
      </c>
      <c r="B49" s="16" t="s">
        <v>131</v>
      </c>
      <c r="C49" s="27">
        <v>27824468</v>
      </c>
      <c r="D49" s="27">
        <f>27824468+56311</f>
        <v>27880779</v>
      </c>
      <c r="E49" s="27">
        <f>27824468+56311+10367-3204+33214+1830</f>
        <v>27922986</v>
      </c>
      <c r="F49" s="27">
        <f>27824468+56311+10367-3204+33214+1830+106326</f>
        <v>28029312</v>
      </c>
    </row>
    <row r="50" spans="1:6" ht="12" customHeight="1">
      <c r="A50" s="412" t="s">
        <v>96</v>
      </c>
      <c r="B50" s="16" t="s">
        <v>173</v>
      </c>
      <c r="C50" s="27"/>
      <c r="D50" s="27"/>
      <c r="E50" s="27"/>
      <c r="F50" s="27"/>
    </row>
    <row r="51" spans="1:6" ht="12" customHeight="1" thickBot="1">
      <c r="A51" s="412" t="s">
        <v>139</v>
      </c>
      <c r="B51" s="16" t="s">
        <v>174</v>
      </c>
      <c r="C51" s="27"/>
      <c r="D51" s="27"/>
      <c r="E51" s="27"/>
      <c r="F51" s="27"/>
    </row>
    <row r="52" spans="1:6" ht="12" customHeight="1" thickBot="1">
      <c r="A52" s="356" t="s">
        <v>15</v>
      </c>
      <c r="B52" s="19" t="s">
        <v>412</v>
      </c>
      <c r="C52" s="513">
        <f>SUM(C53:C55)</f>
        <v>825500</v>
      </c>
      <c r="D52" s="513">
        <f>SUM(D53:D55)</f>
        <v>825500</v>
      </c>
      <c r="E52" s="513">
        <f>SUM(E53:E55)</f>
        <v>825500</v>
      </c>
      <c r="F52" s="513">
        <f>SUM(F53:F55)</f>
        <v>825500</v>
      </c>
    </row>
    <row r="53" spans="1:6" s="207" customFormat="1" ht="12" customHeight="1">
      <c r="A53" s="412" t="s">
        <v>99</v>
      </c>
      <c r="B53" s="18" t="s">
        <v>217</v>
      </c>
      <c r="C53" s="20">
        <v>825500</v>
      </c>
      <c r="D53" s="20">
        <v>825500</v>
      </c>
      <c r="E53" s="20">
        <v>825500</v>
      </c>
      <c r="F53" s="20">
        <v>825500</v>
      </c>
    </row>
    <row r="54" spans="1:6" ht="12" customHeight="1">
      <c r="A54" s="412" t="s">
        <v>100</v>
      </c>
      <c r="B54" s="16" t="s">
        <v>176</v>
      </c>
      <c r="C54" s="27"/>
      <c r="D54" s="27"/>
      <c r="E54" s="27"/>
      <c r="F54" s="27"/>
    </row>
    <row r="55" spans="1:6" ht="12" customHeight="1">
      <c r="A55" s="412" t="s">
        <v>101</v>
      </c>
      <c r="B55" s="16" t="s">
        <v>53</v>
      </c>
      <c r="C55" s="27"/>
      <c r="D55" s="27"/>
      <c r="E55" s="27"/>
      <c r="F55" s="27"/>
    </row>
    <row r="56" spans="1:6" ht="12" customHeight="1" thickBot="1">
      <c r="A56" s="412" t="s">
        <v>102</v>
      </c>
      <c r="B56" s="16" t="s">
        <v>515</v>
      </c>
      <c r="C56" s="27"/>
      <c r="D56" s="27"/>
      <c r="E56" s="27"/>
      <c r="F56" s="27"/>
    </row>
    <row r="57" spans="1:6" ht="15" customHeight="1" thickBot="1">
      <c r="A57" s="356" t="s">
        <v>16</v>
      </c>
      <c r="B57" s="19" t="s">
        <v>10</v>
      </c>
      <c r="C57" s="518"/>
      <c r="D57" s="518"/>
      <c r="E57" s="518"/>
      <c r="F57" s="518"/>
    </row>
    <row r="58" spans="1:6" ht="13.5" thickBot="1">
      <c r="A58" s="356" t="s">
        <v>17</v>
      </c>
      <c r="B58" s="421" t="s">
        <v>520</v>
      </c>
      <c r="C58" s="524">
        <f>+C46+C52+C57</f>
        <v>122988139</v>
      </c>
      <c r="D58" s="524">
        <f>+D46+D52+D57</f>
        <v>131682798</v>
      </c>
      <c r="E58" s="524">
        <f>+E46+E52+E57</f>
        <v>132848502</v>
      </c>
      <c r="F58" s="524">
        <f>+F46+F52+F57</f>
        <v>134510733</v>
      </c>
    </row>
    <row r="59" spans="1:6" ht="15" customHeight="1" thickBot="1">
      <c r="C59" s="29"/>
      <c r="D59" s="29"/>
      <c r="E59" s="29"/>
      <c r="F59" s="29"/>
    </row>
    <row r="60" spans="1:6" ht="14.25" customHeight="1" thickBot="1">
      <c r="A60" s="30" t="s">
        <v>510</v>
      </c>
      <c r="B60" s="31"/>
      <c r="C60" s="32">
        <v>19</v>
      </c>
      <c r="D60" s="32">
        <v>19</v>
      </c>
      <c r="E60" s="32">
        <v>19</v>
      </c>
      <c r="F60" s="32">
        <v>19</v>
      </c>
    </row>
    <row r="61" spans="1:6" ht="13.5" thickBot="1">
      <c r="A61" s="30" t="s">
        <v>194</v>
      </c>
      <c r="B61" s="31"/>
      <c r="C61" s="32"/>
      <c r="D61" s="32"/>
      <c r="E61" s="32"/>
      <c r="F61" s="32"/>
    </row>
  </sheetData>
  <pageMargins left="0.7" right="0.7" top="0.75" bottom="0.75" header="0.3" footer="0.3"/>
  <pageSetup paperSize="9" scale="76" orientation="landscape" r:id="rId1"/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70C0"/>
  </sheetPr>
  <dimension ref="A1:F61"/>
  <sheetViews>
    <sheetView zoomScaleNormal="100"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6" width="25" style="9" customWidth="1"/>
    <col min="7" max="16384" width="9.33203125" style="9"/>
  </cols>
  <sheetData>
    <row r="1" spans="1:6" s="100" customFormat="1" ht="21" customHeight="1" thickBot="1">
      <c r="A1" s="1"/>
      <c r="B1" s="408" t="s">
        <v>765</v>
      </c>
      <c r="C1" s="408"/>
      <c r="D1" s="408"/>
      <c r="E1" s="408"/>
      <c r="F1" s="408"/>
    </row>
    <row r="2" spans="1:6" s="103" customFormat="1" ht="34.5" customHeight="1">
      <c r="A2" s="2" t="s">
        <v>192</v>
      </c>
      <c r="B2" s="3" t="s">
        <v>551</v>
      </c>
      <c r="C2" s="510" t="s">
        <v>54</v>
      </c>
      <c r="D2" s="510" t="s">
        <v>54</v>
      </c>
      <c r="E2" s="510" t="s">
        <v>54</v>
      </c>
      <c r="F2" s="510" t="s">
        <v>54</v>
      </c>
    </row>
    <row r="3" spans="1:6" s="103" customFormat="1" ht="24.75" thickBot="1">
      <c r="A3" s="409" t="s">
        <v>191</v>
      </c>
      <c r="B3" s="4" t="s">
        <v>394</v>
      </c>
      <c r="C3" s="511" t="s">
        <v>49</v>
      </c>
      <c r="D3" s="511" t="s">
        <v>49</v>
      </c>
      <c r="E3" s="511" t="s">
        <v>49</v>
      </c>
      <c r="F3" s="511" t="s">
        <v>49</v>
      </c>
    </row>
    <row r="4" spans="1:6" s="106" customFormat="1" ht="15.95" customHeight="1" thickBot="1">
      <c r="A4" s="5"/>
      <c r="B4" s="5"/>
      <c r="C4" s="6" t="s">
        <v>581</v>
      </c>
      <c r="D4" s="6" t="s">
        <v>581</v>
      </c>
      <c r="E4" s="6" t="s">
        <v>581</v>
      </c>
      <c r="F4" s="6" t="s">
        <v>581</v>
      </c>
    </row>
    <row r="5" spans="1:6" ht="24.75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750</v>
      </c>
    </row>
    <row r="6" spans="1:6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5.95" customHeight="1" thickBot="1">
      <c r="A7" s="13"/>
      <c r="B7" s="14" t="s">
        <v>51</v>
      </c>
      <c r="C7" s="512"/>
      <c r="D7" s="512"/>
      <c r="E7" s="512"/>
      <c r="F7" s="512"/>
    </row>
    <row r="8" spans="1:6" s="197" customFormat="1" ht="12" customHeight="1" thickBot="1">
      <c r="A8" s="10" t="s">
        <v>14</v>
      </c>
      <c r="B8" s="410" t="s">
        <v>511</v>
      </c>
      <c r="C8" s="513">
        <f>SUM(C9:C19)</f>
        <v>501010</v>
      </c>
      <c r="D8" s="513">
        <f>SUM(D9:D19)</f>
        <v>501010</v>
      </c>
      <c r="E8" s="513">
        <f>SUM(E9:E19)</f>
        <v>511010</v>
      </c>
      <c r="F8" s="513">
        <f>SUM(F9:F19)</f>
        <v>641010</v>
      </c>
    </row>
    <row r="9" spans="1:6" s="197" customFormat="1" ht="12" customHeight="1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2" customHeight="1">
      <c r="A10" s="412" t="s">
        <v>94</v>
      </c>
      <c r="B10" s="16" t="s">
        <v>271</v>
      </c>
      <c r="C10" s="515"/>
      <c r="D10" s="515"/>
      <c r="E10" s="515">
        <v>5000</v>
      </c>
      <c r="F10" s="515">
        <v>5000</v>
      </c>
    </row>
    <row r="11" spans="1:6" s="197" customFormat="1" ht="12" customHeight="1">
      <c r="A11" s="412" t="s">
        <v>95</v>
      </c>
      <c r="B11" s="16" t="s">
        <v>272</v>
      </c>
      <c r="C11" s="515">
        <v>500000</v>
      </c>
      <c r="D11" s="515">
        <v>500000</v>
      </c>
      <c r="E11" s="515">
        <v>500000</v>
      </c>
      <c r="F11" s="515">
        <f>500000+130000</f>
        <v>630000</v>
      </c>
    </row>
    <row r="12" spans="1:6" s="197" customFormat="1" ht="12" customHeight="1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2" customHeight="1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2" customHeight="1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2" customHeight="1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2" customHeight="1">
      <c r="A16" s="412" t="s">
        <v>108</v>
      </c>
      <c r="B16" s="16" t="s">
        <v>277</v>
      </c>
      <c r="C16" s="516">
        <v>10</v>
      </c>
      <c r="D16" s="516">
        <v>10</v>
      </c>
      <c r="E16" s="516">
        <v>10</v>
      </c>
      <c r="F16" s="516">
        <v>10</v>
      </c>
    </row>
    <row r="17" spans="1:6" s="199" customFormat="1" ht="12" customHeight="1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2" customHeight="1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2" customHeight="1" thickBot="1">
      <c r="A19" s="412" t="s">
        <v>111</v>
      </c>
      <c r="B19" s="17" t="s">
        <v>279</v>
      </c>
      <c r="C19" s="517">
        <v>1000</v>
      </c>
      <c r="D19" s="517">
        <v>1000</v>
      </c>
      <c r="E19" s="517">
        <f>1000+5000</f>
        <v>6000</v>
      </c>
      <c r="F19" s="517">
        <f>1000+5000</f>
        <v>6000</v>
      </c>
    </row>
    <row r="20" spans="1:6" s="197" customFormat="1" ht="12" customHeight="1" thickBot="1">
      <c r="A20" s="10" t="s">
        <v>15</v>
      </c>
      <c r="B20" s="410" t="s">
        <v>397</v>
      </c>
      <c r="C20" s="513">
        <f>SUM(C21:C23)</f>
        <v>0</v>
      </c>
      <c r="D20" s="513">
        <f>SUM(D21:D23)</f>
        <v>821497</v>
      </c>
      <c r="E20" s="513">
        <f>SUM(E21:E23)</f>
        <v>981583</v>
      </c>
      <c r="F20" s="513">
        <f>SUM(F21:F23)</f>
        <v>2095116</v>
      </c>
    </row>
    <row r="21" spans="1:6" s="199" customFormat="1" ht="12" customHeight="1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12" customHeight="1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12" customHeight="1">
      <c r="A23" s="412" t="s">
        <v>101</v>
      </c>
      <c r="B23" s="16" t="s">
        <v>399</v>
      </c>
      <c r="C23" s="515"/>
      <c r="D23" s="515">
        <v>821497</v>
      </c>
      <c r="E23" s="515">
        <f>821497+160086</f>
        <v>981583</v>
      </c>
      <c r="F23" s="515">
        <f>821497+160086+1014000+99533</f>
        <v>2095116</v>
      </c>
    </row>
    <row r="24" spans="1:6" s="199" customFormat="1" ht="12" customHeight="1" thickBot="1">
      <c r="A24" s="412" t="s">
        <v>102</v>
      </c>
      <c r="B24" s="16" t="s">
        <v>512</v>
      </c>
      <c r="C24" s="515"/>
      <c r="D24" s="515"/>
      <c r="E24" s="515"/>
      <c r="F24" s="515"/>
    </row>
    <row r="25" spans="1:6" s="199" customFormat="1" ht="12" customHeight="1" thickBot="1">
      <c r="A25" s="356" t="s">
        <v>16</v>
      </c>
      <c r="B25" s="19" t="s">
        <v>163</v>
      </c>
      <c r="C25" s="518">
        <v>625000</v>
      </c>
      <c r="D25" s="518">
        <v>625000</v>
      </c>
      <c r="E25" s="518">
        <v>625000</v>
      </c>
      <c r="F25" s="518">
        <f>625000+140000</f>
        <v>765000</v>
      </c>
    </row>
    <row r="26" spans="1:6" s="199" customFormat="1" ht="12" customHeight="1" thickBot="1">
      <c r="A26" s="356" t="s">
        <v>17</v>
      </c>
      <c r="B26" s="19" t="s">
        <v>513</v>
      </c>
      <c r="C26" s="513">
        <f>+C27+C28+C29</f>
        <v>0</v>
      </c>
      <c r="D26" s="513">
        <f>+D27+D28+D29</f>
        <v>0</v>
      </c>
      <c r="E26" s="513">
        <f>+E27+E28+E29</f>
        <v>0</v>
      </c>
      <c r="F26" s="513">
        <f>+F27+F28+F29</f>
        <v>0</v>
      </c>
    </row>
    <row r="27" spans="1:6" s="199" customFormat="1" ht="12" customHeight="1">
      <c r="A27" s="413" t="s">
        <v>257</v>
      </c>
      <c r="B27" s="414" t="s">
        <v>252</v>
      </c>
      <c r="C27" s="20"/>
      <c r="D27" s="20"/>
      <c r="E27" s="20"/>
      <c r="F27" s="20"/>
    </row>
    <row r="28" spans="1:6" s="199" customFormat="1" ht="12" customHeight="1">
      <c r="A28" s="413" t="s">
        <v>260</v>
      </c>
      <c r="B28" s="414" t="s">
        <v>398</v>
      </c>
      <c r="C28" s="515"/>
      <c r="D28" s="515"/>
      <c r="E28" s="515"/>
      <c r="F28" s="515"/>
    </row>
    <row r="29" spans="1:6" s="199" customFormat="1" ht="12" customHeight="1">
      <c r="A29" s="413" t="s">
        <v>261</v>
      </c>
      <c r="B29" s="415" t="s">
        <v>401</v>
      </c>
      <c r="C29" s="515"/>
      <c r="D29" s="515"/>
      <c r="E29" s="515"/>
      <c r="F29" s="515"/>
    </row>
    <row r="30" spans="1:6" s="199" customFormat="1" ht="12" customHeight="1" thickBot="1">
      <c r="A30" s="412" t="s">
        <v>262</v>
      </c>
      <c r="B30" s="416" t="s">
        <v>514</v>
      </c>
      <c r="C30" s="21"/>
      <c r="D30" s="21"/>
      <c r="E30" s="21"/>
      <c r="F30" s="21"/>
    </row>
    <row r="31" spans="1:6" s="199" customFormat="1" ht="12" customHeight="1" thickBot="1">
      <c r="A31" s="356" t="s">
        <v>18</v>
      </c>
      <c r="B31" s="19" t="s">
        <v>402</v>
      </c>
      <c r="C31" s="513">
        <f>+C32+C33+C34</f>
        <v>0</v>
      </c>
      <c r="D31" s="513">
        <f>+D32+D33+D34</f>
        <v>0</v>
      </c>
      <c r="E31" s="513">
        <f>+E32+E33+E34</f>
        <v>0</v>
      </c>
      <c r="F31" s="513">
        <f>+F32+F33+F34</f>
        <v>0</v>
      </c>
    </row>
    <row r="32" spans="1:6" s="199" customFormat="1" ht="12" customHeight="1">
      <c r="A32" s="413" t="s">
        <v>86</v>
      </c>
      <c r="B32" s="414" t="s">
        <v>284</v>
      </c>
      <c r="C32" s="20"/>
      <c r="D32" s="20"/>
      <c r="E32" s="20"/>
      <c r="F32" s="20"/>
    </row>
    <row r="33" spans="1:6" s="199" customFormat="1" ht="12" customHeight="1">
      <c r="A33" s="413" t="s">
        <v>87</v>
      </c>
      <c r="B33" s="415" t="s">
        <v>285</v>
      </c>
      <c r="C33" s="519"/>
      <c r="D33" s="519"/>
      <c r="E33" s="519"/>
      <c r="F33" s="519"/>
    </row>
    <row r="34" spans="1:6" s="199" customFormat="1" ht="12" customHeight="1" thickBot="1">
      <c r="A34" s="412" t="s">
        <v>88</v>
      </c>
      <c r="B34" s="416" t="s">
        <v>286</v>
      </c>
      <c r="C34" s="21"/>
      <c r="D34" s="21"/>
      <c r="E34" s="21"/>
      <c r="F34" s="21"/>
    </row>
    <row r="35" spans="1:6" s="197" customFormat="1" ht="12" customHeight="1" thickBot="1">
      <c r="A35" s="356" t="s">
        <v>19</v>
      </c>
      <c r="B35" s="19" t="s">
        <v>371</v>
      </c>
      <c r="C35" s="518"/>
      <c r="D35" s="518"/>
      <c r="E35" s="518"/>
      <c r="F35" s="518"/>
    </row>
    <row r="36" spans="1:6" s="197" customFormat="1" ht="12" customHeight="1" thickBot="1">
      <c r="A36" s="356" t="s">
        <v>20</v>
      </c>
      <c r="B36" s="19" t="s">
        <v>403</v>
      </c>
      <c r="C36" s="520"/>
      <c r="D36" s="520"/>
      <c r="E36" s="520"/>
      <c r="F36" s="520"/>
    </row>
    <row r="37" spans="1:6" s="197" customFormat="1" ht="12" customHeight="1" thickBot="1">
      <c r="A37" s="10" t="s">
        <v>21</v>
      </c>
      <c r="B37" s="19" t="s">
        <v>404</v>
      </c>
      <c r="C37" s="521">
        <f>+C8+C20+C25+C26+C31+C35+C36</f>
        <v>1126010</v>
      </c>
      <c r="D37" s="521">
        <f>+D8+D20+D25+D26+D31+D35+D36</f>
        <v>1947507</v>
      </c>
      <c r="E37" s="521">
        <f>+E8+E20+E25+E26+E31+E35+E36</f>
        <v>2117593</v>
      </c>
      <c r="F37" s="521">
        <f>+F8+F20+F25+F26+F31+F35+F36</f>
        <v>3501126</v>
      </c>
    </row>
    <row r="38" spans="1:6" s="197" customFormat="1" ht="12" customHeight="1" thickBot="1">
      <c r="A38" s="417" t="s">
        <v>22</v>
      </c>
      <c r="B38" s="19" t="s">
        <v>405</v>
      </c>
      <c r="C38" s="521">
        <f>+C39+C40+C41</f>
        <v>73006425</v>
      </c>
      <c r="D38" s="521">
        <f>+D39+D40+D41</f>
        <v>77351072</v>
      </c>
      <c r="E38" s="521">
        <f>+E39+E40+E41</f>
        <v>78021387</v>
      </c>
      <c r="F38" s="521">
        <f>+F39+F40+F41</f>
        <v>77751387</v>
      </c>
    </row>
    <row r="39" spans="1:6" s="197" customFormat="1" ht="12" customHeight="1">
      <c r="A39" s="413" t="s">
        <v>406</v>
      </c>
      <c r="B39" s="414" t="s">
        <v>226</v>
      </c>
      <c r="C39" s="20"/>
      <c r="D39" s="20">
        <v>1776671</v>
      </c>
      <c r="E39" s="20">
        <v>1776671</v>
      </c>
      <c r="F39" s="20">
        <v>1776671</v>
      </c>
    </row>
    <row r="40" spans="1:6" s="197" customFormat="1" ht="12" customHeight="1">
      <c r="A40" s="413" t="s">
        <v>407</v>
      </c>
      <c r="B40" s="415" t="s">
        <v>0</v>
      </c>
      <c r="C40" s="519"/>
      <c r="D40" s="519"/>
      <c r="E40" s="519"/>
      <c r="F40" s="519"/>
    </row>
    <row r="41" spans="1:6" s="199" customFormat="1" ht="12" customHeight="1" thickBot="1">
      <c r="A41" s="412" t="s">
        <v>408</v>
      </c>
      <c r="B41" s="416" t="s">
        <v>409</v>
      </c>
      <c r="C41" s="21">
        <v>73006425</v>
      </c>
      <c r="D41" s="21">
        <f>75574401</f>
        <v>75574401</v>
      </c>
      <c r="E41" s="21">
        <f>75574401-5000-5000+350000+330315</f>
        <v>76244716</v>
      </c>
      <c r="F41" s="21">
        <f>75574401-5000-5000+350000+330315-140000-130000</f>
        <v>75974716</v>
      </c>
    </row>
    <row r="42" spans="1:6" s="199" customFormat="1" ht="15" customHeight="1" thickBot="1">
      <c r="A42" s="417" t="s">
        <v>23</v>
      </c>
      <c r="B42" s="418" t="s">
        <v>410</v>
      </c>
      <c r="C42" s="522">
        <f>C37+C38</f>
        <v>74132435</v>
      </c>
      <c r="D42" s="522">
        <f>D37+D38</f>
        <v>79298579</v>
      </c>
      <c r="E42" s="522">
        <f>E37+E38</f>
        <v>80138980</v>
      </c>
      <c r="F42" s="522">
        <f>F37+F38</f>
        <v>81252513</v>
      </c>
    </row>
    <row r="43" spans="1:6" s="199" customFormat="1" ht="15" customHeight="1">
      <c r="A43" s="22"/>
      <c r="B43" s="23"/>
      <c r="C43" s="24"/>
      <c r="D43" s="24"/>
      <c r="E43" s="24"/>
      <c r="F43" s="24"/>
    </row>
    <row r="44" spans="1:6" ht="13.5" thickBot="1">
      <c r="A44" s="419"/>
      <c r="B44" s="420"/>
      <c r="C44" s="523"/>
      <c r="D44" s="523"/>
      <c r="E44" s="523"/>
      <c r="F44" s="523"/>
    </row>
    <row r="45" spans="1:6" s="107" customFormat="1" ht="16.5" customHeight="1" thickBot="1">
      <c r="A45" s="25"/>
      <c r="B45" s="26" t="s">
        <v>52</v>
      </c>
      <c r="C45" s="522"/>
      <c r="D45" s="522"/>
      <c r="E45" s="522"/>
      <c r="F45" s="522"/>
    </row>
    <row r="46" spans="1:6" s="207" customFormat="1" ht="12" customHeight="1" thickBot="1">
      <c r="A46" s="356" t="s">
        <v>14</v>
      </c>
      <c r="B46" s="19" t="s">
        <v>411</v>
      </c>
      <c r="C46" s="513">
        <f>SUM(C47:C51)</f>
        <v>73433935</v>
      </c>
      <c r="D46" s="513">
        <f>SUM(D47:D51)</f>
        <v>78600079</v>
      </c>
      <c r="E46" s="513">
        <f>SUM(E47:E51)</f>
        <v>79440480</v>
      </c>
      <c r="F46" s="513">
        <f>SUM(F47:F51)</f>
        <v>80554013</v>
      </c>
    </row>
    <row r="47" spans="1:6" ht="12" customHeight="1">
      <c r="A47" s="412" t="s">
        <v>93</v>
      </c>
      <c r="B47" s="18" t="s">
        <v>44</v>
      </c>
      <c r="C47" s="20">
        <v>42298401</v>
      </c>
      <c r="D47" s="20">
        <f>45916586+639847</f>
        <v>46556433</v>
      </c>
      <c r="E47" s="20">
        <f>45916586+639847+129633+297872+281080</f>
        <v>47265018</v>
      </c>
      <c r="F47" s="20">
        <f>45916586+639847+129633+297872+281080+781040+99533</f>
        <v>48145591</v>
      </c>
    </row>
    <row r="48" spans="1:6" ht="12" customHeight="1">
      <c r="A48" s="412" t="s">
        <v>94</v>
      </c>
      <c r="B48" s="16" t="s">
        <v>172</v>
      </c>
      <c r="C48" s="27">
        <v>8712834</v>
      </c>
      <c r="D48" s="27">
        <f>9418380+138682</f>
        <v>9557062</v>
      </c>
      <c r="E48" s="27">
        <f>9418380+138682+20086+52128+49235</f>
        <v>9678511</v>
      </c>
      <c r="F48" s="27">
        <f>9418380+138682+20086+52128+49235+162000</f>
        <v>9840511</v>
      </c>
    </row>
    <row r="49" spans="1:6" ht="12" customHeight="1">
      <c r="A49" s="412" t="s">
        <v>95</v>
      </c>
      <c r="B49" s="16" t="s">
        <v>131</v>
      </c>
      <c r="C49" s="27">
        <v>22422700</v>
      </c>
      <c r="D49" s="27">
        <f>22422700+10308+10608+42968</f>
        <v>22486584</v>
      </c>
      <c r="E49" s="27">
        <f>22422700+10308+10608+42968+10367</f>
        <v>22496951</v>
      </c>
      <c r="F49" s="27">
        <f>22422700+10308+10608+42968+10367+70960</f>
        <v>22567911</v>
      </c>
    </row>
    <row r="50" spans="1:6" ht="12" customHeight="1">
      <c r="A50" s="412" t="s">
        <v>96</v>
      </c>
      <c r="B50" s="16" t="s">
        <v>173</v>
      </c>
      <c r="C50" s="27"/>
      <c r="D50" s="27"/>
      <c r="E50" s="27"/>
      <c r="F50" s="27"/>
    </row>
    <row r="51" spans="1:6" ht="12" customHeight="1" thickBot="1">
      <c r="A51" s="412" t="s">
        <v>139</v>
      </c>
      <c r="B51" s="16" t="s">
        <v>174</v>
      </c>
      <c r="C51" s="27"/>
      <c r="D51" s="27"/>
      <c r="E51" s="27"/>
      <c r="F51" s="27"/>
    </row>
    <row r="52" spans="1:6" ht="12" customHeight="1" thickBot="1">
      <c r="A52" s="356" t="s">
        <v>15</v>
      </c>
      <c r="B52" s="19" t="s">
        <v>412</v>
      </c>
      <c r="C52" s="513">
        <f>SUM(C53:C55)</f>
        <v>698500</v>
      </c>
      <c r="D52" s="513">
        <f>SUM(D53:D55)</f>
        <v>698500</v>
      </c>
      <c r="E52" s="513">
        <f>SUM(E53:E55)</f>
        <v>698500</v>
      </c>
      <c r="F52" s="513">
        <f>SUM(F53:F55)</f>
        <v>698500</v>
      </c>
    </row>
    <row r="53" spans="1:6" s="207" customFormat="1" ht="12" customHeight="1">
      <c r="A53" s="412" t="s">
        <v>99</v>
      </c>
      <c r="B53" s="18" t="s">
        <v>217</v>
      </c>
      <c r="C53" s="20">
        <v>698500</v>
      </c>
      <c r="D53" s="20">
        <v>698500</v>
      </c>
      <c r="E53" s="20">
        <v>698500</v>
      </c>
      <c r="F53" s="20">
        <v>698500</v>
      </c>
    </row>
    <row r="54" spans="1:6" ht="12" customHeight="1">
      <c r="A54" s="412" t="s">
        <v>100</v>
      </c>
      <c r="B54" s="16" t="s">
        <v>176</v>
      </c>
      <c r="C54" s="27"/>
      <c r="D54" s="27"/>
      <c r="E54" s="27"/>
      <c r="F54" s="27"/>
    </row>
    <row r="55" spans="1:6" ht="12" customHeight="1">
      <c r="A55" s="412" t="s">
        <v>101</v>
      </c>
      <c r="B55" s="16" t="s">
        <v>53</v>
      </c>
      <c r="C55" s="27"/>
      <c r="D55" s="27"/>
      <c r="E55" s="27"/>
      <c r="F55" s="27"/>
    </row>
    <row r="56" spans="1:6" ht="12" customHeight="1" thickBot="1">
      <c r="A56" s="412" t="s">
        <v>102</v>
      </c>
      <c r="B56" s="16" t="s">
        <v>515</v>
      </c>
      <c r="C56" s="27"/>
      <c r="D56" s="27"/>
      <c r="E56" s="27"/>
      <c r="F56" s="27"/>
    </row>
    <row r="57" spans="1:6" ht="12" customHeight="1" thickBot="1">
      <c r="A57" s="356" t="s">
        <v>16</v>
      </c>
      <c r="B57" s="19" t="s">
        <v>10</v>
      </c>
      <c r="C57" s="518"/>
      <c r="D57" s="518"/>
      <c r="E57" s="518"/>
      <c r="F57" s="518"/>
    </row>
    <row r="58" spans="1:6" ht="15" customHeight="1" thickBot="1">
      <c r="A58" s="356" t="s">
        <v>17</v>
      </c>
      <c r="B58" s="421" t="s">
        <v>520</v>
      </c>
      <c r="C58" s="524">
        <f>+C46+C52+C57</f>
        <v>74132435</v>
      </c>
      <c r="D58" s="524">
        <f>+D46+D52+D57</f>
        <v>79298579</v>
      </c>
      <c r="E58" s="524">
        <f>+E46+E52+E57</f>
        <v>80138980</v>
      </c>
      <c r="F58" s="524">
        <f>+F46+F52+F57</f>
        <v>81252513</v>
      </c>
    </row>
    <row r="59" spans="1:6" ht="13.5" thickBot="1">
      <c r="C59" s="29"/>
      <c r="D59" s="29"/>
      <c r="E59" s="29"/>
      <c r="F59" s="29"/>
    </row>
    <row r="60" spans="1:6" ht="15" customHeight="1" thickBot="1">
      <c r="A60" s="30" t="s">
        <v>510</v>
      </c>
      <c r="B60" s="31"/>
      <c r="C60" s="32">
        <v>11</v>
      </c>
      <c r="D60" s="32">
        <v>11</v>
      </c>
      <c r="E60" s="32">
        <v>11</v>
      </c>
      <c r="F60" s="32">
        <v>11</v>
      </c>
    </row>
    <row r="61" spans="1:6" ht="14.25" customHeight="1" thickBot="1">
      <c r="A61" s="30" t="s">
        <v>194</v>
      </c>
      <c r="B61" s="31"/>
      <c r="C61" s="32"/>
      <c r="D61" s="32"/>
      <c r="E61" s="32"/>
      <c r="F61" s="32"/>
    </row>
  </sheetData>
  <pageMargins left="0.7" right="0.7" top="0.75" bottom="0.75" header="0.3" footer="0.3"/>
  <pageSetup paperSize="9" scale="76" orientation="landscape" r:id="rId1"/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70C0"/>
  </sheetPr>
  <dimension ref="A1:F61"/>
  <sheetViews>
    <sheetView zoomScaleNormal="100"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6" width="25" style="9" customWidth="1"/>
    <col min="7" max="16384" width="9.33203125" style="9"/>
  </cols>
  <sheetData>
    <row r="1" spans="1:6" s="100" customFormat="1" ht="21" customHeight="1" thickBot="1">
      <c r="A1" s="1"/>
      <c r="B1" s="408" t="s">
        <v>766</v>
      </c>
      <c r="C1" s="408"/>
      <c r="D1" s="408"/>
      <c r="E1" s="408"/>
      <c r="F1" s="408"/>
    </row>
    <row r="2" spans="1:6" s="103" customFormat="1" ht="34.5" customHeight="1">
      <c r="A2" s="2" t="s">
        <v>192</v>
      </c>
      <c r="B2" s="3" t="s">
        <v>552</v>
      </c>
      <c r="C2" s="510" t="s">
        <v>54</v>
      </c>
      <c r="D2" s="510" t="s">
        <v>54</v>
      </c>
      <c r="E2" s="510" t="s">
        <v>54</v>
      </c>
      <c r="F2" s="510" t="s">
        <v>54</v>
      </c>
    </row>
    <row r="3" spans="1:6" s="103" customFormat="1" ht="24.75" thickBot="1">
      <c r="A3" s="409" t="s">
        <v>191</v>
      </c>
      <c r="B3" s="4" t="s">
        <v>394</v>
      </c>
      <c r="C3" s="511" t="s">
        <v>49</v>
      </c>
      <c r="D3" s="511" t="s">
        <v>49</v>
      </c>
      <c r="E3" s="511" t="s">
        <v>49</v>
      </c>
      <c r="F3" s="511" t="s">
        <v>49</v>
      </c>
    </row>
    <row r="4" spans="1:6" s="106" customFormat="1" ht="15.95" customHeight="1" thickBot="1">
      <c r="A4" s="5"/>
      <c r="B4" s="5"/>
      <c r="C4" s="6" t="s">
        <v>581</v>
      </c>
      <c r="D4" s="6" t="s">
        <v>581</v>
      </c>
      <c r="E4" s="6" t="s">
        <v>581</v>
      </c>
      <c r="F4" s="6" t="s">
        <v>581</v>
      </c>
    </row>
    <row r="5" spans="1:6" ht="24.75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750</v>
      </c>
    </row>
    <row r="6" spans="1:6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5.95" customHeight="1" thickBot="1">
      <c r="A7" s="13"/>
      <c r="B7" s="14" t="s">
        <v>51</v>
      </c>
      <c r="C7" s="512"/>
      <c r="D7" s="512"/>
      <c r="E7" s="512"/>
      <c r="F7" s="512"/>
    </row>
    <row r="8" spans="1:6" s="197" customFormat="1" ht="12" customHeight="1" thickBot="1">
      <c r="A8" s="10" t="s">
        <v>14</v>
      </c>
      <c r="B8" s="410" t="s">
        <v>511</v>
      </c>
      <c r="C8" s="513">
        <f>SUM(C9:C19)</f>
        <v>0</v>
      </c>
      <c r="D8" s="513">
        <f>SUM(D9:D19)</f>
        <v>0</v>
      </c>
      <c r="E8" s="513">
        <f>SUM(E9:E19)</f>
        <v>0</v>
      </c>
      <c r="F8" s="513">
        <f>SUM(F9:F19)</f>
        <v>0</v>
      </c>
    </row>
    <row r="9" spans="1:6" s="197" customFormat="1" ht="12" customHeight="1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2" customHeight="1">
      <c r="A10" s="412" t="s">
        <v>94</v>
      </c>
      <c r="B10" s="16" t="s">
        <v>271</v>
      </c>
      <c r="C10" s="515"/>
      <c r="D10" s="515"/>
      <c r="E10" s="515"/>
      <c r="F10" s="515"/>
    </row>
    <row r="11" spans="1:6" s="197" customFormat="1" ht="12" customHeight="1">
      <c r="A11" s="412" t="s">
        <v>95</v>
      </c>
      <c r="B11" s="16" t="s">
        <v>272</v>
      </c>
      <c r="C11" s="515"/>
      <c r="D11" s="515"/>
      <c r="E11" s="515"/>
      <c r="F11" s="515"/>
    </row>
    <row r="12" spans="1:6" s="197" customFormat="1" ht="12" customHeight="1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2" customHeight="1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2" customHeight="1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2" customHeight="1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2" customHeight="1">
      <c r="A16" s="412" t="s">
        <v>108</v>
      </c>
      <c r="B16" s="16" t="s">
        <v>277</v>
      </c>
      <c r="C16" s="516"/>
      <c r="D16" s="516"/>
      <c r="E16" s="516"/>
      <c r="F16" s="516"/>
    </row>
    <row r="17" spans="1:6" s="199" customFormat="1" ht="12" customHeight="1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2" customHeight="1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2" customHeight="1" thickBot="1">
      <c r="A19" s="412" t="s">
        <v>111</v>
      </c>
      <c r="B19" s="17" t="s">
        <v>279</v>
      </c>
      <c r="C19" s="517"/>
      <c r="D19" s="517"/>
      <c r="E19" s="517"/>
      <c r="F19" s="517"/>
    </row>
    <row r="20" spans="1:6" s="197" customFormat="1" ht="12" customHeight="1" thickBot="1">
      <c r="A20" s="10" t="s">
        <v>15</v>
      </c>
      <c r="B20" s="410" t="s">
        <v>397</v>
      </c>
      <c r="C20" s="513">
        <f>SUM(C21:C23)</f>
        <v>0</v>
      </c>
      <c r="D20" s="513">
        <f>SUM(D21:D23)</f>
        <v>284685</v>
      </c>
      <c r="E20" s="513">
        <f>SUM(E21:E23)</f>
        <v>316558</v>
      </c>
      <c r="F20" s="513">
        <f>SUM(F21:F23)</f>
        <v>865256</v>
      </c>
    </row>
    <row r="21" spans="1:6" s="199" customFormat="1" ht="12" customHeight="1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12" customHeight="1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12" customHeight="1">
      <c r="A23" s="412" t="s">
        <v>101</v>
      </c>
      <c r="B23" s="16" t="s">
        <v>399</v>
      </c>
      <c r="C23" s="515"/>
      <c r="D23" s="515">
        <v>284685</v>
      </c>
      <c r="E23" s="515">
        <f>284685+31873</f>
        <v>316558</v>
      </c>
      <c r="F23" s="515">
        <f>284685+31873+532668+16030</f>
        <v>865256</v>
      </c>
    </row>
    <row r="24" spans="1:6" s="199" customFormat="1" ht="12" customHeight="1" thickBot="1">
      <c r="A24" s="412" t="s">
        <v>102</v>
      </c>
      <c r="B24" s="16" t="s">
        <v>512</v>
      </c>
      <c r="C24" s="515"/>
      <c r="D24" s="515"/>
      <c r="E24" s="515"/>
      <c r="F24" s="515"/>
    </row>
    <row r="25" spans="1:6" s="199" customFormat="1" ht="12" customHeight="1" thickBot="1">
      <c r="A25" s="356" t="s">
        <v>16</v>
      </c>
      <c r="B25" s="19" t="s">
        <v>163</v>
      </c>
      <c r="C25" s="518">
        <v>425000</v>
      </c>
      <c r="D25" s="518">
        <v>425000</v>
      </c>
      <c r="E25" s="518">
        <v>425000</v>
      </c>
      <c r="F25" s="518">
        <f>425000+120000</f>
        <v>545000</v>
      </c>
    </row>
    <row r="26" spans="1:6" s="199" customFormat="1" ht="12" customHeight="1" thickBot="1">
      <c r="A26" s="356" t="s">
        <v>17</v>
      </c>
      <c r="B26" s="19" t="s">
        <v>513</v>
      </c>
      <c r="C26" s="513">
        <f>+C27+C28+C29</f>
        <v>0</v>
      </c>
      <c r="D26" s="513">
        <f>+D27+D28+D29</f>
        <v>0</v>
      </c>
      <c r="E26" s="513">
        <f>+E27+E28+E29</f>
        <v>0</v>
      </c>
      <c r="F26" s="513">
        <f>+F27+F28+F29</f>
        <v>0</v>
      </c>
    </row>
    <row r="27" spans="1:6" s="199" customFormat="1" ht="12" customHeight="1">
      <c r="A27" s="413" t="s">
        <v>257</v>
      </c>
      <c r="B27" s="414" t="s">
        <v>252</v>
      </c>
      <c r="C27" s="20"/>
      <c r="D27" s="20"/>
      <c r="E27" s="20"/>
      <c r="F27" s="20"/>
    </row>
    <row r="28" spans="1:6" s="199" customFormat="1" ht="12" customHeight="1">
      <c r="A28" s="413" t="s">
        <v>260</v>
      </c>
      <c r="B28" s="414" t="s">
        <v>398</v>
      </c>
      <c r="C28" s="515"/>
      <c r="D28" s="515"/>
      <c r="E28" s="515"/>
      <c r="F28" s="515"/>
    </row>
    <row r="29" spans="1:6" s="199" customFormat="1" ht="12" customHeight="1">
      <c r="A29" s="413" t="s">
        <v>261</v>
      </c>
      <c r="B29" s="415" t="s">
        <v>401</v>
      </c>
      <c r="C29" s="515"/>
      <c r="D29" s="515"/>
      <c r="E29" s="515"/>
      <c r="F29" s="515"/>
    </row>
    <row r="30" spans="1:6" s="199" customFormat="1" ht="12" customHeight="1" thickBot="1">
      <c r="A30" s="412" t="s">
        <v>262</v>
      </c>
      <c r="B30" s="416" t="s">
        <v>514</v>
      </c>
      <c r="C30" s="21"/>
      <c r="D30" s="21"/>
      <c r="E30" s="21"/>
      <c r="F30" s="21"/>
    </row>
    <row r="31" spans="1:6" s="199" customFormat="1" ht="12" customHeight="1" thickBot="1">
      <c r="A31" s="356" t="s">
        <v>18</v>
      </c>
      <c r="B31" s="19" t="s">
        <v>402</v>
      </c>
      <c r="C31" s="513">
        <f>+C32+C33+C34</f>
        <v>0</v>
      </c>
      <c r="D31" s="513">
        <f>+D32+D33+D34</f>
        <v>0</v>
      </c>
      <c r="E31" s="513">
        <f>+E32+E33+E34</f>
        <v>0</v>
      </c>
      <c r="F31" s="513">
        <f>+F32+F33+F34</f>
        <v>0</v>
      </c>
    </row>
    <row r="32" spans="1:6" s="199" customFormat="1" ht="12" customHeight="1">
      <c r="A32" s="413" t="s">
        <v>86</v>
      </c>
      <c r="B32" s="414" t="s">
        <v>284</v>
      </c>
      <c r="C32" s="20"/>
      <c r="D32" s="20"/>
      <c r="E32" s="20"/>
      <c r="F32" s="20"/>
    </row>
    <row r="33" spans="1:6" s="199" customFormat="1" ht="12" customHeight="1">
      <c r="A33" s="413" t="s">
        <v>87</v>
      </c>
      <c r="B33" s="415" t="s">
        <v>285</v>
      </c>
      <c r="C33" s="519"/>
      <c r="D33" s="519"/>
      <c r="E33" s="519"/>
      <c r="F33" s="519"/>
    </row>
    <row r="34" spans="1:6" s="199" customFormat="1" ht="12" customHeight="1" thickBot="1">
      <c r="A34" s="412" t="s">
        <v>88</v>
      </c>
      <c r="B34" s="416" t="s">
        <v>286</v>
      </c>
      <c r="C34" s="21"/>
      <c r="D34" s="21"/>
      <c r="E34" s="21"/>
      <c r="F34" s="21"/>
    </row>
    <row r="35" spans="1:6" s="197" customFormat="1" ht="12" customHeight="1" thickBot="1">
      <c r="A35" s="356" t="s">
        <v>19</v>
      </c>
      <c r="B35" s="19" t="s">
        <v>371</v>
      </c>
      <c r="C35" s="518"/>
      <c r="D35" s="518"/>
      <c r="E35" s="518"/>
      <c r="F35" s="518"/>
    </row>
    <row r="36" spans="1:6" s="197" customFormat="1" ht="12" customHeight="1" thickBot="1">
      <c r="A36" s="356" t="s">
        <v>20</v>
      </c>
      <c r="B36" s="19" t="s">
        <v>403</v>
      </c>
      <c r="C36" s="520"/>
      <c r="D36" s="520"/>
      <c r="E36" s="520"/>
      <c r="F36" s="520"/>
    </row>
    <row r="37" spans="1:6" s="197" customFormat="1" ht="12" customHeight="1" thickBot="1">
      <c r="A37" s="10" t="s">
        <v>21</v>
      </c>
      <c r="B37" s="19" t="s">
        <v>404</v>
      </c>
      <c r="C37" s="521">
        <f>+C8+C20+C25+C26+C31+C35+C36</f>
        <v>425000</v>
      </c>
      <c r="D37" s="521">
        <f>+D8+D20+D25+D26+D31+D35+D36</f>
        <v>709685</v>
      </c>
      <c r="E37" s="521">
        <f>+E8+E20+E25+E26+E31+E35+E36</f>
        <v>741558</v>
      </c>
      <c r="F37" s="521">
        <f>+F8+F20+F25+F26+F31+F35+F36</f>
        <v>1410256</v>
      </c>
    </row>
    <row r="38" spans="1:6" s="197" customFormat="1" ht="12" customHeight="1" thickBot="1">
      <c r="A38" s="417" t="s">
        <v>22</v>
      </c>
      <c r="B38" s="19" t="s">
        <v>405</v>
      </c>
      <c r="C38" s="521">
        <f>+C39+C40+C41</f>
        <v>48430704</v>
      </c>
      <c r="D38" s="521">
        <f>+D39+D40+D41</f>
        <v>51674534</v>
      </c>
      <c r="E38" s="521">
        <f>+E39+E40+E41</f>
        <v>51967964</v>
      </c>
      <c r="F38" s="521">
        <f>+F39+F40+F41</f>
        <v>51847964</v>
      </c>
    </row>
    <row r="39" spans="1:6" s="197" customFormat="1" ht="12" customHeight="1">
      <c r="A39" s="413" t="s">
        <v>406</v>
      </c>
      <c r="B39" s="414" t="s">
        <v>226</v>
      </c>
      <c r="C39" s="20"/>
      <c r="D39" s="20"/>
      <c r="E39" s="20"/>
      <c r="F39" s="20"/>
    </row>
    <row r="40" spans="1:6" s="197" customFormat="1" ht="12" customHeight="1">
      <c r="A40" s="413" t="s">
        <v>407</v>
      </c>
      <c r="B40" s="415" t="s">
        <v>0</v>
      </c>
      <c r="C40" s="519"/>
      <c r="D40" s="519"/>
      <c r="E40" s="519"/>
      <c r="F40" s="519"/>
    </row>
    <row r="41" spans="1:6" s="199" customFormat="1" ht="12" customHeight="1" thickBot="1">
      <c r="A41" s="412" t="s">
        <v>408</v>
      </c>
      <c r="B41" s="416" t="s">
        <v>409</v>
      </c>
      <c r="C41" s="21">
        <v>48430704</v>
      </c>
      <c r="D41" s="21">
        <f>51674534</f>
        <v>51674534</v>
      </c>
      <c r="E41" s="21">
        <f>51674534+293430</f>
        <v>51967964</v>
      </c>
      <c r="F41" s="21">
        <f>51674534+293430-120000</f>
        <v>51847964</v>
      </c>
    </row>
    <row r="42" spans="1:6" s="199" customFormat="1" ht="15" customHeight="1" thickBot="1">
      <c r="A42" s="417" t="s">
        <v>23</v>
      </c>
      <c r="B42" s="418" t="s">
        <v>410</v>
      </c>
      <c r="C42" s="522">
        <f>+C37+C38</f>
        <v>48855704</v>
      </c>
      <c r="D42" s="522">
        <f>+D37+D38</f>
        <v>52384219</v>
      </c>
      <c r="E42" s="522">
        <f>+E37+E38</f>
        <v>52709522</v>
      </c>
      <c r="F42" s="522">
        <f>+F37+F38</f>
        <v>53258220</v>
      </c>
    </row>
    <row r="43" spans="1:6" s="199" customFormat="1" ht="15" customHeight="1">
      <c r="A43" s="22"/>
      <c r="B43" s="23"/>
      <c r="C43" s="24"/>
      <c r="D43" s="24"/>
      <c r="E43" s="24"/>
      <c r="F43" s="24"/>
    </row>
    <row r="44" spans="1:6" ht="13.5" thickBot="1">
      <c r="A44" s="419"/>
      <c r="B44" s="420"/>
      <c r="C44" s="523"/>
      <c r="D44" s="523"/>
      <c r="E44" s="523"/>
      <c r="F44" s="523"/>
    </row>
    <row r="45" spans="1:6" s="107" customFormat="1" ht="16.5" customHeight="1" thickBot="1">
      <c r="A45" s="25"/>
      <c r="B45" s="26" t="s">
        <v>52</v>
      </c>
      <c r="C45" s="522"/>
      <c r="D45" s="522"/>
      <c r="E45" s="522"/>
      <c r="F45" s="522"/>
    </row>
    <row r="46" spans="1:6" s="207" customFormat="1" ht="12" customHeight="1" thickBot="1">
      <c r="A46" s="356" t="s">
        <v>14</v>
      </c>
      <c r="B46" s="19" t="s">
        <v>411</v>
      </c>
      <c r="C46" s="513">
        <f>SUM(C47:C51)</f>
        <v>48728704</v>
      </c>
      <c r="D46" s="513">
        <f>SUM(D47:D51)</f>
        <v>52257219</v>
      </c>
      <c r="E46" s="513">
        <f>SUM(E47:E51)</f>
        <v>52582522</v>
      </c>
      <c r="F46" s="513">
        <f>SUM(F47:F51)</f>
        <v>53131220</v>
      </c>
    </row>
    <row r="47" spans="1:6" ht="12" customHeight="1">
      <c r="A47" s="412" t="s">
        <v>93</v>
      </c>
      <c r="B47" s="18" t="s">
        <v>44</v>
      </c>
      <c r="C47" s="20">
        <v>36070899</v>
      </c>
      <c r="D47" s="20">
        <f>38802904+224286</f>
        <v>39027190</v>
      </c>
      <c r="E47" s="20">
        <f>38802904+224286+714+249720</f>
        <v>39277624</v>
      </c>
      <c r="F47" s="20">
        <f>38802904+224286+714+249720+415200+16030</f>
        <v>39708854</v>
      </c>
    </row>
    <row r="48" spans="1:6" ht="12" customHeight="1">
      <c r="A48" s="412" t="s">
        <v>94</v>
      </c>
      <c r="B48" s="16" t="s">
        <v>172</v>
      </c>
      <c r="C48" s="27">
        <v>7256037</v>
      </c>
      <c r="D48" s="27">
        <f>7788778+47056</f>
        <v>7835834</v>
      </c>
      <c r="E48" s="27">
        <f>7788778+47056-681+43710</f>
        <v>7878863</v>
      </c>
      <c r="F48" s="27">
        <f>7788778+47056-681+43710+82102</f>
        <v>7960965</v>
      </c>
    </row>
    <row r="49" spans="1:6" ht="12" customHeight="1">
      <c r="A49" s="412" t="s">
        <v>95</v>
      </c>
      <c r="B49" s="16" t="s">
        <v>131</v>
      </c>
      <c r="C49" s="27">
        <v>5401768</v>
      </c>
      <c r="D49" s="27">
        <f>5401768-10308-10608+13343</f>
        <v>5394195</v>
      </c>
      <c r="E49" s="27">
        <f>5401768-10308-10608+13343-3204+33214+1830</f>
        <v>5426035</v>
      </c>
      <c r="F49" s="27">
        <f>5401768-10308-10608+13343-3204+33214+1830+35366</f>
        <v>5461401</v>
      </c>
    </row>
    <row r="50" spans="1:6" ht="12" customHeight="1">
      <c r="A50" s="412" t="s">
        <v>96</v>
      </c>
      <c r="B50" s="16" t="s">
        <v>173</v>
      </c>
      <c r="C50" s="27"/>
      <c r="D50" s="27"/>
      <c r="E50" s="27"/>
      <c r="F50" s="27"/>
    </row>
    <row r="51" spans="1:6" ht="12" customHeight="1" thickBot="1">
      <c r="A51" s="412" t="s">
        <v>139</v>
      </c>
      <c r="B51" s="16" t="s">
        <v>174</v>
      </c>
      <c r="C51" s="27"/>
      <c r="D51" s="27"/>
      <c r="E51" s="27"/>
      <c r="F51" s="27"/>
    </row>
    <row r="52" spans="1:6" ht="12" customHeight="1" thickBot="1">
      <c r="A52" s="356" t="s">
        <v>15</v>
      </c>
      <c r="B52" s="19" t="s">
        <v>412</v>
      </c>
      <c r="C52" s="513">
        <f>SUM(C53:C55)</f>
        <v>127000</v>
      </c>
      <c r="D52" s="513">
        <f>SUM(D53:D55)</f>
        <v>127000</v>
      </c>
      <c r="E52" s="513">
        <f>SUM(E53:E55)</f>
        <v>127000</v>
      </c>
      <c r="F52" s="513">
        <f>SUM(F53:F55)</f>
        <v>127000</v>
      </c>
    </row>
    <row r="53" spans="1:6" s="207" customFormat="1" ht="12" customHeight="1">
      <c r="A53" s="412" t="s">
        <v>99</v>
      </c>
      <c r="B53" s="18" t="s">
        <v>217</v>
      </c>
      <c r="C53" s="20">
        <v>127000</v>
      </c>
      <c r="D53" s="20">
        <v>127000</v>
      </c>
      <c r="E53" s="20">
        <v>127000</v>
      </c>
      <c r="F53" s="20">
        <v>127000</v>
      </c>
    </row>
    <row r="54" spans="1:6" ht="12" customHeight="1">
      <c r="A54" s="412" t="s">
        <v>100</v>
      </c>
      <c r="B54" s="16" t="s">
        <v>176</v>
      </c>
      <c r="C54" s="27"/>
      <c r="D54" s="27"/>
      <c r="E54" s="27"/>
      <c r="F54" s="27"/>
    </row>
    <row r="55" spans="1:6" ht="12" customHeight="1">
      <c r="A55" s="412" t="s">
        <v>101</v>
      </c>
      <c r="B55" s="16" t="s">
        <v>53</v>
      </c>
      <c r="C55" s="27"/>
      <c r="D55" s="27"/>
      <c r="E55" s="27"/>
      <c r="F55" s="27"/>
    </row>
    <row r="56" spans="1:6" ht="12" customHeight="1" thickBot="1">
      <c r="A56" s="412" t="s">
        <v>102</v>
      </c>
      <c r="B56" s="16" t="s">
        <v>515</v>
      </c>
      <c r="C56" s="27"/>
      <c r="D56" s="27"/>
      <c r="E56" s="27"/>
      <c r="F56" s="27"/>
    </row>
    <row r="57" spans="1:6" ht="12" customHeight="1" thickBot="1">
      <c r="A57" s="356" t="s">
        <v>16</v>
      </c>
      <c r="B57" s="19" t="s">
        <v>10</v>
      </c>
      <c r="C57" s="518"/>
      <c r="D57" s="518"/>
      <c r="E57" s="518"/>
      <c r="F57" s="518"/>
    </row>
    <row r="58" spans="1:6" ht="15" customHeight="1" thickBot="1">
      <c r="A58" s="356" t="s">
        <v>17</v>
      </c>
      <c r="B58" s="421" t="s">
        <v>520</v>
      </c>
      <c r="C58" s="524">
        <f>+C46+C52+C57</f>
        <v>48855704</v>
      </c>
      <c r="D58" s="524">
        <f>+D46+D52+D57</f>
        <v>52384219</v>
      </c>
      <c r="E58" s="524">
        <f>+E46+E52+E57</f>
        <v>52709522</v>
      </c>
      <c r="F58" s="524">
        <f>+F46+F52+F57</f>
        <v>53258220</v>
      </c>
    </row>
    <row r="59" spans="1:6" ht="13.5" thickBot="1">
      <c r="C59" s="29"/>
      <c r="D59" s="29"/>
      <c r="E59" s="29"/>
      <c r="F59" s="29"/>
    </row>
    <row r="60" spans="1:6" ht="15" customHeight="1" thickBot="1">
      <c r="A60" s="30" t="s">
        <v>510</v>
      </c>
      <c r="B60" s="31"/>
      <c r="C60" s="32">
        <v>8</v>
      </c>
      <c r="D60" s="32">
        <v>8</v>
      </c>
      <c r="E60" s="32">
        <v>8</v>
      </c>
      <c r="F60" s="32">
        <v>8</v>
      </c>
    </row>
    <row r="61" spans="1:6" ht="14.25" customHeight="1" thickBot="1">
      <c r="A61" s="30" t="s">
        <v>194</v>
      </c>
      <c r="B61" s="31"/>
      <c r="C61" s="32"/>
      <c r="D61" s="32"/>
      <c r="E61" s="32"/>
      <c r="F61" s="32"/>
    </row>
  </sheetData>
  <pageMargins left="0.7" right="0.7" top="0.75" bottom="0.75" header="0.3" footer="0.3"/>
  <pageSetup paperSize="9" scale="76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FFC000"/>
  </sheetPr>
  <dimension ref="A1:G163"/>
  <sheetViews>
    <sheetView view="pageLayout" topLeftCell="C93" zoomScaleNormal="100" zoomScaleSheetLayoutView="100" workbookViewId="0">
      <selection activeCell="G104" sqref="G104"/>
    </sheetView>
  </sheetViews>
  <sheetFormatPr defaultRowHeight="15.75"/>
  <cols>
    <col min="1" max="1" width="7.1640625" style="657" bestFit="1" customWidth="1"/>
    <col min="2" max="2" width="76.5" style="657" bestFit="1" customWidth="1"/>
    <col min="3" max="7" width="21.33203125" style="770" customWidth="1"/>
    <col min="8" max="16384" width="9.33203125" style="657"/>
  </cols>
  <sheetData>
    <row r="1" spans="1:7" s="390" customFormat="1">
      <c r="B1" s="390" t="s">
        <v>693</v>
      </c>
      <c r="C1" s="619"/>
      <c r="D1" s="619"/>
      <c r="E1" s="619"/>
      <c r="F1" s="619"/>
      <c r="G1" s="619"/>
    </row>
    <row r="5" spans="1:7">
      <c r="B5" s="364" t="s">
        <v>644</v>
      </c>
    </row>
    <row r="6" spans="1:7">
      <c r="B6" s="364" t="s">
        <v>672</v>
      </c>
    </row>
    <row r="7" spans="1:7">
      <c r="B7" s="367" t="s">
        <v>645</v>
      </c>
    </row>
    <row r="10" spans="1:7">
      <c r="A10" s="789" t="s">
        <v>11</v>
      </c>
      <c r="B10" s="789"/>
      <c r="C10" s="657"/>
      <c r="D10" s="657"/>
      <c r="E10" s="657"/>
      <c r="F10" s="657"/>
      <c r="G10" s="657"/>
    </row>
    <row r="11" spans="1:7" ht="16.5" thickBot="1">
      <c r="A11" s="790" t="s">
        <v>142</v>
      </c>
      <c r="B11" s="790"/>
      <c r="C11" s="484" t="s">
        <v>581</v>
      </c>
      <c r="D11" s="484" t="s">
        <v>581</v>
      </c>
      <c r="E11" s="484" t="s">
        <v>581</v>
      </c>
      <c r="F11" s="484" t="s">
        <v>581</v>
      </c>
      <c r="G11" s="484" t="s">
        <v>581</v>
      </c>
    </row>
    <row r="12" spans="1:7" ht="24.75" thickBot="1">
      <c r="A12" s="33" t="s">
        <v>64</v>
      </c>
      <c r="B12" s="34" t="s">
        <v>13</v>
      </c>
      <c r="C12" s="569" t="s">
        <v>690</v>
      </c>
      <c r="D12" s="569" t="s">
        <v>716</v>
      </c>
      <c r="E12" s="569" t="s">
        <v>719</v>
      </c>
      <c r="F12" s="569" t="s">
        <v>729</v>
      </c>
      <c r="G12" s="569" t="s">
        <v>750</v>
      </c>
    </row>
    <row r="13" spans="1:7" s="37" customFormat="1" ht="12" thickBot="1">
      <c r="A13" s="35" t="s">
        <v>483</v>
      </c>
      <c r="B13" s="36" t="s">
        <v>484</v>
      </c>
      <c r="C13" s="536" t="s">
        <v>485</v>
      </c>
      <c r="D13" s="536" t="s">
        <v>485</v>
      </c>
      <c r="E13" s="536" t="s">
        <v>485</v>
      </c>
      <c r="F13" s="536" t="s">
        <v>485</v>
      </c>
      <c r="G13" s="536" t="s">
        <v>485</v>
      </c>
    </row>
    <row r="14" spans="1:7" s="41" customFormat="1" ht="13.5" thickBot="1">
      <c r="A14" s="38" t="s">
        <v>14</v>
      </c>
      <c r="B14" s="39" t="s">
        <v>241</v>
      </c>
      <c r="C14" s="40">
        <f>+C15+C16+C17+C18+C19+C20</f>
        <v>223966276</v>
      </c>
      <c r="D14" s="40">
        <f>+D15+D16+D17+D18+D19+D20</f>
        <v>233099072</v>
      </c>
      <c r="E14" s="40">
        <f>+E15+E16+E17+E18+E19+E20</f>
        <v>234553676</v>
      </c>
      <c r="F14" s="40">
        <f>+F15+F16+F17+F18+F19+F20</f>
        <v>239005928</v>
      </c>
      <c r="G14" s="40">
        <f>+G15+G16+G17+G18+G19+G20</f>
        <v>260181308</v>
      </c>
    </row>
    <row r="15" spans="1:7" s="41" customFormat="1" ht="12.75">
      <c r="A15" s="42" t="s">
        <v>93</v>
      </c>
      <c r="B15" s="43" t="s">
        <v>242</v>
      </c>
      <c r="C15" s="44">
        <v>118506104</v>
      </c>
      <c r="D15" s="44">
        <f>118774024</f>
        <v>118774024</v>
      </c>
      <c r="E15" s="44">
        <f>119109265</f>
        <v>119109265</v>
      </c>
      <c r="F15" s="44">
        <f>120907086</f>
        <v>120907086</v>
      </c>
      <c r="G15" s="44">
        <v>121219867</v>
      </c>
    </row>
    <row r="16" spans="1:7" s="41" customFormat="1" ht="12.75">
      <c r="A16" s="45" t="s">
        <v>94</v>
      </c>
      <c r="B16" s="46" t="s">
        <v>243</v>
      </c>
      <c r="C16" s="47">
        <v>64532484</v>
      </c>
      <c r="D16" s="47">
        <f>64532484</f>
        <v>64532484</v>
      </c>
      <c r="E16" s="47">
        <f>64896126</f>
        <v>64896126</v>
      </c>
      <c r="F16" s="47">
        <f>66066126</f>
        <v>66066126</v>
      </c>
      <c r="G16" s="47">
        <v>65887942</v>
      </c>
    </row>
    <row r="17" spans="1:7" s="41" customFormat="1" ht="12.75">
      <c r="A17" s="45" t="s">
        <v>95</v>
      </c>
      <c r="B17" s="46" t="s">
        <v>244</v>
      </c>
      <c r="C17" s="47">
        <v>37842188</v>
      </c>
      <c r="D17" s="47">
        <f>37842188</f>
        <v>37842188</v>
      </c>
      <c r="E17" s="47">
        <f>37842188</f>
        <v>37842188</v>
      </c>
      <c r="F17" s="47">
        <f>36493302</f>
        <v>36493302</v>
      </c>
      <c r="G17" s="47">
        <v>36360302</v>
      </c>
    </row>
    <row r="18" spans="1:7" s="41" customFormat="1" ht="12.75">
      <c r="A18" s="45" t="s">
        <v>96</v>
      </c>
      <c r="B18" s="46" t="s">
        <v>245</v>
      </c>
      <c r="C18" s="47">
        <v>3085500</v>
      </c>
      <c r="D18" s="47">
        <f>3430376</f>
        <v>3430376</v>
      </c>
      <c r="E18" s="47">
        <f>4186097</f>
        <v>4186097</v>
      </c>
      <c r="F18" s="47">
        <f>4618364</f>
        <v>4618364</v>
      </c>
      <c r="G18" s="47">
        <v>4833547</v>
      </c>
    </row>
    <row r="19" spans="1:7" s="41" customFormat="1" ht="12.75">
      <c r="A19" s="45" t="s">
        <v>139</v>
      </c>
      <c r="B19" s="48" t="s">
        <v>426</v>
      </c>
      <c r="C19" s="47"/>
      <c r="D19" s="47">
        <f>8520000</f>
        <v>8520000</v>
      </c>
      <c r="E19" s="47">
        <f>8520000</f>
        <v>8520000</v>
      </c>
      <c r="F19" s="47">
        <f>10921050</f>
        <v>10921050</v>
      </c>
      <c r="G19" s="47">
        <v>31879650</v>
      </c>
    </row>
    <row r="20" spans="1:7" s="41" customFormat="1" ht="13.5" thickBot="1">
      <c r="A20" s="49" t="s">
        <v>97</v>
      </c>
      <c r="B20" s="50" t="s">
        <v>427</v>
      </c>
      <c r="C20" s="47"/>
      <c r="D20" s="47"/>
      <c r="E20" s="47"/>
      <c r="F20" s="47"/>
      <c r="G20" s="47"/>
    </row>
    <row r="21" spans="1:7" s="41" customFormat="1" ht="13.5" thickBot="1">
      <c r="A21" s="38" t="s">
        <v>15</v>
      </c>
      <c r="B21" s="51" t="s">
        <v>246</v>
      </c>
      <c r="C21" s="40">
        <f>+C22+C23+C24+C25+C26</f>
        <v>75745329</v>
      </c>
      <c r="D21" s="40">
        <f>+D22+D23+D24+D25+D26</f>
        <v>80592522</v>
      </c>
      <c r="E21" s="40">
        <f>+E22+E23+E24+E25+E26</f>
        <v>85492481</v>
      </c>
      <c r="F21" s="40">
        <f>+F22+F23+F24+F25+F26</f>
        <v>89736948</v>
      </c>
      <c r="G21" s="40">
        <f>+G22+G23+G24+G25+G26</f>
        <v>77975959</v>
      </c>
    </row>
    <row r="22" spans="1:7" s="41" customFormat="1" ht="12.75">
      <c r="A22" s="42" t="s">
        <v>99</v>
      </c>
      <c r="B22" s="43" t="s">
        <v>247</v>
      </c>
      <c r="C22" s="44"/>
      <c r="D22" s="44"/>
      <c r="E22" s="44">
        <f>139498</f>
        <v>139498</v>
      </c>
      <c r="F22" s="44"/>
      <c r="G22" s="44"/>
    </row>
    <row r="23" spans="1:7" s="41" customFormat="1" ht="12.75">
      <c r="A23" s="45" t="s">
        <v>100</v>
      </c>
      <c r="B23" s="46" t="s">
        <v>248</v>
      </c>
      <c r="C23" s="47"/>
      <c r="D23" s="47"/>
      <c r="E23" s="47"/>
      <c r="F23" s="47"/>
      <c r="G23" s="47"/>
    </row>
    <row r="24" spans="1:7" s="41" customFormat="1" ht="12.75">
      <c r="A24" s="45" t="s">
        <v>101</v>
      </c>
      <c r="B24" s="46" t="s">
        <v>416</v>
      </c>
      <c r="C24" s="47"/>
      <c r="D24" s="47"/>
      <c r="E24" s="47"/>
      <c r="F24" s="47"/>
      <c r="G24" s="47"/>
    </row>
    <row r="25" spans="1:7" s="41" customFormat="1" ht="12.75">
      <c r="A25" s="45" t="s">
        <v>102</v>
      </c>
      <c r="B25" s="46" t="s">
        <v>417</v>
      </c>
      <c r="C25" s="47"/>
      <c r="D25" s="47"/>
      <c r="E25" s="47"/>
      <c r="F25" s="47"/>
      <c r="G25" s="47"/>
    </row>
    <row r="26" spans="1:7" s="41" customFormat="1" ht="12.75">
      <c r="A26" s="45" t="s">
        <v>103</v>
      </c>
      <c r="B26" s="46" t="s">
        <v>249</v>
      </c>
      <c r="C26" s="47">
        <f>75066371+678958</f>
        <v>75745329</v>
      </c>
      <c r="D26" s="47">
        <f>79913564+678958</f>
        <v>80592522</v>
      </c>
      <c r="E26" s="47">
        <f>83567843+1106182+678958</f>
        <v>85352983</v>
      </c>
      <c r="F26" s="47">
        <f>87759849+1298141+678958</f>
        <v>89736948</v>
      </c>
      <c r="G26" s="47">
        <f>74336629+2960372+678958</f>
        <v>77975959</v>
      </c>
    </row>
    <row r="27" spans="1:7" s="41" customFormat="1" ht="13.5" thickBot="1">
      <c r="A27" s="49" t="s">
        <v>112</v>
      </c>
      <c r="B27" s="50" t="s">
        <v>250</v>
      </c>
      <c r="C27" s="52"/>
      <c r="D27" s="52"/>
      <c r="E27" s="52"/>
      <c r="F27" s="52"/>
      <c r="G27" s="52"/>
    </row>
    <row r="28" spans="1:7" s="41" customFormat="1" ht="13.5" thickBot="1">
      <c r="A28" s="38" t="s">
        <v>16</v>
      </c>
      <c r="B28" s="39" t="s">
        <v>251</v>
      </c>
      <c r="C28" s="40">
        <f>+C29+C30+C31+C32+C33</f>
        <v>39844721</v>
      </c>
      <c r="D28" s="40">
        <f>+D29+D30+D31+D32+D33</f>
        <v>32531109</v>
      </c>
      <c r="E28" s="40">
        <f>+E29+E30+E31+E32+E33</f>
        <v>32531109</v>
      </c>
      <c r="F28" s="40">
        <f>+F29+F30+F31+F32+F33</f>
        <v>35321341</v>
      </c>
      <c r="G28" s="40">
        <f>+G29+G30+G31+G32+G33</f>
        <v>285894704</v>
      </c>
    </row>
    <row r="29" spans="1:7" s="41" customFormat="1" ht="12.75">
      <c r="A29" s="42" t="s">
        <v>82</v>
      </c>
      <c r="B29" s="43" t="s">
        <v>252</v>
      </c>
      <c r="C29" s="44"/>
      <c r="D29" s="44"/>
      <c r="E29" s="44"/>
      <c r="F29" s="44"/>
      <c r="G29" s="44"/>
    </row>
    <row r="30" spans="1:7" s="41" customFormat="1" ht="12.75">
      <c r="A30" s="45" t="s">
        <v>83</v>
      </c>
      <c r="B30" s="46" t="s">
        <v>253</v>
      </c>
      <c r="C30" s="47"/>
      <c r="D30" s="47"/>
      <c r="E30" s="47"/>
      <c r="F30" s="47"/>
      <c r="G30" s="47"/>
    </row>
    <row r="31" spans="1:7" s="41" customFormat="1" ht="12.75">
      <c r="A31" s="45" t="s">
        <v>84</v>
      </c>
      <c r="B31" s="46" t="s">
        <v>418</v>
      </c>
      <c r="C31" s="47"/>
      <c r="D31" s="47"/>
      <c r="E31" s="47"/>
      <c r="F31" s="47"/>
      <c r="G31" s="47"/>
    </row>
    <row r="32" spans="1:7" s="41" customFormat="1" ht="12.75">
      <c r="A32" s="45" t="s">
        <v>85</v>
      </c>
      <c r="B32" s="46" t="s">
        <v>419</v>
      </c>
      <c r="C32" s="47"/>
      <c r="D32" s="47"/>
      <c r="E32" s="47"/>
      <c r="F32" s="47"/>
      <c r="G32" s="47"/>
    </row>
    <row r="33" spans="1:7" s="41" customFormat="1" ht="12.75">
      <c r="A33" s="45" t="s">
        <v>160</v>
      </c>
      <c r="B33" s="46" t="s">
        <v>254</v>
      </c>
      <c r="C33" s="47">
        <v>39844721</v>
      </c>
      <c r="D33" s="47">
        <f>32531109</f>
        <v>32531109</v>
      </c>
      <c r="E33" s="47">
        <f>32531109</f>
        <v>32531109</v>
      </c>
      <c r="F33" s="47">
        <f>35321341</f>
        <v>35321341</v>
      </c>
      <c r="G33" s="47">
        <v>285894704</v>
      </c>
    </row>
    <row r="34" spans="1:7" s="41" customFormat="1" ht="13.5" thickBot="1">
      <c r="A34" s="49" t="s">
        <v>161</v>
      </c>
      <c r="B34" s="53" t="s">
        <v>255</v>
      </c>
      <c r="C34" s="52"/>
      <c r="D34" s="52"/>
      <c r="E34" s="52"/>
      <c r="F34" s="52"/>
      <c r="G34" s="52"/>
    </row>
    <row r="35" spans="1:7" s="41" customFormat="1" ht="13.5" thickBot="1">
      <c r="A35" s="38" t="s">
        <v>162</v>
      </c>
      <c r="B35" s="39" t="s">
        <v>256</v>
      </c>
      <c r="C35" s="54">
        <f>+C36+C40+C41+C42</f>
        <v>137750000</v>
      </c>
      <c r="D35" s="54">
        <f>+D36+D40+D41+D42</f>
        <v>137750000</v>
      </c>
      <c r="E35" s="54">
        <f>+E36+E40+E41+E42</f>
        <v>137750000</v>
      </c>
      <c r="F35" s="54">
        <f>+F36+F40+F41+F42</f>
        <v>138050000</v>
      </c>
      <c r="G35" s="54">
        <f>+G36+G40+G41+G42</f>
        <v>150310000</v>
      </c>
    </row>
    <row r="36" spans="1:7" s="41" customFormat="1" ht="12.75">
      <c r="A36" s="42" t="s">
        <v>257</v>
      </c>
      <c r="B36" s="109" t="s">
        <v>433</v>
      </c>
      <c r="C36" s="55">
        <f>+C37+C38+C39</f>
        <v>100000000</v>
      </c>
      <c r="D36" s="55">
        <f>+D37+D38+D39</f>
        <v>100000000</v>
      </c>
      <c r="E36" s="55">
        <f>+E37+E38+E39</f>
        <v>100000000</v>
      </c>
      <c r="F36" s="55">
        <f>+F37+F38+F39</f>
        <v>100000000</v>
      </c>
      <c r="G36" s="55">
        <f>+G37+G38+G39</f>
        <v>109740000</v>
      </c>
    </row>
    <row r="37" spans="1:7" s="41" customFormat="1" ht="12.75">
      <c r="A37" s="45" t="s">
        <v>258</v>
      </c>
      <c r="B37" s="110" t="s">
        <v>593</v>
      </c>
      <c r="C37" s="47">
        <v>58000000</v>
      </c>
      <c r="D37" s="47">
        <v>58000000</v>
      </c>
      <c r="E37" s="47">
        <v>58000000</v>
      </c>
      <c r="F37" s="47">
        <v>58000000</v>
      </c>
      <c r="G37" s="47">
        <v>58540000</v>
      </c>
    </row>
    <row r="38" spans="1:7" s="41" customFormat="1" ht="12.75">
      <c r="A38" s="45" t="s">
        <v>259</v>
      </c>
      <c r="B38" s="110" t="s">
        <v>594</v>
      </c>
      <c r="C38" s="47"/>
      <c r="D38" s="47"/>
      <c r="E38" s="47"/>
      <c r="F38" s="47"/>
      <c r="G38" s="47"/>
    </row>
    <row r="39" spans="1:7" s="41" customFormat="1" ht="12.75">
      <c r="A39" s="45" t="s">
        <v>431</v>
      </c>
      <c r="B39" s="111" t="s">
        <v>432</v>
      </c>
      <c r="C39" s="47">
        <v>42000000</v>
      </c>
      <c r="D39" s="47">
        <v>42000000</v>
      </c>
      <c r="E39" s="47">
        <v>42000000</v>
      </c>
      <c r="F39" s="47">
        <v>42000000</v>
      </c>
      <c r="G39" s="47">
        <v>51200000</v>
      </c>
    </row>
    <row r="40" spans="1:7" s="41" customFormat="1" ht="12.75">
      <c r="A40" s="45" t="s">
        <v>260</v>
      </c>
      <c r="B40" s="110" t="s">
        <v>265</v>
      </c>
      <c r="C40" s="47">
        <v>9000000</v>
      </c>
      <c r="D40" s="47">
        <v>9000000</v>
      </c>
      <c r="E40" s="47">
        <v>9000000</v>
      </c>
      <c r="F40" s="47">
        <v>9000000</v>
      </c>
      <c r="G40" s="47">
        <v>9770000</v>
      </c>
    </row>
    <row r="41" spans="1:7" s="41" customFormat="1" ht="12.75">
      <c r="A41" s="45" t="s">
        <v>261</v>
      </c>
      <c r="B41" s="110" t="s">
        <v>575</v>
      </c>
      <c r="C41" s="47">
        <v>27500000</v>
      </c>
      <c r="D41" s="47">
        <v>27500000</v>
      </c>
      <c r="E41" s="47">
        <v>27500000</v>
      </c>
      <c r="F41" s="47">
        <v>27500000</v>
      </c>
      <c r="G41" s="47">
        <v>28790000</v>
      </c>
    </row>
    <row r="42" spans="1:7" s="41" customFormat="1" ht="13.5" thickBot="1">
      <c r="A42" s="49" t="s">
        <v>262</v>
      </c>
      <c r="B42" s="112" t="s">
        <v>267</v>
      </c>
      <c r="C42" s="52">
        <f>200000+1050000</f>
        <v>1250000</v>
      </c>
      <c r="D42" s="52">
        <f>200000+1050000</f>
        <v>1250000</v>
      </c>
      <c r="E42" s="52">
        <f>200000+1050000</f>
        <v>1250000</v>
      </c>
      <c r="F42" s="52">
        <f>500000+1050000</f>
        <v>1550000</v>
      </c>
      <c r="G42" s="52">
        <f>700000+1310000</f>
        <v>2010000</v>
      </c>
    </row>
    <row r="43" spans="1:7" s="41" customFormat="1" ht="13.5" thickBot="1">
      <c r="A43" s="38" t="s">
        <v>18</v>
      </c>
      <c r="B43" s="39" t="s">
        <v>428</v>
      </c>
      <c r="C43" s="40">
        <f>SUM(C44:C54)</f>
        <v>15235803</v>
      </c>
      <c r="D43" s="40">
        <f>SUM(D44:D54)</f>
        <v>17675699</v>
      </c>
      <c r="E43" s="40">
        <f>SUM(E44:E54)</f>
        <v>18400819</v>
      </c>
      <c r="F43" s="40">
        <f>SUM(F44:F54)</f>
        <v>36649273</v>
      </c>
      <c r="G43" s="40">
        <f>SUM(G44:G54)</f>
        <v>38648823</v>
      </c>
    </row>
    <row r="44" spans="1:7" s="41" customFormat="1" ht="12.75">
      <c r="A44" s="42" t="s">
        <v>86</v>
      </c>
      <c r="B44" s="43" t="s">
        <v>270</v>
      </c>
      <c r="C44" s="44"/>
      <c r="D44" s="44"/>
      <c r="E44" s="44"/>
      <c r="F44" s="44"/>
      <c r="G44" s="44"/>
    </row>
    <row r="45" spans="1:7" s="41" customFormat="1" ht="12.75">
      <c r="A45" s="45" t="s">
        <v>87</v>
      </c>
      <c r="B45" s="46" t="s">
        <v>271</v>
      </c>
      <c r="C45" s="47">
        <f>4214790+3149606+2120000</f>
        <v>9484396</v>
      </c>
      <c r="D45" s="47">
        <f>9285575+2120000</f>
        <v>11405575</v>
      </c>
      <c r="E45" s="47">
        <f>9801575+2120000</f>
        <v>11921575</v>
      </c>
      <c r="F45" s="47">
        <f>23208883+5000+3820000</f>
        <v>27033883</v>
      </c>
      <c r="G45" s="47">
        <f>24314883+5000+3820000</f>
        <v>28139883</v>
      </c>
    </row>
    <row r="46" spans="1:7" s="41" customFormat="1" ht="12.75">
      <c r="A46" s="45" t="s">
        <v>88</v>
      </c>
      <c r="B46" s="46" t="s">
        <v>272</v>
      </c>
      <c r="C46" s="47">
        <f>1650000+500000+100000</f>
        <v>2250000</v>
      </c>
      <c r="D46" s="47">
        <f>1650000+500000+100000</f>
        <v>2250000</v>
      </c>
      <c r="E46" s="47">
        <f>1650000+500000+100000</f>
        <v>2250000</v>
      </c>
      <c r="F46" s="47">
        <f>1650000+500000+100000</f>
        <v>2250000</v>
      </c>
      <c r="G46" s="47">
        <f>1950000+630000+100000</f>
        <v>2680000</v>
      </c>
    </row>
    <row r="47" spans="1:7" s="41" customFormat="1" ht="12.75">
      <c r="A47" s="45" t="s">
        <v>164</v>
      </c>
      <c r="B47" s="46" t="s">
        <v>273</v>
      </c>
      <c r="C47" s="47"/>
      <c r="D47" s="47"/>
      <c r="E47" s="47"/>
      <c r="F47" s="47"/>
      <c r="G47" s="47"/>
    </row>
    <row r="48" spans="1:7" s="41" customFormat="1" ht="12.75">
      <c r="A48" s="45" t="s">
        <v>165</v>
      </c>
      <c r="B48" s="46" t="s">
        <v>274</v>
      </c>
      <c r="C48" s="47">
        <f>1500000</f>
        <v>1500000</v>
      </c>
      <c r="D48" s="47">
        <f>1500000</f>
        <v>1500000</v>
      </c>
      <c r="E48" s="47">
        <f>1500000</f>
        <v>1500000</v>
      </c>
      <c r="F48" s="47">
        <f>1500000</f>
        <v>1500000</v>
      </c>
      <c r="G48" s="47">
        <v>1600000</v>
      </c>
    </row>
    <row r="49" spans="1:7" s="41" customFormat="1" ht="12.75">
      <c r="A49" s="45" t="s">
        <v>166</v>
      </c>
      <c r="B49" s="46" t="s">
        <v>275</v>
      </c>
      <c r="C49" s="47">
        <f>1137993+850394</f>
        <v>1988387</v>
      </c>
      <c r="D49" s="47">
        <f>2507104</f>
        <v>2507104</v>
      </c>
      <c r="E49" s="47">
        <f>2646424</f>
        <v>2646424</v>
      </c>
      <c r="F49" s="47">
        <v>1206570</v>
      </c>
      <c r="G49" s="47">
        <v>1560120</v>
      </c>
    </row>
    <row r="50" spans="1:7" s="41" customFormat="1" ht="12.75">
      <c r="A50" s="45" t="s">
        <v>167</v>
      </c>
      <c r="B50" s="46" t="s">
        <v>276</v>
      </c>
      <c r="C50" s="47"/>
      <c r="D50" s="47"/>
      <c r="E50" s="47"/>
      <c r="F50" s="47">
        <f>4316000</f>
        <v>4316000</v>
      </c>
      <c r="G50" s="47">
        <f>4316000</f>
        <v>4316000</v>
      </c>
    </row>
    <row r="51" spans="1:7" s="41" customFormat="1" ht="12.75">
      <c r="A51" s="45" t="s">
        <v>168</v>
      </c>
      <c r="B51" s="46" t="s">
        <v>277</v>
      </c>
      <c r="C51" s="47">
        <f>1000+10+10</f>
        <v>1020</v>
      </c>
      <c r="D51" s="47">
        <f>1000+10+10</f>
        <v>1020</v>
      </c>
      <c r="E51" s="47">
        <f>1000+10+10</f>
        <v>1020</v>
      </c>
      <c r="F51" s="47">
        <f>1000+10+10</f>
        <v>1020</v>
      </c>
      <c r="G51" s="47">
        <f>1000+10+10</f>
        <v>1020</v>
      </c>
    </row>
    <row r="52" spans="1:7" s="41" customFormat="1" ht="12.75">
      <c r="A52" s="45" t="s">
        <v>268</v>
      </c>
      <c r="B52" s="46" t="s">
        <v>278</v>
      </c>
      <c r="C52" s="57"/>
      <c r="D52" s="57"/>
      <c r="E52" s="57"/>
      <c r="F52" s="57"/>
      <c r="G52" s="57"/>
    </row>
    <row r="53" spans="1:7" s="41" customFormat="1" ht="12.75">
      <c r="A53" s="49" t="s">
        <v>269</v>
      </c>
      <c r="B53" s="53" t="s">
        <v>430</v>
      </c>
      <c r="C53" s="58"/>
      <c r="D53" s="58"/>
      <c r="E53" s="58"/>
      <c r="F53" s="58"/>
      <c r="G53" s="58"/>
    </row>
    <row r="54" spans="1:7" s="41" customFormat="1" ht="13.5" thickBot="1">
      <c r="A54" s="49" t="s">
        <v>429</v>
      </c>
      <c r="B54" s="50" t="s">
        <v>279</v>
      </c>
      <c r="C54" s="58">
        <f>10000+1000+1000</f>
        <v>12000</v>
      </c>
      <c r="D54" s="58">
        <f>10000+1000+1000</f>
        <v>12000</v>
      </c>
      <c r="E54" s="58">
        <f>79800+1000+1000</f>
        <v>81800</v>
      </c>
      <c r="F54" s="58">
        <f>309800+6000+26000</f>
        <v>341800</v>
      </c>
      <c r="G54" s="58">
        <f>319800+6000+26000</f>
        <v>351800</v>
      </c>
    </row>
    <row r="55" spans="1:7" s="41" customFormat="1" ht="13.5" thickBot="1">
      <c r="A55" s="38" t="s">
        <v>19</v>
      </c>
      <c r="B55" s="39" t="s">
        <v>280</v>
      </c>
      <c r="C55" s="40">
        <f>SUM(C56:C60)</f>
        <v>0</v>
      </c>
      <c r="D55" s="40">
        <f>SUM(D56:D60)</f>
        <v>0</v>
      </c>
      <c r="E55" s="40">
        <f>SUM(E56:E60)</f>
        <v>0</v>
      </c>
      <c r="F55" s="40">
        <f>SUM(F56:F60)</f>
        <v>0</v>
      </c>
      <c r="G55" s="40">
        <f>SUM(G56:G60)</f>
        <v>0</v>
      </c>
    </row>
    <row r="56" spans="1:7" s="41" customFormat="1" ht="12.75">
      <c r="A56" s="42" t="s">
        <v>89</v>
      </c>
      <c r="B56" s="43" t="s">
        <v>284</v>
      </c>
      <c r="C56" s="59"/>
      <c r="D56" s="59"/>
      <c r="E56" s="59"/>
      <c r="F56" s="59"/>
      <c r="G56" s="59"/>
    </row>
    <row r="57" spans="1:7" s="41" customFormat="1" ht="12.75">
      <c r="A57" s="45" t="s">
        <v>90</v>
      </c>
      <c r="B57" s="46" t="s">
        <v>285</v>
      </c>
      <c r="C57" s="57"/>
      <c r="D57" s="57"/>
      <c r="E57" s="57"/>
      <c r="F57" s="57"/>
      <c r="G57" s="57"/>
    </row>
    <row r="58" spans="1:7" s="41" customFormat="1" ht="12.75">
      <c r="A58" s="45" t="s">
        <v>281</v>
      </c>
      <c r="B58" s="46" t="s">
        <v>286</v>
      </c>
      <c r="C58" s="57"/>
      <c r="D58" s="57"/>
      <c r="E58" s="57"/>
      <c r="F58" s="57"/>
      <c r="G58" s="57"/>
    </row>
    <row r="59" spans="1:7" s="41" customFormat="1" ht="12.75">
      <c r="A59" s="45" t="s">
        <v>282</v>
      </c>
      <c r="B59" s="46" t="s">
        <v>287</v>
      </c>
      <c r="C59" s="57"/>
      <c r="D59" s="57"/>
      <c r="E59" s="57"/>
      <c r="F59" s="57"/>
      <c r="G59" s="57"/>
    </row>
    <row r="60" spans="1:7" s="41" customFormat="1" ht="13.5" thickBot="1">
      <c r="A60" s="49" t="s">
        <v>283</v>
      </c>
      <c r="B60" s="50" t="s">
        <v>288</v>
      </c>
      <c r="C60" s="58"/>
      <c r="D60" s="58"/>
      <c r="E60" s="58"/>
      <c r="F60" s="58"/>
      <c r="G60" s="58"/>
    </row>
    <row r="61" spans="1:7" s="41" customFormat="1" ht="13.5" thickBot="1">
      <c r="A61" s="38" t="s">
        <v>169</v>
      </c>
      <c r="B61" s="39" t="s">
        <v>289</v>
      </c>
      <c r="C61" s="40">
        <f>SUM(C62:C64)</f>
        <v>505503</v>
      </c>
      <c r="D61" s="40">
        <f>SUM(D62:D64)</f>
        <v>505503</v>
      </c>
      <c r="E61" s="40">
        <f>SUM(E62:E64)</f>
        <v>505503</v>
      </c>
      <c r="F61" s="40">
        <f>SUM(F62:F64)</f>
        <v>505503</v>
      </c>
      <c r="G61" s="40">
        <f>SUM(G62:G64)</f>
        <v>505503</v>
      </c>
    </row>
    <row r="62" spans="1:7" s="41" customFormat="1" ht="12.75">
      <c r="A62" s="42" t="s">
        <v>91</v>
      </c>
      <c r="B62" s="43" t="s">
        <v>290</v>
      </c>
      <c r="C62" s="44"/>
      <c r="D62" s="44"/>
      <c r="E62" s="44"/>
      <c r="F62" s="44"/>
      <c r="G62" s="44"/>
    </row>
    <row r="63" spans="1:7" s="41" customFormat="1" ht="12.75">
      <c r="A63" s="45" t="s">
        <v>92</v>
      </c>
      <c r="B63" s="46" t="s">
        <v>420</v>
      </c>
      <c r="C63" s="47"/>
      <c r="D63" s="47"/>
      <c r="E63" s="47"/>
      <c r="F63" s="47"/>
      <c r="G63" s="47"/>
    </row>
    <row r="64" spans="1:7" s="41" customFormat="1" ht="12.75">
      <c r="A64" s="45" t="s">
        <v>293</v>
      </c>
      <c r="B64" s="46" t="s">
        <v>291</v>
      </c>
      <c r="C64" s="47">
        <v>505503</v>
      </c>
      <c r="D64" s="47">
        <v>505503</v>
      </c>
      <c r="E64" s="47">
        <v>505503</v>
      </c>
      <c r="F64" s="47">
        <v>505503</v>
      </c>
      <c r="G64" s="47">
        <v>505503</v>
      </c>
    </row>
    <row r="65" spans="1:7" s="41" customFormat="1" ht="13.5" thickBot="1">
      <c r="A65" s="49" t="s">
        <v>294</v>
      </c>
      <c r="B65" s="50" t="s">
        <v>292</v>
      </c>
      <c r="C65" s="52"/>
      <c r="D65" s="52"/>
      <c r="E65" s="52"/>
      <c r="F65" s="52"/>
      <c r="G65" s="52"/>
    </row>
    <row r="66" spans="1:7" s="41" customFormat="1" ht="13.5" thickBot="1">
      <c r="A66" s="38" t="s">
        <v>21</v>
      </c>
      <c r="B66" s="51" t="s">
        <v>295</v>
      </c>
      <c r="C66" s="40">
        <f>SUM(C67:C69)</f>
        <v>0</v>
      </c>
      <c r="D66" s="40">
        <f>SUM(D67:D69)</f>
        <v>0</v>
      </c>
      <c r="E66" s="40">
        <f>SUM(E67:E69)</f>
        <v>635000</v>
      </c>
      <c r="F66" s="40">
        <f>SUM(F67:F69)</f>
        <v>635000</v>
      </c>
      <c r="G66" s="40">
        <f>SUM(G67:G69)</f>
        <v>635000</v>
      </c>
    </row>
    <row r="67" spans="1:7" s="41" customFormat="1" ht="12.75">
      <c r="A67" s="42" t="s">
        <v>170</v>
      </c>
      <c r="B67" s="43" t="s">
        <v>297</v>
      </c>
      <c r="C67" s="57"/>
      <c r="D67" s="57"/>
      <c r="E67" s="57"/>
      <c r="F67" s="57"/>
      <c r="G67" s="57"/>
    </row>
    <row r="68" spans="1:7" s="41" customFormat="1" ht="12.75">
      <c r="A68" s="45" t="s">
        <v>171</v>
      </c>
      <c r="B68" s="46" t="s">
        <v>421</v>
      </c>
      <c r="C68" s="57"/>
      <c r="D68" s="57"/>
      <c r="E68" s="57"/>
      <c r="F68" s="57"/>
      <c r="G68" s="57"/>
    </row>
    <row r="69" spans="1:7" s="41" customFormat="1" ht="12.75">
      <c r="A69" s="45" t="s">
        <v>218</v>
      </c>
      <c r="B69" s="46" t="s">
        <v>298</v>
      </c>
      <c r="C69" s="57"/>
      <c r="D69" s="57"/>
      <c r="E69" s="57">
        <f>635000</f>
        <v>635000</v>
      </c>
      <c r="F69" s="57">
        <f>635000</f>
        <v>635000</v>
      </c>
      <c r="G69" s="57">
        <f>635000</f>
        <v>635000</v>
      </c>
    </row>
    <row r="70" spans="1:7" s="41" customFormat="1" ht="13.5" thickBot="1">
      <c r="A70" s="49" t="s">
        <v>296</v>
      </c>
      <c r="B70" s="50" t="s">
        <v>299</v>
      </c>
      <c r="C70" s="57"/>
      <c r="D70" s="57"/>
      <c r="E70" s="57"/>
      <c r="F70" s="57"/>
      <c r="G70" s="57"/>
    </row>
    <row r="71" spans="1:7" s="41" customFormat="1" ht="13.5" thickBot="1">
      <c r="A71" s="60" t="s">
        <v>472</v>
      </c>
      <c r="B71" s="39" t="s">
        <v>300</v>
      </c>
      <c r="C71" s="54">
        <f>+C14+C21+C28+C35+C43+C55+C61+C66</f>
        <v>493047632</v>
      </c>
      <c r="D71" s="54">
        <f>+D14+D21+D28+D35+D43+D55+D61+D66</f>
        <v>502153905</v>
      </c>
      <c r="E71" s="54">
        <f>+E14+E21+E28+E35+E43+E55+E61+E66</f>
        <v>509868588</v>
      </c>
      <c r="F71" s="54">
        <f>+F14+F21+F28+F35+F43+F55+F61+F66</f>
        <v>539903993</v>
      </c>
      <c r="G71" s="54">
        <f>+G14+G21+G28+G35+G43+G55+G61+G66</f>
        <v>814151297</v>
      </c>
    </row>
    <row r="72" spans="1:7" s="41" customFormat="1" ht="13.5" thickBot="1">
      <c r="A72" s="61" t="s">
        <v>301</v>
      </c>
      <c r="B72" s="51" t="s">
        <v>302</v>
      </c>
      <c r="C72" s="40">
        <f>SUM(C73:C75)</f>
        <v>0</v>
      </c>
      <c r="D72" s="40">
        <f>SUM(D73:D75)</f>
        <v>0</v>
      </c>
      <c r="E72" s="40">
        <f>SUM(E73:E75)</f>
        <v>0</v>
      </c>
      <c r="F72" s="40">
        <f>SUM(F73:F75)</f>
        <v>0</v>
      </c>
      <c r="G72" s="40">
        <f>SUM(G73:G75)</f>
        <v>0</v>
      </c>
    </row>
    <row r="73" spans="1:7" s="41" customFormat="1" ht="12.75">
      <c r="A73" s="42" t="s">
        <v>333</v>
      </c>
      <c r="B73" s="43" t="s">
        <v>303</v>
      </c>
      <c r="C73" s="57"/>
      <c r="D73" s="57"/>
      <c r="E73" s="57"/>
      <c r="F73" s="57"/>
      <c r="G73" s="57"/>
    </row>
    <row r="74" spans="1:7" s="41" customFormat="1" ht="12.75">
      <c r="A74" s="45" t="s">
        <v>342</v>
      </c>
      <c r="B74" s="46" t="s">
        <v>304</v>
      </c>
      <c r="C74" s="57"/>
      <c r="D74" s="57"/>
      <c r="E74" s="57"/>
      <c r="F74" s="57"/>
      <c r="G74" s="57"/>
    </row>
    <row r="75" spans="1:7" s="41" customFormat="1" ht="13.5" thickBot="1">
      <c r="A75" s="49" t="s">
        <v>343</v>
      </c>
      <c r="B75" s="62" t="s">
        <v>457</v>
      </c>
      <c r="C75" s="57"/>
      <c r="D75" s="57"/>
      <c r="E75" s="57"/>
      <c r="F75" s="57"/>
      <c r="G75" s="57"/>
    </row>
    <row r="76" spans="1:7" s="41" customFormat="1" ht="13.5" thickBot="1">
      <c r="A76" s="61" t="s">
        <v>306</v>
      </c>
      <c r="B76" s="51" t="s">
        <v>307</v>
      </c>
      <c r="C76" s="40">
        <f>SUM(C77:C80)</f>
        <v>0</v>
      </c>
      <c r="D76" s="40">
        <f>SUM(D77:D80)</f>
        <v>0</v>
      </c>
      <c r="E76" s="40">
        <f>SUM(E77:E80)</f>
        <v>0</v>
      </c>
      <c r="F76" s="40">
        <f>SUM(F77:F80)</f>
        <v>0</v>
      </c>
      <c r="G76" s="40">
        <f>SUM(G77:G80)</f>
        <v>0</v>
      </c>
    </row>
    <row r="77" spans="1:7" s="41" customFormat="1" ht="12.75">
      <c r="A77" s="42" t="s">
        <v>140</v>
      </c>
      <c r="B77" s="43" t="s">
        <v>308</v>
      </c>
      <c r="C77" s="57"/>
      <c r="D77" s="57"/>
      <c r="E77" s="57"/>
      <c r="F77" s="57"/>
      <c r="G77" s="57"/>
    </row>
    <row r="78" spans="1:7" s="41" customFormat="1" ht="12.75">
      <c r="A78" s="45" t="s">
        <v>141</v>
      </c>
      <c r="B78" s="46" t="s">
        <v>309</v>
      </c>
      <c r="C78" s="57"/>
      <c r="D78" s="57"/>
      <c r="E78" s="57"/>
      <c r="F78" s="57"/>
      <c r="G78" s="57"/>
    </row>
    <row r="79" spans="1:7" s="41" customFormat="1" ht="12.75">
      <c r="A79" s="45" t="s">
        <v>334</v>
      </c>
      <c r="B79" s="46" t="s">
        <v>310</v>
      </c>
      <c r="C79" s="57"/>
      <c r="D79" s="57"/>
      <c r="E79" s="57"/>
      <c r="F79" s="57"/>
      <c r="G79" s="57"/>
    </row>
    <row r="80" spans="1:7" s="41" customFormat="1" ht="13.5" thickBot="1">
      <c r="A80" s="49" t="s">
        <v>335</v>
      </c>
      <c r="B80" s="50" t="s">
        <v>311</v>
      </c>
      <c r="C80" s="57"/>
      <c r="D80" s="57"/>
      <c r="E80" s="57"/>
      <c r="F80" s="57"/>
      <c r="G80" s="57"/>
    </row>
    <row r="81" spans="1:7" s="41" customFormat="1" ht="13.5" thickBot="1">
      <c r="A81" s="61" t="s">
        <v>312</v>
      </c>
      <c r="B81" s="51" t="s">
        <v>313</v>
      </c>
      <c r="C81" s="40">
        <f>SUM(C82:C83)</f>
        <v>541000000</v>
      </c>
      <c r="D81" s="40">
        <f>SUM(D82:D83)</f>
        <v>541475499</v>
      </c>
      <c r="E81" s="40">
        <f>SUM(E82:E83)</f>
        <v>544670024</v>
      </c>
      <c r="F81" s="40">
        <f>SUM(F82:F83)</f>
        <v>544670024</v>
      </c>
      <c r="G81" s="40">
        <f>SUM(G82:G83)</f>
        <v>544670024</v>
      </c>
    </row>
    <row r="82" spans="1:7" s="41" customFormat="1" ht="12.75">
      <c r="A82" s="42" t="s">
        <v>336</v>
      </c>
      <c r="B82" s="43" t="s">
        <v>314</v>
      </c>
      <c r="C82" s="57">
        <v>541000000</v>
      </c>
      <c r="D82" s="57">
        <f>541475499</f>
        <v>541475499</v>
      </c>
      <c r="E82" s="57">
        <f>541475499+1776671+1417854</f>
        <v>544670024</v>
      </c>
      <c r="F82" s="57">
        <f>541475499+1776671+1417854</f>
        <v>544670024</v>
      </c>
      <c r="G82" s="57">
        <f>541475499+1776671+1417854</f>
        <v>544670024</v>
      </c>
    </row>
    <row r="83" spans="1:7" s="41" customFormat="1" ht="13.5" thickBot="1">
      <c r="A83" s="49" t="s">
        <v>337</v>
      </c>
      <c r="B83" s="50" t="s">
        <v>315</v>
      </c>
      <c r="C83" s="57"/>
      <c r="D83" s="57"/>
      <c r="E83" s="57"/>
      <c r="F83" s="57"/>
      <c r="G83" s="57"/>
    </row>
    <row r="84" spans="1:7" s="41" customFormat="1" ht="13.5" thickBot="1">
      <c r="A84" s="61" t="s">
        <v>316</v>
      </c>
      <c r="B84" s="51" t="s">
        <v>317</v>
      </c>
      <c r="C84" s="40">
        <f>SUM(C85:C87)</f>
        <v>0</v>
      </c>
      <c r="D84" s="40">
        <f>SUM(D85:D87)</f>
        <v>0</v>
      </c>
      <c r="E84" s="40">
        <f>SUM(E85:E87)</f>
        <v>262090</v>
      </c>
      <c r="F84" s="40">
        <f>SUM(F85:F87)</f>
        <v>262090</v>
      </c>
      <c r="G84" s="40">
        <f>SUM(G85:G87)</f>
        <v>262090</v>
      </c>
    </row>
    <row r="85" spans="1:7" s="41" customFormat="1" ht="12.75">
      <c r="A85" s="42" t="s">
        <v>338</v>
      </c>
      <c r="B85" s="43" t="s">
        <v>318</v>
      </c>
      <c r="C85" s="57"/>
      <c r="D85" s="57"/>
      <c r="E85" s="57">
        <f>262090</f>
        <v>262090</v>
      </c>
      <c r="F85" s="57">
        <f>262090</f>
        <v>262090</v>
      </c>
      <c r="G85" s="57">
        <f>262090</f>
        <v>262090</v>
      </c>
    </row>
    <row r="86" spans="1:7" s="41" customFormat="1" ht="12.75">
      <c r="A86" s="45" t="s">
        <v>339</v>
      </c>
      <c r="B86" s="46" t="s">
        <v>319</v>
      </c>
      <c r="C86" s="57"/>
      <c r="D86" s="57"/>
      <c r="E86" s="57"/>
      <c r="F86" s="57"/>
      <c r="G86" s="57"/>
    </row>
    <row r="87" spans="1:7" s="41" customFormat="1" ht="13.5" thickBot="1">
      <c r="A87" s="49" t="s">
        <v>340</v>
      </c>
      <c r="B87" s="50" t="s">
        <v>320</v>
      </c>
      <c r="C87" s="57"/>
      <c r="D87" s="57"/>
      <c r="E87" s="57"/>
      <c r="F87" s="57"/>
      <c r="G87" s="57"/>
    </row>
    <row r="88" spans="1:7" s="41" customFormat="1" ht="13.5" thickBot="1">
      <c r="A88" s="61" t="s">
        <v>321</v>
      </c>
      <c r="B88" s="51" t="s">
        <v>341</v>
      </c>
      <c r="C88" s="40">
        <f>SUM(C89:C92)</f>
        <v>0</v>
      </c>
      <c r="D88" s="40">
        <f>SUM(D89:D92)</f>
        <v>0</v>
      </c>
      <c r="E88" s="40">
        <f>SUM(E89:E92)</f>
        <v>0</v>
      </c>
      <c r="F88" s="40">
        <f>SUM(F89:F92)</f>
        <v>0</v>
      </c>
      <c r="G88" s="40">
        <f>SUM(G89:G92)</f>
        <v>0</v>
      </c>
    </row>
    <row r="89" spans="1:7" s="41" customFormat="1" ht="12.75">
      <c r="A89" s="63" t="s">
        <v>322</v>
      </c>
      <c r="B89" s="43" t="s">
        <v>323</v>
      </c>
      <c r="C89" s="57"/>
      <c r="D89" s="57"/>
      <c r="E89" s="57"/>
      <c r="F89" s="57"/>
      <c r="G89" s="57"/>
    </row>
    <row r="90" spans="1:7" s="41" customFormat="1" ht="12.75">
      <c r="A90" s="64" t="s">
        <v>324</v>
      </c>
      <c r="B90" s="46" t="s">
        <v>325</v>
      </c>
      <c r="C90" s="57"/>
      <c r="D90" s="57"/>
      <c r="E90" s="57"/>
      <c r="F90" s="57"/>
      <c r="G90" s="57"/>
    </row>
    <row r="91" spans="1:7" s="41" customFormat="1" ht="12.75">
      <c r="A91" s="64" t="s">
        <v>326</v>
      </c>
      <c r="B91" s="46" t="s">
        <v>327</v>
      </c>
      <c r="C91" s="57"/>
      <c r="D91" s="57"/>
      <c r="E91" s="57"/>
      <c r="F91" s="57"/>
      <c r="G91" s="57"/>
    </row>
    <row r="92" spans="1:7" s="41" customFormat="1" ht="13.5" thickBot="1">
      <c r="A92" s="65" t="s">
        <v>328</v>
      </c>
      <c r="B92" s="50" t="s">
        <v>329</v>
      </c>
      <c r="C92" s="57"/>
      <c r="D92" s="57"/>
      <c r="E92" s="57"/>
      <c r="F92" s="57"/>
      <c r="G92" s="57"/>
    </row>
    <row r="93" spans="1:7" s="41" customFormat="1" ht="13.5" thickBot="1">
      <c r="A93" s="61" t="s">
        <v>330</v>
      </c>
      <c r="B93" s="51" t="s">
        <v>471</v>
      </c>
      <c r="C93" s="66"/>
      <c r="D93" s="66"/>
      <c r="E93" s="66"/>
      <c r="F93" s="66"/>
      <c r="G93" s="66"/>
    </row>
    <row r="94" spans="1:7" s="41" customFormat="1" ht="13.5" thickBot="1">
      <c r="A94" s="61" t="s">
        <v>332</v>
      </c>
      <c r="B94" s="51" t="s">
        <v>331</v>
      </c>
      <c r="C94" s="66"/>
      <c r="D94" s="66"/>
      <c r="E94" s="66"/>
      <c r="F94" s="66"/>
      <c r="G94" s="66"/>
    </row>
    <row r="95" spans="1:7" s="41" customFormat="1" ht="13.5" thickBot="1">
      <c r="A95" s="61" t="s">
        <v>344</v>
      </c>
      <c r="B95" s="67" t="s">
        <v>474</v>
      </c>
      <c r="C95" s="54">
        <f>+C72+C76+C81+C84+C88+C94+C93</f>
        <v>541000000</v>
      </c>
      <c r="D95" s="54">
        <f>+D72+D76+D81+D84+D88+D94+D93</f>
        <v>541475499</v>
      </c>
      <c r="E95" s="54">
        <f>+E72+E76+E81+E84+E88+E94+E93</f>
        <v>544932114</v>
      </c>
      <c r="F95" s="54">
        <f>+F72+F76+F81+F84+F88+F94+F93</f>
        <v>544932114</v>
      </c>
      <c r="G95" s="54">
        <f>+G72+G76+G81+G84+G88+G94+G93</f>
        <v>544932114</v>
      </c>
    </row>
    <row r="96" spans="1:7" s="41" customFormat="1" ht="13.5" thickBot="1">
      <c r="A96" s="68" t="s">
        <v>473</v>
      </c>
      <c r="B96" s="69" t="s">
        <v>475</v>
      </c>
      <c r="C96" s="54">
        <f>+C71+C95</f>
        <v>1034047632</v>
      </c>
      <c r="D96" s="54">
        <f>+D71+D95</f>
        <v>1043629404</v>
      </c>
      <c r="E96" s="54">
        <f>+E71+E95</f>
        <v>1054800702</v>
      </c>
      <c r="F96" s="54">
        <f>+F71+F95</f>
        <v>1084836107</v>
      </c>
      <c r="G96" s="54">
        <f>+G71+G95</f>
        <v>1359083411</v>
      </c>
    </row>
    <row r="97" spans="1:7" s="41" customFormat="1">
      <c r="A97" s="70"/>
      <c r="B97" s="71"/>
      <c r="C97" s="537"/>
      <c r="D97" s="537"/>
      <c r="E97" s="537"/>
      <c r="F97" s="537"/>
      <c r="G97" s="537"/>
    </row>
    <row r="98" spans="1:7">
      <c r="A98" s="789" t="s">
        <v>42</v>
      </c>
      <c r="B98" s="789"/>
      <c r="C98" s="657"/>
      <c r="D98" s="657"/>
      <c r="E98" s="657"/>
      <c r="F98" s="657"/>
      <c r="G98" s="657"/>
    </row>
    <row r="99" spans="1:7" ht="16.5" thickBot="1">
      <c r="A99" s="791" t="s">
        <v>143</v>
      </c>
      <c r="B99" s="791"/>
      <c r="C99" s="534"/>
      <c r="D99" s="534"/>
      <c r="E99" s="534"/>
      <c r="F99" s="534"/>
      <c r="G99" s="534"/>
    </row>
    <row r="100" spans="1:7" ht="24.75" thickBot="1">
      <c r="A100" s="33" t="s">
        <v>64</v>
      </c>
      <c r="B100" s="34" t="s">
        <v>43</v>
      </c>
      <c r="C100" s="569" t="s">
        <v>690</v>
      </c>
      <c r="D100" s="569" t="s">
        <v>716</v>
      </c>
      <c r="E100" s="569" t="s">
        <v>719</v>
      </c>
      <c r="F100" s="569" t="s">
        <v>729</v>
      </c>
      <c r="G100" s="569" t="s">
        <v>729</v>
      </c>
    </row>
    <row r="101" spans="1:7" s="37" customFormat="1" ht="12" thickBot="1">
      <c r="A101" s="72" t="s">
        <v>483</v>
      </c>
      <c r="B101" s="73" t="s">
        <v>484</v>
      </c>
      <c r="C101" s="538" t="s">
        <v>485</v>
      </c>
      <c r="D101" s="538" t="s">
        <v>485</v>
      </c>
      <c r="E101" s="538" t="s">
        <v>485</v>
      </c>
      <c r="F101" s="538" t="s">
        <v>485</v>
      </c>
      <c r="G101" s="538" t="s">
        <v>485</v>
      </c>
    </row>
    <row r="102" spans="1:7" ht="16.5" thickBot="1">
      <c r="A102" s="74" t="s">
        <v>14</v>
      </c>
      <c r="B102" s="75" t="s">
        <v>624</v>
      </c>
      <c r="C102" s="76">
        <f>C103+C104+C105+C106+C107+C120</f>
        <v>652688651</v>
      </c>
      <c r="D102" s="76">
        <f>D103+D104+D105+D106+D107+D120</f>
        <v>676770648</v>
      </c>
      <c r="E102" s="76">
        <f>E103+E104+E105+E106+E107+E120</f>
        <v>686235356</v>
      </c>
      <c r="F102" s="76">
        <f>F103+F104+F105+F106+F107+F120</f>
        <v>710190083</v>
      </c>
      <c r="G102" s="76">
        <f>G103+G104+G105+G106+G107+G120</f>
        <v>733578372</v>
      </c>
    </row>
    <row r="103" spans="1:7">
      <c r="A103" s="77" t="s">
        <v>93</v>
      </c>
      <c r="B103" s="15" t="s">
        <v>44</v>
      </c>
      <c r="C103" s="78">
        <f>81039317-'1.3.sz.mell.'!C99+78369300+21392976</f>
        <v>167047193</v>
      </c>
      <c r="D103" s="78">
        <f>72807816+78369300+21392976</f>
        <v>172570092</v>
      </c>
      <c r="E103" s="78">
        <f>72807816+85583623+21677976</f>
        <v>180069415</v>
      </c>
      <c r="F103" s="78">
        <f>73743632+86542642+21977976</f>
        <v>182264250</v>
      </c>
      <c r="G103" s="78">
        <f>77149632+87854445+21977976</f>
        <v>186982053</v>
      </c>
    </row>
    <row r="104" spans="1:7">
      <c r="A104" s="45" t="s">
        <v>94</v>
      </c>
      <c r="B104" s="16" t="s">
        <v>172</v>
      </c>
      <c r="C104" s="47">
        <f>17133121-'1.3.sz.mell.'!C100+15968871+4668631</f>
        <v>34939079</v>
      </c>
      <c r="D104" s="47">
        <f>14849810+15968871+4668631</f>
        <v>35487312</v>
      </c>
      <c r="E104" s="47">
        <f>14849810+17392896+4724206</f>
        <v>36966912</v>
      </c>
      <c r="F104" s="47">
        <f>15013580+17557374+4776706</f>
        <v>37347660</v>
      </c>
      <c r="G104" s="47">
        <f>15822230+17801476+4776706</f>
        <v>38400412</v>
      </c>
    </row>
    <row r="105" spans="1:7">
      <c r="A105" s="45" t="s">
        <v>95</v>
      </c>
      <c r="B105" s="16" t="s">
        <v>131</v>
      </c>
      <c r="C105" s="620">
        <f>263854593-'1.3.sz.mell.'!C101+27824468+29148920</f>
        <v>236690796</v>
      </c>
      <c r="D105" s="620">
        <f>180806365+27824468+29148920</f>
        <v>237779753</v>
      </c>
      <c r="E105" s="620">
        <f>180857465+27880779+29148920</f>
        <v>237887164</v>
      </c>
      <c r="F105" s="620">
        <f>188338515+27922986+30496420</f>
        <v>246757921</v>
      </c>
      <c r="G105" s="620">
        <f>193907955+28029312+30496420</f>
        <v>252433687</v>
      </c>
    </row>
    <row r="106" spans="1:7">
      <c r="A106" s="45" t="s">
        <v>96</v>
      </c>
      <c r="B106" s="79" t="s">
        <v>173</v>
      </c>
      <c r="C106" s="52">
        <f>7330000</f>
        <v>7330000</v>
      </c>
      <c r="D106" s="52">
        <f>7330000</f>
        <v>7330000</v>
      </c>
      <c r="E106" s="52">
        <f>8770000</f>
        <v>8770000</v>
      </c>
      <c r="F106" s="52">
        <f>8770000</f>
        <v>8770000</v>
      </c>
      <c r="G106" s="52">
        <v>11104260</v>
      </c>
    </row>
    <row r="107" spans="1:7">
      <c r="A107" s="45" t="s">
        <v>107</v>
      </c>
      <c r="B107" s="80" t="s">
        <v>174</v>
      </c>
      <c r="C107" s="52">
        <f>C108+C109+C110+C111+C112+C113+C114+C115+C116+C117+C118+C119</f>
        <v>173511355</v>
      </c>
      <c r="D107" s="52">
        <f>D108+D109+D110+D111+D112+D113+D114+D115+D116+D117+D118+D119</f>
        <v>176463084</v>
      </c>
      <c r="E107" s="52">
        <f>E108+E109+E110+E111+E112+E113+E114+E115+E116+E117+E118+E119</f>
        <v>174478690</v>
      </c>
      <c r="F107" s="52">
        <f>F108+F109+F110+F111+F112+F113+F114+F115+F116+F117+F118+F119</f>
        <v>174328690</v>
      </c>
      <c r="G107" s="52">
        <f>G108+G109+G110+G111+G112+G113+G114+G115+G116+G117+G118+G119</f>
        <v>172087290</v>
      </c>
    </row>
    <row r="108" spans="1:7">
      <c r="A108" s="45" t="s">
        <v>97</v>
      </c>
      <c r="B108" s="16" t="s">
        <v>438</v>
      </c>
      <c r="C108" s="52"/>
      <c r="D108" s="52"/>
      <c r="E108" s="52"/>
      <c r="F108" s="52"/>
      <c r="G108" s="52"/>
    </row>
    <row r="109" spans="1:7">
      <c r="A109" s="45" t="s">
        <v>98</v>
      </c>
      <c r="B109" s="81" t="s">
        <v>437</v>
      </c>
      <c r="C109" s="52"/>
      <c r="D109" s="52"/>
      <c r="E109" s="52"/>
      <c r="F109" s="52"/>
      <c r="G109" s="52"/>
    </row>
    <row r="110" spans="1:7">
      <c r="A110" s="45" t="s">
        <v>108</v>
      </c>
      <c r="B110" s="81" t="s">
        <v>436</v>
      </c>
      <c r="C110" s="52">
        <v>1505503</v>
      </c>
      <c r="D110" s="52">
        <f>4457232</f>
        <v>4457232</v>
      </c>
      <c r="E110" s="52">
        <f>4457232</f>
        <v>4457232</v>
      </c>
      <c r="F110" s="52">
        <f>4457232</f>
        <v>4457232</v>
      </c>
      <c r="G110" s="52">
        <f>4457232</f>
        <v>4457232</v>
      </c>
    </row>
    <row r="111" spans="1:7">
      <c r="A111" s="45" t="s">
        <v>109</v>
      </c>
      <c r="B111" s="82" t="s">
        <v>347</v>
      </c>
      <c r="C111" s="52"/>
      <c r="D111" s="52"/>
      <c r="E111" s="52"/>
      <c r="F111" s="52"/>
      <c r="G111" s="52"/>
    </row>
    <row r="112" spans="1:7">
      <c r="A112" s="45" t="s">
        <v>110</v>
      </c>
      <c r="B112" s="83" t="s">
        <v>348</v>
      </c>
      <c r="C112" s="52"/>
      <c r="D112" s="52"/>
      <c r="E112" s="52"/>
      <c r="F112" s="52"/>
      <c r="G112" s="52"/>
    </row>
    <row r="113" spans="1:7">
      <c r="A113" s="45" t="s">
        <v>111</v>
      </c>
      <c r="B113" s="83" t="s">
        <v>349</v>
      </c>
      <c r="C113" s="52"/>
      <c r="D113" s="52"/>
      <c r="E113" s="52"/>
      <c r="F113" s="52"/>
      <c r="G113" s="52"/>
    </row>
    <row r="114" spans="1:7">
      <c r="A114" s="45" t="s">
        <v>113</v>
      </c>
      <c r="B114" s="82" t="s">
        <v>350</v>
      </c>
      <c r="C114" s="52">
        <v>129940852</v>
      </c>
      <c r="D114" s="52">
        <v>129940852</v>
      </c>
      <c r="E114" s="52">
        <f>129321458</f>
        <v>129321458</v>
      </c>
      <c r="F114" s="52">
        <f>129321458</f>
        <v>129321458</v>
      </c>
      <c r="G114" s="52">
        <f>129321458</f>
        <v>129321458</v>
      </c>
    </row>
    <row r="115" spans="1:7">
      <c r="A115" s="45" t="s">
        <v>175</v>
      </c>
      <c r="B115" s="82" t="s">
        <v>351</v>
      </c>
      <c r="C115" s="52"/>
      <c r="D115" s="52"/>
      <c r="E115" s="52"/>
      <c r="F115" s="52"/>
      <c r="G115" s="52"/>
    </row>
    <row r="116" spans="1:7">
      <c r="A116" s="45" t="s">
        <v>345</v>
      </c>
      <c r="B116" s="83" t="s">
        <v>352</v>
      </c>
      <c r="C116" s="52"/>
      <c r="D116" s="52"/>
      <c r="E116" s="52"/>
      <c r="F116" s="52"/>
      <c r="G116" s="52"/>
    </row>
    <row r="117" spans="1:7">
      <c r="A117" s="84" t="s">
        <v>346</v>
      </c>
      <c r="B117" s="81" t="s">
        <v>353</v>
      </c>
      <c r="C117" s="52"/>
      <c r="D117" s="52"/>
      <c r="E117" s="52"/>
      <c r="F117" s="52"/>
      <c r="G117" s="52"/>
    </row>
    <row r="118" spans="1:7">
      <c r="A118" s="45" t="s">
        <v>434</v>
      </c>
      <c r="B118" s="81" t="s">
        <v>354</v>
      </c>
      <c r="C118" s="52"/>
      <c r="D118" s="52"/>
      <c r="E118" s="52"/>
      <c r="F118" s="52"/>
      <c r="G118" s="52"/>
    </row>
    <row r="119" spans="1:7">
      <c r="A119" s="49" t="s">
        <v>435</v>
      </c>
      <c r="B119" s="81" t="s">
        <v>355</v>
      </c>
      <c r="C119" s="52">
        <f>42065000</f>
        <v>42065000</v>
      </c>
      <c r="D119" s="52">
        <f>42065000</f>
        <v>42065000</v>
      </c>
      <c r="E119" s="52">
        <f>40700000</f>
        <v>40700000</v>
      </c>
      <c r="F119" s="52">
        <f>40550000</f>
        <v>40550000</v>
      </c>
      <c r="G119" s="52">
        <v>38308600</v>
      </c>
    </row>
    <row r="120" spans="1:7">
      <c r="A120" s="45" t="s">
        <v>439</v>
      </c>
      <c r="B120" s="79" t="s">
        <v>45</v>
      </c>
      <c r="C120" s="47">
        <f>C121+C122</f>
        <v>33170228</v>
      </c>
      <c r="D120" s="47">
        <f>D121+D122</f>
        <v>47140407</v>
      </c>
      <c r="E120" s="47">
        <f>E121+E122</f>
        <v>48063175</v>
      </c>
      <c r="F120" s="47">
        <f>F121+F122</f>
        <v>60721562</v>
      </c>
      <c r="G120" s="47">
        <f>G121+G122</f>
        <v>72570670</v>
      </c>
    </row>
    <row r="121" spans="1:7">
      <c r="A121" s="45" t="s">
        <v>440</v>
      </c>
      <c r="B121" s="16" t="s">
        <v>442</v>
      </c>
      <c r="C121" s="47">
        <v>4078482</v>
      </c>
      <c r="D121" s="47">
        <f>8497082</f>
        <v>8497082</v>
      </c>
      <c r="E121" s="47">
        <f>13721429</f>
        <v>13721429</v>
      </c>
      <c r="F121" s="47">
        <v>22190816</v>
      </c>
      <c r="G121" s="47">
        <v>22125576</v>
      </c>
    </row>
    <row r="122" spans="1:7" ht="16.5" thickBot="1">
      <c r="A122" s="85" t="s">
        <v>441</v>
      </c>
      <c r="B122" s="86" t="s">
        <v>443</v>
      </c>
      <c r="C122" s="87">
        <f>29091746</f>
        <v>29091746</v>
      </c>
      <c r="D122" s="87">
        <f>38643325</f>
        <v>38643325</v>
      </c>
      <c r="E122" s="87">
        <f>34341746</f>
        <v>34341746</v>
      </c>
      <c r="F122" s="87">
        <f>38530746</f>
        <v>38530746</v>
      </c>
      <c r="G122" s="87">
        <v>50445094</v>
      </c>
    </row>
    <row r="123" spans="1:7" ht="16.5" thickBot="1">
      <c r="A123" s="88" t="s">
        <v>15</v>
      </c>
      <c r="B123" s="89" t="s">
        <v>625</v>
      </c>
      <c r="C123" s="539">
        <f>+C124+C126+C128</f>
        <v>373251261</v>
      </c>
      <c r="D123" s="539">
        <f>+D124+D126+D128</f>
        <v>358751036</v>
      </c>
      <c r="E123" s="539">
        <f>+E124+E126+E128</f>
        <v>360195536</v>
      </c>
      <c r="F123" s="539">
        <f>+F124+F126+F128</f>
        <v>366276214</v>
      </c>
      <c r="G123" s="539">
        <f>+G124+G126+G128</f>
        <v>617135229</v>
      </c>
    </row>
    <row r="124" spans="1:7">
      <c r="A124" s="42" t="s">
        <v>99</v>
      </c>
      <c r="B124" s="16" t="s">
        <v>217</v>
      </c>
      <c r="C124" s="44">
        <f>304198564-'1.3.sz.mell.'!C120+825500+2513000</f>
        <v>289439564</v>
      </c>
      <c r="D124" s="44">
        <f>271600839+825500+2513000</f>
        <v>274939339</v>
      </c>
      <c r="E124" s="44">
        <f>271791339+825500+3032000</f>
        <v>275648839</v>
      </c>
      <c r="F124" s="44">
        <f>275565217+825500+3032000</f>
        <v>279422717</v>
      </c>
      <c r="G124" s="44">
        <f>525766232+825500+3490000</f>
        <v>530081732</v>
      </c>
    </row>
    <row r="125" spans="1:7">
      <c r="A125" s="42" t="s">
        <v>100</v>
      </c>
      <c r="B125" s="90" t="s">
        <v>359</v>
      </c>
      <c r="C125" s="44"/>
      <c r="D125" s="44"/>
      <c r="E125" s="44"/>
      <c r="F125" s="44"/>
      <c r="G125" s="44"/>
    </row>
    <row r="126" spans="1:7">
      <c r="A126" s="42" t="s">
        <v>101</v>
      </c>
      <c r="B126" s="90" t="s">
        <v>176</v>
      </c>
      <c r="C126" s="47">
        <f>89587897-'1.3.sz.mell.'!C122</f>
        <v>83161697</v>
      </c>
      <c r="D126" s="47">
        <f>89587897-'1.3.sz.mell.'!D122</f>
        <v>83161697</v>
      </c>
      <c r="E126" s="47">
        <f>83896697</f>
        <v>83896697</v>
      </c>
      <c r="F126" s="47">
        <v>84898397</v>
      </c>
      <c r="G126" s="47">
        <v>84898397</v>
      </c>
    </row>
    <row r="127" spans="1:7">
      <c r="A127" s="42" t="s">
        <v>102</v>
      </c>
      <c r="B127" s="90" t="s">
        <v>360</v>
      </c>
      <c r="C127" s="91"/>
      <c r="D127" s="91"/>
      <c r="E127" s="91"/>
      <c r="F127" s="91"/>
      <c r="G127" s="91"/>
    </row>
    <row r="128" spans="1:7">
      <c r="A128" s="42" t="s">
        <v>103</v>
      </c>
      <c r="B128" s="50" t="s">
        <v>219</v>
      </c>
      <c r="C128" s="91">
        <f>C129+C130+C131+C132+C133+C134+C135+C136</f>
        <v>650000</v>
      </c>
      <c r="D128" s="91">
        <f>D129+D130+D131+D132+D133+D134+D135+D136</f>
        <v>650000</v>
      </c>
      <c r="E128" s="91">
        <f>E129+E130+E131+E132+E133+E134+E135+E136</f>
        <v>650000</v>
      </c>
      <c r="F128" s="91">
        <f>F129+F130+F131+F132+F133+F134+F135+F136</f>
        <v>1955100</v>
      </c>
      <c r="G128" s="91">
        <f>G129+G130+G131+G132+G133+G134+G135+G136</f>
        <v>2155100</v>
      </c>
    </row>
    <row r="129" spans="1:7">
      <c r="A129" s="42" t="s">
        <v>112</v>
      </c>
      <c r="B129" s="48" t="s">
        <v>422</v>
      </c>
      <c r="C129" s="91"/>
      <c r="D129" s="91"/>
      <c r="E129" s="91"/>
      <c r="F129" s="91"/>
      <c r="G129" s="91"/>
    </row>
    <row r="130" spans="1:7">
      <c r="A130" s="42" t="s">
        <v>114</v>
      </c>
      <c r="B130" s="92" t="s">
        <v>365</v>
      </c>
      <c r="C130" s="91"/>
      <c r="D130" s="91"/>
      <c r="E130" s="91"/>
      <c r="F130" s="91"/>
      <c r="G130" s="91"/>
    </row>
    <row r="131" spans="1:7">
      <c r="A131" s="42" t="s">
        <v>177</v>
      </c>
      <c r="B131" s="83" t="s">
        <v>349</v>
      </c>
      <c r="C131" s="91"/>
      <c r="D131" s="91"/>
      <c r="E131" s="91"/>
      <c r="F131" s="91"/>
      <c r="G131" s="91"/>
    </row>
    <row r="132" spans="1:7">
      <c r="A132" s="42" t="s">
        <v>178</v>
      </c>
      <c r="B132" s="83" t="s">
        <v>364</v>
      </c>
      <c r="C132" s="91"/>
      <c r="D132" s="91"/>
      <c r="E132" s="91"/>
      <c r="F132" s="91">
        <f>5100</f>
        <v>5100</v>
      </c>
      <c r="G132" s="91">
        <f>5100</f>
        <v>5100</v>
      </c>
    </row>
    <row r="133" spans="1:7">
      <c r="A133" s="42" t="s">
        <v>179</v>
      </c>
      <c r="B133" s="83" t="s">
        <v>363</v>
      </c>
      <c r="C133" s="91"/>
      <c r="D133" s="91"/>
      <c r="E133" s="91"/>
      <c r="F133" s="91"/>
      <c r="G133" s="91"/>
    </row>
    <row r="134" spans="1:7">
      <c r="A134" s="42" t="s">
        <v>356</v>
      </c>
      <c r="B134" s="83" t="s">
        <v>352</v>
      </c>
      <c r="C134" s="91"/>
      <c r="D134" s="91"/>
      <c r="E134" s="91"/>
      <c r="F134" s="91"/>
      <c r="G134" s="91"/>
    </row>
    <row r="135" spans="1:7">
      <c r="A135" s="42" t="s">
        <v>357</v>
      </c>
      <c r="B135" s="83" t="s">
        <v>362</v>
      </c>
      <c r="C135" s="91"/>
      <c r="D135" s="91"/>
      <c r="E135" s="91"/>
      <c r="F135" s="91"/>
      <c r="G135" s="91"/>
    </row>
    <row r="136" spans="1:7" ht="16.5" thickBot="1">
      <c r="A136" s="84" t="s">
        <v>358</v>
      </c>
      <c r="B136" s="83" t="s">
        <v>361</v>
      </c>
      <c r="C136" s="93">
        <v>650000</v>
      </c>
      <c r="D136" s="93">
        <v>650000</v>
      </c>
      <c r="E136" s="93">
        <v>650000</v>
      </c>
      <c r="F136" s="93">
        <v>1950000</v>
      </c>
      <c r="G136" s="93">
        <v>2150000</v>
      </c>
    </row>
    <row r="137" spans="1:7" ht="16.5" thickBot="1">
      <c r="A137" s="38" t="s">
        <v>16</v>
      </c>
      <c r="B137" s="19" t="s">
        <v>444</v>
      </c>
      <c r="C137" s="40">
        <f>+C102+C123</f>
        <v>1025939912</v>
      </c>
      <c r="D137" s="40">
        <f>+D102+D123</f>
        <v>1035521684</v>
      </c>
      <c r="E137" s="40">
        <f>+E102+E123</f>
        <v>1046430892</v>
      </c>
      <c r="F137" s="40">
        <f>+F102+F123</f>
        <v>1076466297</v>
      </c>
      <c r="G137" s="40">
        <f>+G102+G123</f>
        <v>1350713601</v>
      </c>
    </row>
    <row r="138" spans="1:7" ht="16.5" thickBot="1">
      <c r="A138" s="38" t="s">
        <v>17</v>
      </c>
      <c r="B138" s="19" t="s">
        <v>445</v>
      </c>
      <c r="C138" s="40">
        <f>+C139+C140+C141</f>
        <v>0</v>
      </c>
      <c r="D138" s="40">
        <f>+D139+D140+D141</f>
        <v>0</v>
      </c>
      <c r="E138" s="40">
        <f>+E139+E140+E141</f>
        <v>0</v>
      </c>
      <c r="F138" s="40">
        <f>+F139+F140+F141</f>
        <v>0</v>
      </c>
      <c r="G138" s="40">
        <f>+G139+G140+G141</f>
        <v>0</v>
      </c>
    </row>
    <row r="139" spans="1:7">
      <c r="A139" s="42" t="s">
        <v>257</v>
      </c>
      <c r="B139" s="90" t="s">
        <v>452</v>
      </c>
      <c r="C139" s="91"/>
      <c r="D139" s="91"/>
      <c r="E139" s="91"/>
      <c r="F139" s="91"/>
      <c r="G139" s="91"/>
    </row>
    <row r="140" spans="1:7">
      <c r="A140" s="42" t="s">
        <v>260</v>
      </c>
      <c r="B140" s="90" t="s">
        <v>453</v>
      </c>
      <c r="C140" s="91"/>
      <c r="D140" s="91"/>
      <c r="E140" s="91"/>
      <c r="F140" s="91"/>
      <c r="G140" s="91"/>
    </row>
    <row r="141" spans="1:7" ht="16.5" thickBot="1">
      <c r="A141" s="84" t="s">
        <v>261</v>
      </c>
      <c r="B141" s="90" t="s">
        <v>454</v>
      </c>
      <c r="C141" s="91"/>
      <c r="D141" s="91"/>
      <c r="E141" s="91"/>
      <c r="F141" s="91"/>
      <c r="G141" s="91"/>
    </row>
    <row r="142" spans="1:7" ht="16.5" thickBot="1">
      <c r="A142" s="38" t="s">
        <v>18</v>
      </c>
      <c r="B142" s="19" t="s">
        <v>446</v>
      </c>
      <c r="C142" s="40">
        <f>SUM(C143:C148)</f>
        <v>0</v>
      </c>
      <c r="D142" s="40">
        <f>SUM(D143:D148)</f>
        <v>0</v>
      </c>
      <c r="E142" s="40">
        <f>SUM(E143:E148)</f>
        <v>0</v>
      </c>
      <c r="F142" s="40">
        <f>SUM(F143:F148)</f>
        <v>0</v>
      </c>
      <c r="G142" s="40">
        <f>SUM(G143:G148)</f>
        <v>0</v>
      </c>
    </row>
    <row r="143" spans="1:7">
      <c r="A143" s="42" t="s">
        <v>86</v>
      </c>
      <c r="B143" s="18" t="s">
        <v>455</v>
      </c>
      <c r="C143" s="91"/>
      <c r="D143" s="91"/>
      <c r="E143" s="91"/>
      <c r="F143" s="91"/>
      <c r="G143" s="91"/>
    </row>
    <row r="144" spans="1:7">
      <c r="A144" s="42" t="s">
        <v>87</v>
      </c>
      <c r="B144" s="18" t="s">
        <v>447</v>
      </c>
      <c r="C144" s="91"/>
      <c r="D144" s="91"/>
      <c r="E144" s="91"/>
      <c r="F144" s="91"/>
      <c r="G144" s="91"/>
    </row>
    <row r="145" spans="1:7">
      <c r="A145" s="42" t="s">
        <v>88</v>
      </c>
      <c r="B145" s="18" t="s">
        <v>448</v>
      </c>
      <c r="C145" s="91"/>
      <c r="D145" s="91"/>
      <c r="E145" s="91"/>
      <c r="F145" s="91"/>
      <c r="G145" s="91"/>
    </row>
    <row r="146" spans="1:7">
      <c r="A146" s="42" t="s">
        <v>164</v>
      </c>
      <c r="B146" s="18" t="s">
        <v>449</v>
      </c>
      <c r="C146" s="91"/>
      <c r="D146" s="91"/>
      <c r="E146" s="91"/>
      <c r="F146" s="91"/>
      <c r="G146" s="91"/>
    </row>
    <row r="147" spans="1:7">
      <c r="A147" s="42" t="s">
        <v>165</v>
      </c>
      <c r="B147" s="18" t="s">
        <v>450</v>
      </c>
      <c r="C147" s="91"/>
      <c r="D147" s="91"/>
      <c r="E147" s="91"/>
      <c r="F147" s="91"/>
      <c r="G147" s="91"/>
    </row>
    <row r="148" spans="1:7" ht="16.5" thickBot="1">
      <c r="A148" s="84" t="s">
        <v>166</v>
      </c>
      <c r="B148" s="18" t="s">
        <v>451</v>
      </c>
      <c r="C148" s="91"/>
      <c r="D148" s="91"/>
      <c r="E148" s="91"/>
      <c r="F148" s="91"/>
      <c r="G148" s="91"/>
    </row>
    <row r="149" spans="1:7" ht="16.5" thickBot="1">
      <c r="A149" s="38" t="s">
        <v>19</v>
      </c>
      <c r="B149" s="19" t="s">
        <v>459</v>
      </c>
      <c r="C149" s="54">
        <f>+C150+C151+C152+C153</f>
        <v>8107720</v>
      </c>
      <c r="D149" s="54">
        <f>+D150+D151+D152+D153</f>
        <v>8107720</v>
      </c>
      <c r="E149" s="54">
        <f>+E150+E151+E152+E153</f>
        <v>8369810</v>
      </c>
      <c r="F149" s="54">
        <f>+F150+F151+F152+F153</f>
        <v>8369810</v>
      </c>
      <c r="G149" s="54">
        <f>+G150+G151+G152+G153</f>
        <v>8369810</v>
      </c>
    </row>
    <row r="150" spans="1:7">
      <c r="A150" s="42" t="s">
        <v>89</v>
      </c>
      <c r="B150" s="18" t="s">
        <v>366</v>
      </c>
      <c r="C150" s="91"/>
      <c r="D150" s="91"/>
      <c r="E150" s="91"/>
      <c r="F150" s="91"/>
      <c r="G150" s="91"/>
    </row>
    <row r="151" spans="1:7">
      <c r="A151" s="42" t="s">
        <v>90</v>
      </c>
      <c r="B151" s="18" t="s">
        <v>367</v>
      </c>
      <c r="C151" s="91">
        <f>8107720</f>
        <v>8107720</v>
      </c>
      <c r="D151" s="91">
        <f>8107720</f>
        <v>8107720</v>
      </c>
      <c r="E151" s="91">
        <f>8369810</f>
        <v>8369810</v>
      </c>
      <c r="F151" s="91">
        <f>8369810</f>
        <v>8369810</v>
      </c>
      <c r="G151" s="91">
        <f>8369810</f>
        <v>8369810</v>
      </c>
    </row>
    <row r="152" spans="1:7">
      <c r="A152" s="42" t="s">
        <v>281</v>
      </c>
      <c r="B152" s="18" t="s">
        <v>460</v>
      </c>
      <c r="C152" s="91"/>
      <c r="D152" s="91"/>
      <c r="E152" s="91"/>
      <c r="F152" s="91"/>
      <c r="G152" s="91"/>
    </row>
    <row r="153" spans="1:7" ht="16.5" thickBot="1">
      <c r="A153" s="84" t="s">
        <v>282</v>
      </c>
      <c r="B153" s="17" t="s">
        <v>386</v>
      </c>
      <c r="C153" s="91"/>
      <c r="D153" s="91"/>
      <c r="E153" s="91"/>
      <c r="F153" s="91"/>
      <c r="G153" s="91"/>
    </row>
    <row r="154" spans="1:7" ht="16.5" thickBot="1">
      <c r="A154" s="38" t="s">
        <v>20</v>
      </c>
      <c r="B154" s="19" t="s">
        <v>461</v>
      </c>
      <c r="C154" s="94">
        <f>SUM(C155:C159)</f>
        <v>0</v>
      </c>
      <c r="D154" s="94">
        <f>SUM(D155:D159)</f>
        <v>0</v>
      </c>
      <c r="E154" s="94">
        <f>SUM(E155:E159)</f>
        <v>0</v>
      </c>
      <c r="F154" s="94">
        <f>SUM(F155:F159)</f>
        <v>0</v>
      </c>
      <c r="G154" s="94">
        <f>SUM(G155:G159)</f>
        <v>0</v>
      </c>
    </row>
    <row r="155" spans="1:7">
      <c r="A155" s="42" t="s">
        <v>91</v>
      </c>
      <c r="B155" s="18" t="s">
        <v>456</v>
      </c>
      <c r="C155" s="91"/>
      <c r="D155" s="91"/>
      <c r="E155" s="91"/>
      <c r="F155" s="91"/>
      <c r="G155" s="91"/>
    </row>
    <row r="156" spans="1:7">
      <c r="A156" s="42" t="s">
        <v>92</v>
      </c>
      <c r="B156" s="18" t="s">
        <v>463</v>
      </c>
      <c r="C156" s="91"/>
      <c r="D156" s="91"/>
      <c r="E156" s="91"/>
      <c r="F156" s="91"/>
      <c r="G156" s="91"/>
    </row>
    <row r="157" spans="1:7">
      <c r="A157" s="42" t="s">
        <v>293</v>
      </c>
      <c r="B157" s="18" t="s">
        <v>458</v>
      </c>
      <c r="C157" s="91"/>
      <c r="D157" s="91"/>
      <c r="E157" s="91"/>
      <c r="F157" s="91"/>
      <c r="G157" s="91"/>
    </row>
    <row r="158" spans="1:7">
      <c r="A158" s="42" t="s">
        <v>294</v>
      </c>
      <c r="B158" s="18" t="s">
        <v>464</v>
      </c>
      <c r="C158" s="91"/>
      <c r="D158" s="91"/>
      <c r="E158" s="91"/>
      <c r="F158" s="91"/>
      <c r="G158" s="91"/>
    </row>
    <row r="159" spans="1:7" ht="16.5" thickBot="1">
      <c r="A159" s="42" t="s">
        <v>462</v>
      </c>
      <c r="B159" s="18" t="s">
        <v>465</v>
      </c>
      <c r="C159" s="91"/>
      <c r="D159" s="91"/>
      <c r="E159" s="91"/>
      <c r="F159" s="91"/>
      <c r="G159" s="91"/>
    </row>
    <row r="160" spans="1:7" ht="16.5" thickBot="1">
      <c r="A160" s="38" t="s">
        <v>21</v>
      </c>
      <c r="B160" s="19" t="s">
        <v>466</v>
      </c>
      <c r="C160" s="540"/>
      <c r="D160" s="540"/>
      <c r="E160" s="540"/>
      <c r="F160" s="540"/>
      <c r="G160" s="540"/>
    </row>
    <row r="161" spans="1:7" ht="16.5" thickBot="1">
      <c r="A161" s="38" t="s">
        <v>22</v>
      </c>
      <c r="B161" s="19" t="s">
        <v>541</v>
      </c>
      <c r="C161" s="540"/>
      <c r="D161" s="540"/>
      <c r="E161" s="540"/>
      <c r="F161" s="540"/>
      <c r="G161" s="540"/>
    </row>
    <row r="162" spans="1:7" ht="16.5" thickBot="1">
      <c r="A162" s="38" t="s">
        <v>23</v>
      </c>
      <c r="B162" s="19" t="s">
        <v>469</v>
      </c>
      <c r="C162" s="95">
        <f>+C138+C142+C149+C154+C160+C161</f>
        <v>8107720</v>
      </c>
      <c r="D162" s="95">
        <f>+D138+D142+D149+D154+D160+D161</f>
        <v>8107720</v>
      </c>
      <c r="E162" s="95">
        <f>+E138+E142+E149+E154+E160+E161</f>
        <v>8369810</v>
      </c>
      <c r="F162" s="95">
        <f>+F138+F142+F149+F154+F160+F161</f>
        <v>8369810</v>
      </c>
      <c r="G162" s="95">
        <f>+G138+G142+G149+G154+G160+G161</f>
        <v>8369810</v>
      </c>
    </row>
    <row r="163" spans="1:7" s="41" customFormat="1" ht="13.5" thickBot="1">
      <c r="A163" s="97" t="s">
        <v>24</v>
      </c>
      <c r="B163" s="98" t="s">
        <v>468</v>
      </c>
      <c r="C163" s="95">
        <f>+C137+C162</f>
        <v>1034047632</v>
      </c>
      <c r="D163" s="95">
        <f>+D137+D162</f>
        <v>1043629404</v>
      </c>
      <c r="E163" s="95">
        <f>+E137+E162</f>
        <v>1054800702</v>
      </c>
      <c r="F163" s="95">
        <f>+F137+F162</f>
        <v>1084836107</v>
      </c>
      <c r="G163" s="95">
        <f>+G137+G162</f>
        <v>1359083411</v>
      </c>
    </row>
  </sheetData>
  <mergeCells count="4">
    <mergeCell ref="A10:B10"/>
    <mergeCell ref="A11:B11"/>
    <mergeCell ref="A98:B98"/>
    <mergeCell ref="A99:B99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84" orientation="landscape" r:id="rId1"/>
  <headerFooter alignWithMargins="0">
    <oddHeader>&amp;R&amp;"Times New Roman CE,Félkövér dőlt"&amp;11 1.1. melléklet a 19/2019. (XII.20.) önkormányzati rendelethez</oddHeader>
    <oddFooter>&amp;P. oldal, összesen: &amp;N</oddFooter>
  </headerFooter>
  <rowBreaks count="5" manualBreakCount="5">
    <brk id="34" max="6" man="1"/>
    <brk id="71" max="6" man="1"/>
    <brk id="97" max="6" man="1"/>
    <brk id="122" max="6" man="1"/>
    <brk id="137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70C0"/>
  </sheetPr>
  <dimension ref="A1:F61"/>
  <sheetViews>
    <sheetView zoomScaleNormal="100"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6" width="25" style="9" customWidth="1"/>
    <col min="7" max="16384" width="9.33203125" style="9"/>
  </cols>
  <sheetData>
    <row r="1" spans="1:6" s="100" customFormat="1" ht="21" customHeight="1" thickBot="1">
      <c r="A1" s="1"/>
      <c r="B1" s="408" t="s">
        <v>767</v>
      </c>
      <c r="C1" s="408"/>
      <c r="D1" s="408"/>
      <c r="E1" s="408"/>
      <c r="F1" s="408"/>
    </row>
    <row r="2" spans="1:6" s="103" customFormat="1" ht="33" customHeight="1">
      <c r="A2" s="2" t="s">
        <v>192</v>
      </c>
      <c r="B2" s="3" t="s">
        <v>537</v>
      </c>
      <c r="C2" s="510" t="s">
        <v>54</v>
      </c>
      <c r="D2" s="510" t="s">
        <v>54</v>
      </c>
      <c r="E2" s="510" t="s">
        <v>54</v>
      </c>
      <c r="F2" s="510" t="s">
        <v>54</v>
      </c>
    </row>
    <row r="3" spans="1:6" s="103" customFormat="1" ht="24.75" thickBot="1">
      <c r="A3" s="409" t="s">
        <v>191</v>
      </c>
      <c r="B3" s="4" t="s">
        <v>413</v>
      </c>
      <c r="C3" s="511" t="s">
        <v>54</v>
      </c>
      <c r="D3" s="511" t="s">
        <v>54</v>
      </c>
      <c r="E3" s="511" t="s">
        <v>54</v>
      </c>
      <c r="F3" s="511" t="s">
        <v>54</v>
      </c>
    </row>
    <row r="4" spans="1:6" s="106" customFormat="1" ht="15.95" customHeight="1" thickBot="1">
      <c r="A4" s="5"/>
      <c r="B4" s="5"/>
      <c r="C4" s="6" t="s">
        <v>581</v>
      </c>
      <c r="D4" s="6" t="s">
        <v>581</v>
      </c>
      <c r="E4" s="6" t="s">
        <v>581</v>
      </c>
      <c r="F4" s="6" t="s">
        <v>581</v>
      </c>
    </row>
    <row r="5" spans="1:6" ht="24.75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750</v>
      </c>
    </row>
    <row r="6" spans="1:6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5.95" customHeight="1" thickBot="1">
      <c r="A7" s="13"/>
      <c r="B7" s="14" t="s">
        <v>51</v>
      </c>
      <c r="C7" s="512"/>
      <c r="D7" s="512"/>
      <c r="E7" s="512"/>
      <c r="F7" s="512"/>
    </row>
    <row r="8" spans="1:6" s="197" customFormat="1" ht="12" customHeight="1" thickBot="1">
      <c r="A8" s="10" t="s">
        <v>14</v>
      </c>
      <c r="B8" s="410" t="s">
        <v>511</v>
      </c>
      <c r="C8" s="513">
        <f>SUM(C9:C19)</f>
        <v>501010</v>
      </c>
      <c r="D8" s="513">
        <f>SUM(D9:D19)</f>
        <v>501010</v>
      </c>
      <c r="E8" s="513">
        <f>SUM(E9:E19)</f>
        <v>511010</v>
      </c>
      <c r="F8" s="513">
        <f>SUM(F9:F19)</f>
        <v>641010</v>
      </c>
    </row>
    <row r="9" spans="1:6" s="197" customFormat="1" ht="12" customHeight="1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2" customHeight="1">
      <c r="A10" s="412" t="s">
        <v>94</v>
      </c>
      <c r="B10" s="16" t="s">
        <v>271</v>
      </c>
      <c r="C10" s="515"/>
      <c r="D10" s="515"/>
      <c r="E10" s="515">
        <v>5000</v>
      </c>
      <c r="F10" s="515">
        <v>5000</v>
      </c>
    </row>
    <row r="11" spans="1:6" s="197" customFormat="1" ht="12" customHeight="1">
      <c r="A11" s="412" t="s">
        <v>95</v>
      </c>
      <c r="B11" s="16" t="s">
        <v>272</v>
      </c>
      <c r="C11" s="515">
        <v>500000</v>
      </c>
      <c r="D11" s="515">
        <v>500000</v>
      </c>
      <c r="E11" s="515">
        <v>500000</v>
      </c>
      <c r="F11" s="515">
        <f>500000+130000</f>
        <v>630000</v>
      </c>
    </row>
    <row r="12" spans="1:6" s="197" customFormat="1" ht="12" customHeight="1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2" customHeight="1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2" customHeight="1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2" customHeight="1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2" customHeight="1">
      <c r="A16" s="412" t="s">
        <v>108</v>
      </c>
      <c r="B16" s="16" t="s">
        <v>277</v>
      </c>
      <c r="C16" s="516">
        <v>10</v>
      </c>
      <c r="D16" s="516">
        <v>10</v>
      </c>
      <c r="E16" s="516">
        <v>10</v>
      </c>
      <c r="F16" s="516">
        <v>10</v>
      </c>
    </row>
    <row r="17" spans="1:6" s="199" customFormat="1" ht="12" customHeight="1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2" customHeight="1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2" customHeight="1" thickBot="1">
      <c r="A19" s="412" t="s">
        <v>111</v>
      </c>
      <c r="B19" s="17" t="s">
        <v>279</v>
      </c>
      <c r="C19" s="517">
        <v>1000</v>
      </c>
      <c r="D19" s="517">
        <v>1000</v>
      </c>
      <c r="E19" s="517">
        <f>1000+5000</f>
        <v>6000</v>
      </c>
      <c r="F19" s="517">
        <f>1000+5000</f>
        <v>6000</v>
      </c>
    </row>
    <row r="20" spans="1:6" s="197" customFormat="1" ht="12" customHeight="1" thickBot="1">
      <c r="A20" s="10" t="s">
        <v>15</v>
      </c>
      <c r="B20" s="410" t="s">
        <v>397</v>
      </c>
      <c r="C20" s="513">
        <f>SUM(C21:C23)</f>
        <v>0</v>
      </c>
      <c r="D20" s="513">
        <f>SUM(D21:D23)</f>
        <v>1106182</v>
      </c>
      <c r="E20" s="513">
        <f>SUM(E21:E23)</f>
        <v>1298141</v>
      </c>
      <c r="F20" s="513">
        <f>SUM(F21:F23)</f>
        <v>2960372</v>
      </c>
    </row>
    <row r="21" spans="1:6" s="199" customFormat="1" ht="12" customHeight="1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12" customHeight="1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12" customHeight="1">
      <c r="A23" s="412" t="s">
        <v>101</v>
      </c>
      <c r="B23" s="16" t="s">
        <v>399</v>
      </c>
      <c r="C23" s="515"/>
      <c r="D23" s="515">
        <f>1106182</f>
        <v>1106182</v>
      </c>
      <c r="E23" s="515">
        <f>1106182+191959</f>
        <v>1298141</v>
      </c>
      <c r="F23" s="515">
        <f>1106182+191959+1546668+115563</f>
        <v>2960372</v>
      </c>
    </row>
    <row r="24" spans="1:6" s="199" customFormat="1" ht="12" customHeight="1" thickBot="1">
      <c r="A24" s="412" t="s">
        <v>102</v>
      </c>
      <c r="B24" s="16" t="s">
        <v>512</v>
      </c>
      <c r="C24" s="515"/>
      <c r="D24" s="515"/>
      <c r="E24" s="515"/>
      <c r="F24" s="515"/>
    </row>
    <row r="25" spans="1:6" s="199" customFormat="1" ht="12" customHeight="1" thickBot="1">
      <c r="A25" s="356" t="s">
        <v>16</v>
      </c>
      <c r="B25" s="19" t="s">
        <v>163</v>
      </c>
      <c r="C25" s="518">
        <v>1050000</v>
      </c>
      <c r="D25" s="518">
        <v>1050000</v>
      </c>
      <c r="E25" s="518">
        <v>1050000</v>
      </c>
      <c r="F25" s="518">
        <f>1050000+260000</f>
        <v>1310000</v>
      </c>
    </row>
    <row r="26" spans="1:6" s="199" customFormat="1" ht="12" customHeight="1" thickBot="1">
      <c r="A26" s="356" t="s">
        <v>17</v>
      </c>
      <c r="B26" s="19" t="s">
        <v>513</v>
      </c>
      <c r="C26" s="513">
        <f>+C27+C28+C29</f>
        <v>0</v>
      </c>
      <c r="D26" s="513">
        <f>+D27+D28+D29</f>
        <v>0</v>
      </c>
      <c r="E26" s="513">
        <f>+E27+E28+E29</f>
        <v>0</v>
      </c>
      <c r="F26" s="513">
        <f>+F27+F28+F29</f>
        <v>0</v>
      </c>
    </row>
    <row r="27" spans="1:6" s="199" customFormat="1" ht="12" customHeight="1">
      <c r="A27" s="413" t="s">
        <v>257</v>
      </c>
      <c r="B27" s="414" t="s">
        <v>252</v>
      </c>
      <c r="C27" s="20"/>
      <c r="D27" s="20"/>
      <c r="E27" s="20"/>
      <c r="F27" s="20"/>
    </row>
    <row r="28" spans="1:6" s="199" customFormat="1" ht="12" customHeight="1">
      <c r="A28" s="413" t="s">
        <v>260</v>
      </c>
      <c r="B28" s="414" t="s">
        <v>398</v>
      </c>
      <c r="C28" s="515"/>
      <c r="D28" s="515"/>
      <c r="E28" s="515"/>
      <c r="F28" s="515"/>
    </row>
    <row r="29" spans="1:6" s="199" customFormat="1" ht="12" customHeight="1">
      <c r="A29" s="413" t="s">
        <v>261</v>
      </c>
      <c r="B29" s="415" t="s">
        <v>401</v>
      </c>
      <c r="C29" s="515"/>
      <c r="D29" s="515"/>
      <c r="E29" s="515"/>
      <c r="F29" s="515"/>
    </row>
    <row r="30" spans="1:6" s="199" customFormat="1" ht="12" customHeight="1" thickBot="1">
      <c r="A30" s="412" t="s">
        <v>262</v>
      </c>
      <c r="B30" s="416" t="s">
        <v>514</v>
      </c>
      <c r="C30" s="21"/>
      <c r="D30" s="21"/>
      <c r="E30" s="21"/>
      <c r="F30" s="21"/>
    </row>
    <row r="31" spans="1:6" s="199" customFormat="1" ht="12" customHeight="1" thickBot="1">
      <c r="A31" s="356" t="s">
        <v>18</v>
      </c>
      <c r="B31" s="19" t="s">
        <v>402</v>
      </c>
      <c r="C31" s="513">
        <f>+C32+C33+C34</f>
        <v>0</v>
      </c>
      <c r="D31" s="513">
        <f>+D32+D33+D34</f>
        <v>0</v>
      </c>
      <c r="E31" s="513">
        <f>+E32+E33+E34</f>
        <v>0</v>
      </c>
      <c r="F31" s="513">
        <f>+F32+F33+F34</f>
        <v>0</v>
      </c>
    </row>
    <row r="32" spans="1:6" s="199" customFormat="1" ht="12" customHeight="1">
      <c r="A32" s="413" t="s">
        <v>86</v>
      </c>
      <c r="B32" s="414" t="s">
        <v>284</v>
      </c>
      <c r="C32" s="20"/>
      <c r="D32" s="20"/>
      <c r="E32" s="20"/>
      <c r="F32" s="20"/>
    </row>
    <row r="33" spans="1:6" s="199" customFormat="1" ht="12" customHeight="1">
      <c r="A33" s="413" t="s">
        <v>87</v>
      </c>
      <c r="B33" s="415" t="s">
        <v>285</v>
      </c>
      <c r="C33" s="519"/>
      <c r="D33" s="519"/>
      <c r="E33" s="519"/>
      <c r="F33" s="519"/>
    </row>
    <row r="34" spans="1:6" s="199" customFormat="1" ht="12" customHeight="1" thickBot="1">
      <c r="A34" s="412" t="s">
        <v>88</v>
      </c>
      <c r="B34" s="416" t="s">
        <v>286</v>
      </c>
      <c r="C34" s="21"/>
      <c r="D34" s="21"/>
      <c r="E34" s="21"/>
      <c r="F34" s="21"/>
    </row>
    <row r="35" spans="1:6" s="197" customFormat="1" ht="12" customHeight="1" thickBot="1">
      <c r="A35" s="356" t="s">
        <v>19</v>
      </c>
      <c r="B35" s="19" t="s">
        <v>371</v>
      </c>
      <c r="C35" s="518"/>
      <c r="D35" s="518"/>
      <c r="E35" s="518"/>
      <c r="F35" s="518"/>
    </row>
    <row r="36" spans="1:6" s="197" customFormat="1" ht="12" customHeight="1" thickBot="1">
      <c r="A36" s="356" t="s">
        <v>20</v>
      </c>
      <c r="B36" s="19" t="s">
        <v>403</v>
      </c>
      <c r="C36" s="520"/>
      <c r="D36" s="520"/>
      <c r="E36" s="520"/>
      <c r="F36" s="520"/>
    </row>
    <row r="37" spans="1:6" s="197" customFormat="1" ht="12" customHeight="1" thickBot="1">
      <c r="A37" s="10" t="s">
        <v>21</v>
      </c>
      <c r="B37" s="19" t="s">
        <v>404</v>
      </c>
      <c r="C37" s="521">
        <f>+C8+C20+C25+C26+C31+C35+C36</f>
        <v>1551010</v>
      </c>
      <c r="D37" s="521">
        <f>+D8+D20+D25+D26+D31+D35+D36</f>
        <v>2657192</v>
      </c>
      <c r="E37" s="521">
        <f>+E8+E20+E25+E26+E31+E35+E36</f>
        <v>2859151</v>
      </c>
      <c r="F37" s="521">
        <f>+F8+F20+F25+F26+F31+F35+F36</f>
        <v>4911382</v>
      </c>
    </row>
    <row r="38" spans="1:6" s="197" customFormat="1" ht="12" customHeight="1" thickBot="1">
      <c r="A38" s="417" t="s">
        <v>22</v>
      </c>
      <c r="B38" s="19" t="s">
        <v>405</v>
      </c>
      <c r="C38" s="521">
        <f>+C39+C40+C41</f>
        <v>121437129</v>
      </c>
      <c r="D38" s="521">
        <f>+D39+D40+D41</f>
        <v>129025606</v>
      </c>
      <c r="E38" s="521">
        <f>+E39+E40+E41</f>
        <v>129989351</v>
      </c>
      <c r="F38" s="521">
        <f>+F39+F40+F41</f>
        <v>129599351</v>
      </c>
    </row>
    <row r="39" spans="1:6" s="197" customFormat="1" ht="12" customHeight="1">
      <c r="A39" s="413" t="s">
        <v>406</v>
      </c>
      <c r="B39" s="414" t="s">
        <v>226</v>
      </c>
      <c r="C39" s="20"/>
      <c r="D39" s="20">
        <v>1776671</v>
      </c>
      <c r="E39" s="20">
        <v>1776671</v>
      </c>
      <c r="F39" s="20">
        <v>1776671</v>
      </c>
    </row>
    <row r="40" spans="1:6" s="197" customFormat="1" ht="12" customHeight="1">
      <c r="A40" s="413" t="s">
        <v>407</v>
      </c>
      <c r="B40" s="415" t="s">
        <v>0</v>
      </c>
      <c r="C40" s="519"/>
      <c r="D40" s="519"/>
      <c r="E40" s="519"/>
      <c r="F40" s="519"/>
    </row>
    <row r="41" spans="1:6" s="199" customFormat="1" ht="12" customHeight="1" thickBot="1">
      <c r="A41" s="412" t="s">
        <v>408</v>
      </c>
      <c r="B41" s="416" t="s">
        <v>409</v>
      </c>
      <c r="C41" s="21">
        <v>121437129</v>
      </c>
      <c r="D41" s="21">
        <f>127248935</f>
        <v>127248935</v>
      </c>
      <c r="E41" s="21">
        <f>127248935-5000-5000+350000+623745</f>
        <v>128212680</v>
      </c>
      <c r="F41" s="21">
        <f>127248935-5000-5000+350000+623745-390000</f>
        <v>127822680</v>
      </c>
    </row>
    <row r="42" spans="1:6" s="199" customFormat="1" ht="15" customHeight="1" thickBot="1">
      <c r="A42" s="417" t="s">
        <v>23</v>
      </c>
      <c r="B42" s="418" t="s">
        <v>410</v>
      </c>
      <c r="C42" s="522">
        <f>C37+C38</f>
        <v>122988139</v>
      </c>
      <c r="D42" s="522">
        <f>D37+D38</f>
        <v>131682798</v>
      </c>
      <c r="E42" s="522">
        <f>E37+E38</f>
        <v>132848502</v>
      </c>
      <c r="F42" s="522">
        <f>F37+F38</f>
        <v>134510733</v>
      </c>
    </row>
    <row r="43" spans="1:6" s="199" customFormat="1" ht="15" customHeight="1">
      <c r="A43" s="22"/>
      <c r="B43" s="23"/>
      <c r="C43" s="24"/>
      <c r="D43" s="24"/>
      <c r="E43" s="24"/>
      <c r="F43" s="24"/>
    </row>
    <row r="44" spans="1:6" ht="13.5" thickBot="1">
      <c r="A44" s="419"/>
      <c r="B44" s="420"/>
      <c r="C44" s="523"/>
      <c r="D44" s="523"/>
      <c r="E44" s="523"/>
      <c r="F44" s="523"/>
    </row>
    <row r="45" spans="1:6" s="107" customFormat="1" ht="16.5" customHeight="1" thickBot="1">
      <c r="A45" s="25"/>
      <c r="B45" s="26" t="s">
        <v>52</v>
      </c>
      <c r="C45" s="522"/>
      <c r="D45" s="522"/>
      <c r="E45" s="522"/>
      <c r="F45" s="522"/>
    </row>
    <row r="46" spans="1:6" s="207" customFormat="1" ht="12" customHeight="1" thickBot="1">
      <c r="A46" s="356" t="s">
        <v>14</v>
      </c>
      <c r="B46" s="19" t="s">
        <v>411</v>
      </c>
      <c r="C46" s="513">
        <f>SUM(C47:C51)</f>
        <v>122162639</v>
      </c>
      <c r="D46" s="513">
        <f>SUM(D47:D51)</f>
        <v>130857298</v>
      </c>
      <c r="E46" s="513">
        <f>SUM(E47:E51)</f>
        <v>132023002</v>
      </c>
      <c r="F46" s="513">
        <f>SUM(F47:F51)</f>
        <v>133685233</v>
      </c>
    </row>
    <row r="47" spans="1:6" ht="12" customHeight="1">
      <c r="A47" s="412" t="s">
        <v>93</v>
      </c>
      <c r="B47" s="18" t="s">
        <v>44</v>
      </c>
      <c r="C47" s="20">
        <v>78369300</v>
      </c>
      <c r="D47" s="20">
        <f>85583623</f>
        <v>85583623</v>
      </c>
      <c r="E47" s="20">
        <f>85583623+129633+714+297872+530800</f>
        <v>86542642</v>
      </c>
      <c r="F47" s="20">
        <f>85583623+129633+714+297872+530800+1196240+115563</f>
        <v>87854445</v>
      </c>
    </row>
    <row r="48" spans="1:6" ht="12" customHeight="1">
      <c r="A48" s="412" t="s">
        <v>94</v>
      </c>
      <c r="B48" s="16" t="s">
        <v>172</v>
      </c>
      <c r="C48" s="27">
        <v>15968871</v>
      </c>
      <c r="D48" s="27">
        <f>17392896</f>
        <v>17392896</v>
      </c>
      <c r="E48" s="27">
        <f>17392896+20086-681+52128+92945</f>
        <v>17557374</v>
      </c>
      <c r="F48" s="27">
        <f>17392896+20086-681+52128+92945+244102</f>
        <v>17801476</v>
      </c>
    </row>
    <row r="49" spans="1:6" ht="12" customHeight="1">
      <c r="A49" s="412" t="s">
        <v>95</v>
      </c>
      <c r="B49" s="16" t="s">
        <v>131</v>
      </c>
      <c r="C49" s="27">
        <v>27824468</v>
      </c>
      <c r="D49" s="27">
        <f>27824468+56311</f>
        <v>27880779</v>
      </c>
      <c r="E49" s="27">
        <f>27824468+56311+10367-3204+33214+1830</f>
        <v>27922986</v>
      </c>
      <c r="F49" s="27">
        <f>27824468+56311+10367-3204+33214+1830+106326</f>
        <v>28029312</v>
      </c>
    </row>
    <row r="50" spans="1:6" ht="12" customHeight="1">
      <c r="A50" s="412" t="s">
        <v>96</v>
      </c>
      <c r="B50" s="16" t="s">
        <v>173</v>
      </c>
      <c r="C50" s="27"/>
      <c r="D50" s="27"/>
      <c r="E50" s="27"/>
      <c r="F50" s="27"/>
    </row>
    <row r="51" spans="1:6" ht="12" customHeight="1" thickBot="1">
      <c r="A51" s="412" t="s">
        <v>139</v>
      </c>
      <c r="B51" s="16" t="s">
        <v>174</v>
      </c>
      <c r="C51" s="27"/>
      <c r="D51" s="27"/>
      <c r="E51" s="27"/>
      <c r="F51" s="27"/>
    </row>
    <row r="52" spans="1:6" ht="12" customHeight="1" thickBot="1">
      <c r="A52" s="356" t="s">
        <v>15</v>
      </c>
      <c r="B52" s="19" t="s">
        <v>412</v>
      </c>
      <c r="C52" s="513">
        <f>SUM(C53:C55)</f>
        <v>825500</v>
      </c>
      <c r="D52" s="513">
        <f>SUM(D53:D55)</f>
        <v>825500</v>
      </c>
      <c r="E52" s="513">
        <f>SUM(E53:E55)</f>
        <v>825500</v>
      </c>
      <c r="F52" s="513">
        <f>SUM(F53:F55)</f>
        <v>825500</v>
      </c>
    </row>
    <row r="53" spans="1:6" s="207" customFormat="1" ht="12" customHeight="1">
      <c r="A53" s="412" t="s">
        <v>99</v>
      </c>
      <c r="B53" s="18" t="s">
        <v>217</v>
      </c>
      <c r="C53" s="20">
        <v>825500</v>
      </c>
      <c r="D53" s="20">
        <v>825500</v>
      </c>
      <c r="E53" s="20">
        <v>825500</v>
      </c>
      <c r="F53" s="20">
        <v>825500</v>
      </c>
    </row>
    <row r="54" spans="1:6" ht="12" customHeight="1">
      <c r="A54" s="412" t="s">
        <v>100</v>
      </c>
      <c r="B54" s="16" t="s">
        <v>176</v>
      </c>
      <c r="C54" s="27"/>
      <c r="D54" s="27"/>
      <c r="E54" s="27"/>
      <c r="F54" s="27"/>
    </row>
    <row r="55" spans="1:6" ht="12" customHeight="1">
      <c r="A55" s="412" t="s">
        <v>101</v>
      </c>
      <c r="B55" s="16" t="s">
        <v>53</v>
      </c>
      <c r="C55" s="27"/>
      <c r="D55" s="27"/>
      <c r="E55" s="27"/>
      <c r="F55" s="27"/>
    </row>
    <row r="56" spans="1:6" ht="12" customHeight="1" thickBot="1">
      <c r="A56" s="412" t="s">
        <v>102</v>
      </c>
      <c r="B56" s="16" t="s">
        <v>515</v>
      </c>
      <c r="C56" s="27"/>
      <c r="D56" s="27"/>
      <c r="E56" s="27"/>
      <c r="F56" s="27"/>
    </row>
    <row r="57" spans="1:6" ht="15" customHeight="1" thickBot="1">
      <c r="A57" s="356" t="s">
        <v>16</v>
      </c>
      <c r="B57" s="19" t="s">
        <v>10</v>
      </c>
      <c r="C57" s="518"/>
      <c r="D57" s="518"/>
      <c r="E57" s="518"/>
      <c r="F57" s="518"/>
    </row>
    <row r="58" spans="1:6" ht="13.5" thickBot="1">
      <c r="A58" s="356" t="s">
        <v>17</v>
      </c>
      <c r="B58" s="421" t="s">
        <v>520</v>
      </c>
      <c r="C58" s="524">
        <f>+C46+C52+C57</f>
        <v>122988139</v>
      </c>
      <c r="D58" s="524">
        <f>+D46+D52+D57</f>
        <v>131682798</v>
      </c>
      <c r="E58" s="524">
        <f>+E46+E52+E57</f>
        <v>132848502</v>
      </c>
      <c r="F58" s="524">
        <f>+F46+F52+F57</f>
        <v>134510733</v>
      </c>
    </row>
    <row r="59" spans="1:6" ht="15" customHeight="1" thickBot="1">
      <c r="C59" s="29"/>
      <c r="D59" s="29"/>
      <c r="E59" s="29"/>
      <c r="F59" s="29"/>
    </row>
    <row r="60" spans="1:6" ht="14.25" customHeight="1" thickBot="1">
      <c r="A60" s="30" t="s">
        <v>510</v>
      </c>
      <c r="B60" s="31"/>
      <c r="C60" s="32">
        <v>19</v>
      </c>
      <c r="D60" s="32">
        <v>19</v>
      </c>
      <c r="E60" s="32">
        <v>19</v>
      </c>
      <c r="F60" s="32">
        <v>19</v>
      </c>
    </row>
    <row r="61" spans="1:6" ht="13.5" thickBot="1">
      <c r="A61" s="30" t="s">
        <v>194</v>
      </c>
      <c r="B61" s="31"/>
      <c r="C61" s="32"/>
      <c r="D61" s="32"/>
      <c r="E61" s="32"/>
      <c r="F61" s="32"/>
    </row>
  </sheetData>
  <pageMargins left="0.7" right="0.7" top="0.75" bottom="0.75" header="0.3" footer="0.3"/>
  <pageSetup paperSize="9" scale="76" orientation="landscape" r:id="rId1"/>
  <rowBreaks count="1" manualBreakCount="1">
    <brk id="4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70C0"/>
  </sheetPr>
  <dimension ref="A1:F61"/>
  <sheetViews>
    <sheetView zoomScaleNormal="100"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6" width="25" style="9" customWidth="1"/>
    <col min="7" max="16384" width="9.33203125" style="9"/>
  </cols>
  <sheetData>
    <row r="1" spans="1:6" s="100" customFormat="1" ht="21" customHeight="1" thickBot="1">
      <c r="A1" s="1"/>
      <c r="B1" s="408" t="s">
        <v>768</v>
      </c>
      <c r="C1" s="408"/>
      <c r="D1" s="408"/>
      <c r="E1" s="408"/>
      <c r="F1" s="408"/>
    </row>
    <row r="2" spans="1:6" s="103" customFormat="1" ht="25.5" customHeight="1">
      <c r="A2" s="2" t="s">
        <v>192</v>
      </c>
      <c r="B2" s="3" t="s">
        <v>537</v>
      </c>
      <c r="C2" s="510" t="s">
        <v>54</v>
      </c>
      <c r="D2" s="510" t="s">
        <v>54</v>
      </c>
      <c r="E2" s="510" t="s">
        <v>54</v>
      </c>
      <c r="F2" s="510" t="s">
        <v>54</v>
      </c>
    </row>
    <row r="3" spans="1:6" s="103" customFormat="1" ht="24.75" thickBot="1">
      <c r="A3" s="409" t="s">
        <v>191</v>
      </c>
      <c r="B3" s="4" t="s">
        <v>414</v>
      </c>
      <c r="C3" s="511" t="s">
        <v>55</v>
      </c>
      <c r="D3" s="511" t="s">
        <v>55</v>
      </c>
      <c r="E3" s="511" t="s">
        <v>55</v>
      </c>
      <c r="F3" s="511" t="s">
        <v>55</v>
      </c>
    </row>
    <row r="4" spans="1:6" s="106" customFormat="1" ht="15.95" customHeight="1" thickBot="1">
      <c r="A4" s="5"/>
      <c r="B4" s="5"/>
      <c r="C4" s="6" t="s">
        <v>581</v>
      </c>
      <c r="D4" s="6" t="s">
        <v>581</v>
      </c>
      <c r="E4" s="6" t="s">
        <v>581</v>
      </c>
      <c r="F4" s="6" t="s">
        <v>581</v>
      </c>
    </row>
    <row r="5" spans="1:6" ht="24.75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750</v>
      </c>
    </row>
    <row r="6" spans="1:6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5.95" customHeight="1" thickBot="1">
      <c r="A7" s="13"/>
      <c r="B7" s="14" t="s">
        <v>51</v>
      </c>
      <c r="C7" s="512"/>
      <c r="D7" s="512"/>
      <c r="E7" s="512"/>
      <c r="F7" s="512"/>
    </row>
    <row r="8" spans="1:6" s="197" customFormat="1" ht="12" customHeight="1" thickBot="1">
      <c r="A8" s="10" t="s">
        <v>14</v>
      </c>
      <c r="B8" s="410" t="s">
        <v>511</v>
      </c>
      <c r="C8" s="513">
        <f>SUM(C9:C19)</f>
        <v>0</v>
      </c>
      <c r="D8" s="513">
        <f>SUM(D9:D19)</f>
        <v>0</v>
      </c>
      <c r="E8" s="513">
        <f>SUM(E9:E19)</f>
        <v>0</v>
      </c>
      <c r="F8" s="513">
        <f>SUM(F9:F19)</f>
        <v>0</v>
      </c>
    </row>
    <row r="9" spans="1:6" s="197" customFormat="1" ht="12" customHeight="1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2" customHeight="1">
      <c r="A10" s="412" t="s">
        <v>94</v>
      </c>
      <c r="B10" s="16" t="s">
        <v>271</v>
      </c>
      <c r="C10" s="515"/>
      <c r="D10" s="515"/>
      <c r="E10" s="515"/>
      <c r="F10" s="515"/>
    </row>
    <row r="11" spans="1:6" s="197" customFormat="1" ht="12" customHeight="1">
      <c r="A11" s="412" t="s">
        <v>95</v>
      </c>
      <c r="B11" s="16" t="s">
        <v>272</v>
      </c>
      <c r="C11" s="515"/>
      <c r="D11" s="515"/>
      <c r="E11" s="515"/>
      <c r="F11" s="515"/>
    </row>
    <row r="12" spans="1:6" s="197" customFormat="1" ht="12" customHeight="1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2" customHeight="1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2" customHeight="1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2" customHeight="1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2" customHeight="1">
      <c r="A16" s="412" t="s">
        <v>108</v>
      </c>
      <c r="B16" s="16" t="s">
        <v>277</v>
      </c>
      <c r="C16" s="516"/>
      <c r="D16" s="516"/>
      <c r="E16" s="516"/>
      <c r="F16" s="516"/>
    </row>
    <row r="17" spans="1:6" s="199" customFormat="1" ht="12" customHeight="1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2" customHeight="1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2" customHeight="1" thickBot="1">
      <c r="A19" s="412" t="s">
        <v>111</v>
      </c>
      <c r="B19" s="17" t="s">
        <v>279</v>
      </c>
      <c r="C19" s="517"/>
      <c r="D19" s="517"/>
      <c r="E19" s="517"/>
      <c r="F19" s="517"/>
    </row>
    <row r="20" spans="1:6" s="197" customFormat="1" ht="12" customHeight="1" thickBot="1">
      <c r="A20" s="10" t="s">
        <v>15</v>
      </c>
      <c r="B20" s="410" t="s">
        <v>397</v>
      </c>
      <c r="C20" s="513">
        <f>SUM(C21:C23)</f>
        <v>0</v>
      </c>
      <c r="D20" s="513">
        <f>SUM(D21:D23)</f>
        <v>0</v>
      </c>
      <c r="E20" s="513">
        <f>SUM(E21:E23)</f>
        <v>0</v>
      </c>
      <c r="F20" s="513">
        <f>SUM(F21:F23)</f>
        <v>0</v>
      </c>
    </row>
    <row r="21" spans="1:6" s="199" customFormat="1" ht="12" customHeight="1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12" customHeight="1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12" customHeight="1">
      <c r="A23" s="412" t="s">
        <v>101</v>
      </c>
      <c r="B23" s="16" t="s">
        <v>399</v>
      </c>
      <c r="C23" s="515"/>
      <c r="D23" s="515"/>
      <c r="E23" s="515"/>
      <c r="F23" s="515"/>
    </row>
    <row r="24" spans="1:6" s="199" customFormat="1" ht="12" customHeight="1" thickBot="1">
      <c r="A24" s="412" t="s">
        <v>102</v>
      </c>
      <c r="B24" s="16" t="s">
        <v>512</v>
      </c>
      <c r="C24" s="515"/>
      <c r="D24" s="515"/>
      <c r="E24" s="515"/>
      <c r="F24" s="515"/>
    </row>
    <row r="25" spans="1:6" s="199" customFormat="1" ht="12" customHeight="1" thickBot="1">
      <c r="A25" s="356" t="s">
        <v>16</v>
      </c>
      <c r="B25" s="19" t="s">
        <v>163</v>
      </c>
      <c r="C25" s="518"/>
      <c r="D25" s="518"/>
      <c r="E25" s="518"/>
      <c r="F25" s="518"/>
    </row>
    <row r="26" spans="1:6" s="199" customFormat="1" ht="12" customHeight="1" thickBot="1">
      <c r="A26" s="356" t="s">
        <v>17</v>
      </c>
      <c r="B26" s="19" t="s">
        <v>513</v>
      </c>
      <c r="C26" s="513">
        <f>+C27+C28+C29</f>
        <v>0</v>
      </c>
      <c r="D26" s="513">
        <f>+D27+D28+D29</f>
        <v>0</v>
      </c>
      <c r="E26" s="513">
        <f>+E27+E28+E29</f>
        <v>0</v>
      </c>
      <c r="F26" s="513">
        <f>+F27+F28+F29</f>
        <v>0</v>
      </c>
    </row>
    <row r="27" spans="1:6" s="199" customFormat="1" ht="12" customHeight="1">
      <c r="A27" s="413" t="s">
        <v>257</v>
      </c>
      <c r="B27" s="414" t="s">
        <v>252</v>
      </c>
      <c r="C27" s="20"/>
      <c r="D27" s="20"/>
      <c r="E27" s="20"/>
      <c r="F27" s="20"/>
    </row>
    <row r="28" spans="1:6" s="199" customFormat="1" ht="12" customHeight="1">
      <c r="A28" s="413" t="s">
        <v>260</v>
      </c>
      <c r="B28" s="414" t="s">
        <v>398</v>
      </c>
      <c r="C28" s="515"/>
      <c r="D28" s="515"/>
      <c r="E28" s="515"/>
      <c r="F28" s="515"/>
    </row>
    <row r="29" spans="1:6" s="199" customFormat="1" ht="12" customHeight="1">
      <c r="A29" s="413" t="s">
        <v>261</v>
      </c>
      <c r="B29" s="415" t="s">
        <v>401</v>
      </c>
      <c r="C29" s="515"/>
      <c r="D29" s="515"/>
      <c r="E29" s="515"/>
      <c r="F29" s="515"/>
    </row>
    <row r="30" spans="1:6" s="199" customFormat="1" ht="12" customHeight="1" thickBot="1">
      <c r="A30" s="412" t="s">
        <v>262</v>
      </c>
      <c r="B30" s="416" t="s">
        <v>514</v>
      </c>
      <c r="C30" s="21"/>
      <c r="D30" s="21"/>
      <c r="E30" s="21"/>
      <c r="F30" s="21"/>
    </row>
    <row r="31" spans="1:6" s="199" customFormat="1" ht="12" customHeight="1" thickBot="1">
      <c r="A31" s="356" t="s">
        <v>18</v>
      </c>
      <c r="B31" s="19" t="s">
        <v>402</v>
      </c>
      <c r="C31" s="513">
        <f>+C32+C33+C34</f>
        <v>0</v>
      </c>
      <c r="D31" s="513">
        <f>+D32+D33+D34</f>
        <v>0</v>
      </c>
      <c r="E31" s="513">
        <f>+E32+E33+E34</f>
        <v>0</v>
      </c>
      <c r="F31" s="513">
        <f>+F32+F33+F34</f>
        <v>0</v>
      </c>
    </row>
    <row r="32" spans="1:6" s="199" customFormat="1" ht="12" customHeight="1">
      <c r="A32" s="413" t="s">
        <v>86</v>
      </c>
      <c r="B32" s="414" t="s">
        <v>284</v>
      </c>
      <c r="C32" s="20"/>
      <c r="D32" s="20"/>
      <c r="E32" s="20"/>
      <c r="F32" s="20"/>
    </row>
    <row r="33" spans="1:6" s="199" customFormat="1" ht="12" customHeight="1">
      <c r="A33" s="413" t="s">
        <v>87</v>
      </c>
      <c r="B33" s="415" t="s">
        <v>285</v>
      </c>
      <c r="C33" s="519"/>
      <c r="D33" s="519"/>
      <c r="E33" s="519"/>
      <c r="F33" s="519"/>
    </row>
    <row r="34" spans="1:6" s="199" customFormat="1" ht="12" customHeight="1" thickBot="1">
      <c r="A34" s="412" t="s">
        <v>88</v>
      </c>
      <c r="B34" s="416" t="s">
        <v>286</v>
      </c>
      <c r="C34" s="21"/>
      <c r="D34" s="21"/>
      <c r="E34" s="21"/>
      <c r="F34" s="21"/>
    </row>
    <row r="35" spans="1:6" s="197" customFormat="1" ht="12" customHeight="1" thickBot="1">
      <c r="A35" s="356" t="s">
        <v>19</v>
      </c>
      <c r="B35" s="19" t="s">
        <v>371</v>
      </c>
      <c r="C35" s="518"/>
      <c r="D35" s="518"/>
      <c r="E35" s="518"/>
      <c r="F35" s="518"/>
    </row>
    <row r="36" spans="1:6" s="197" customFormat="1" ht="12" customHeight="1" thickBot="1">
      <c r="A36" s="356" t="s">
        <v>20</v>
      </c>
      <c r="B36" s="19" t="s">
        <v>403</v>
      </c>
      <c r="C36" s="520"/>
      <c r="D36" s="520"/>
      <c r="E36" s="520"/>
      <c r="F36" s="520"/>
    </row>
    <row r="37" spans="1:6" s="197" customFormat="1" ht="12" customHeight="1" thickBot="1">
      <c r="A37" s="10" t="s">
        <v>21</v>
      </c>
      <c r="B37" s="19" t="s">
        <v>404</v>
      </c>
      <c r="C37" s="521">
        <f>+C8+C20+C25+C26+C31+C35+C36</f>
        <v>0</v>
      </c>
      <c r="D37" s="521">
        <f>+D8+D20+D25+D26+D31+D35+D36</f>
        <v>0</v>
      </c>
      <c r="E37" s="521">
        <f>+E8+E20+E25+E26+E31+E35+E36</f>
        <v>0</v>
      </c>
      <c r="F37" s="521">
        <f>+F8+F20+F25+F26+F31+F35+F36</f>
        <v>0</v>
      </c>
    </row>
    <row r="38" spans="1:6" s="197" customFormat="1" ht="12" customHeight="1" thickBot="1">
      <c r="A38" s="417" t="s">
        <v>22</v>
      </c>
      <c r="B38" s="19" t="s">
        <v>405</v>
      </c>
      <c r="C38" s="521">
        <f>+C39+C40+C41</f>
        <v>0</v>
      </c>
      <c r="D38" s="521">
        <f>+D39+D40+D41</f>
        <v>0</v>
      </c>
      <c r="E38" s="521">
        <f>+E39+E40+E41</f>
        <v>0</v>
      </c>
      <c r="F38" s="521">
        <f>+F39+F40+F41</f>
        <v>0</v>
      </c>
    </row>
    <row r="39" spans="1:6" s="197" customFormat="1" ht="12" customHeight="1">
      <c r="A39" s="413" t="s">
        <v>406</v>
      </c>
      <c r="B39" s="414" t="s">
        <v>226</v>
      </c>
      <c r="C39" s="20"/>
      <c r="D39" s="20"/>
      <c r="E39" s="20"/>
      <c r="F39" s="20"/>
    </row>
    <row r="40" spans="1:6" s="197" customFormat="1" ht="12" customHeight="1">
      <c r="A40" s="413" t="s">
        <v>407</v>
      </c>
      <c r="B40" s="415" t="s">
        <v>0</v>
      </c>
      <c r="C40" s="519"/>
      <c r="D40" s="519"/>
      <c r="E40" s="519"/>
      <c r="F40" s="519"/>
    </row>
    <row r="41" spans="1:6" s="199" customFormat="1" ht="12" customHeight="1" thickBot="1">
      <c r="A41" s="412" t="s">
        <v>408</v>
      </c>
      <c r="B41" s="416" t="s">
        <v>409</v>
      </c>
      <c r="C41" s="21"/>
      <c r="D41" s="21"/>
      <c r="E41" s="21"/>
      <c r="F41" s="21"/>
    </row>
    <row r="42" spans="1:6" s="199" customFormat="1" ht="15" customHeight="1" thickBot="1">
      <c r="A42" s="417" t="s">
        <v>23</v>
      </c>
      <c r="B42" s="418" t="s">
        <v>410</v>
      </c>
      <c r="C42" s="522">
        <f>+C37+C38</f>
        <v>0</v>
      </c>
      <c r="D42" s="522">
        <f>+D37+D38</f>
        <v>0</v>
      </c>
      <c r="E42" s="522">
        <f>+E37+E38</f>
        <v>0</v>
      </c>
      <c r="F42" s="522">
        <f>+F37+F38</f>
        <v>0</v>
      </c>
    </row>
    <row r="43" spans="1:6" s="199" customFormat="1" ht="15" customHeight="1">
      <c r="A43" s="22"/>
      <c r="B43" s="23"/>
      <c r="C43" s="24"/>
      <c r="D43" s="24"/>
      <c r="E43" s="24"/>
      <c r="F43" s="24"/>
    </row>
    <row r="44" spans="1:6" ht="13.5" thickBot="1">
      <c r="A44" s="419"/>
      <c r="B44" s="420"/>
      <c r="C44" s="523"/>
      <c r="D44" s="523"/>
      <c r="E44" s="523"/>
      <c r="F44" s="523"/>
    </row>
    <row r="45" spans="1:6" s="107" customFormat="1" ht="16.5" customHeight="1" thickBot="1">
      <c r="A45" s="25"/>
      <c r="B45" s="26" t="s">
        <v>52</v>
      </c>
      <c r="C45" s="522"/>
      <c r="D45" s="522"/>
      <c r="E45" s="522"/>
      <c r="F45" s="522"/>
    </row>
    <row r="46" spans="1:6" s="207" customFormat="1" ht="12" customHeight="1" thickBot="1">
      <c r="A46" s="356" t="s">
        <v>14</v>
      </c>
      <c r="B46" s="19" t="s">
        <v>411</v>
      </c>
      <c r="C46" s="513">
        <f>SUM(C47:C51)</f>
        <v>0</v>
      </c>
      <c r="D46" s="513">
        <f>SUM(D47:D51)</f>
        <v>0</v>
      </c>
      <c r="E46" s="513">
        <f>SUM(E47:E51)</f>
        <v>0</v>
      </c>
      <c r="F46" s="513">
        <f>SUM(F47:F51)</f>
        <v>0</v>
      </c>
    </row>
    <row r="47" spans="1:6" ht="12" customHeight="1">
      <c r="A47" s="412" t="s">
        <v>93</v>
      </c>
      <c r="B47" s="18" t="s">
        <v>44</v>
      </c>
      <c r="C47" s="20"/>
      <c r="D47" s="20"/>
      <c r="E47" s="20"/>
      <c r="F47" s="20"/>
    </row>
    <row r="48" spans="1:6" ht="12" customHeight="1">
      <c r="A48" s="412" t="s">
        <v>94</v>
      </c>
      <c r="B48" s="16" t="s">
        <v>172</v>
      </c>
      <c r="C48" s="27"/>
      <c r="D48" s="27"/>
      <c r="E48" s="27"/>
      <c r="F48" s="27"/>
    </row>
    <row r="49" spans="1:6" ht="12" customHeight="1">
      <c r="A49" s="412" t="s">
        <v>95</v>
      </c>
      <c r="B49" s="16" t="s">
        <v>131</v>
      </c>
      <c r="C49" s="27"/>
      <c r="D49" s="27"/>
      <c r="E49" s="27"/>
      <c r="F49" s="27"/>
    </row>
    <row r="50" spans="1:6" ht="12" customHeight="1">
      <c r="A50" s="412" t="s">
        <v>96</v>
      </c>
      <c r="B50" s="16" t="s">
        <v>173</v>
      </c>
      <c r="C50" s="27"/>
      <c r="D50" s="27"/>
      <c r="E50" s="27"/>
      <c r="F50" s="27"/>
    </row>
    <row r="51" spans="1:6" ht="12" customHeight="1" thickBot="1">
      <c r="A51" s="412" t="s">
        <v>139</v>
      </c>
      <c r="B51" s="16" t="s">
        <v>174</v>
      </c>
      <c r="C51" s="27"/>
      <c r="D51" s="27"/>
      <c r="E51" s="27"/>
      <c r="F51" s="27"/>
    </row>
    <row r="52" spans="1:6" ht="12" customHeight="1" thickBot="1">
      <c r="A52" s="356" t="s">
        <v>15</v>
      </c>
      <c r="B52" s="19" t="s">
        <v>412</v>
      </c>
      <c r="C52" s="513">
        <f>SUM(C53:C55)</f>
        <v>0</v>
      </c>
      <c r="D52" s="513">
        <f>SUM(D53:D55)</f>
        <v>0</v>
      </c>
      <c r="E52" s="513">
        <f>SUM(E53:E55)</f>
        <v>0</v>
      </c>
      <c r="F52" s="513">
        <f>SUM(F53:F55)</f>
        <v>0</v>
      </c>
    </row>
    <row r="53" spans="1:6" s="207" customFormat="1" ht="12" customHeight="1">
      <c r="A53" s="412" t="s">
        <v>99</v>
      </c>
      <c r="B53" s="18" t="s">
        <v>217</v>
      </c>
      <c r="C53" s="20"/>
      <c r="D53" s="20"/>
      <c r="E53" s="20"/>
      <c r="F53" s="20"/>
    </row>
    <row r="54" spans="1:6" ht="12" customHeight="1">
      <c r="A54" s="412" t="s">
        <v>100</v>
      </c>
      <c r="B54" s="16" t="s">
        <v>176</v>
      </c>
      <c r="C54" s="27"/>
      <c r="D54" s="27"/>
      <c r="E54" s="27"/>
      <c r="F54" s="27"/>
    </row>
    <row r="55" spans="1:6" ht="12" customHeight="1">
      <c r="A55" s="412" t="s">
        <v>101</v>
      </c>
      <c r="B55" s="16" t="s">
        <v>53</v>
      </c>
      <c r="C55" s="27"/>
      <c r="D55" s="27"/>
      <c r="E55" s="27"/>
      <c r="F55" s="27"/>
    </row>
    <row r="56" spans="1:6" ht="12" customHeight="1" thickBot="1">
      <c r="A56" s="412" t="s">
        <v>102</v>
      </c>
      <c r="B56" s="16" t="s">
        <v>515</v>
      </c>
      <c r="C56" s="27"/>
      <c r="D56" s="27"/>
      <c r="E56" s="27"/>
      <c r="F56" s="27"/>
    </row>
    <row r="57" spans="1:6" ht="15" customHeight="1" thickBot="1">
      <c r="A57" s="356" t="s">
        <v>16</v>
      </c>
      <c r="B57" s="19" t="s">
        <v>10</v>
      </c>
      <c r="C57" s="518"/>
      <c r="D57" s="518"/>
      <c r="E57" s="518"/>
      <c r="F57" s="518"/>
    </row>
    <row r="58" spans="1:6" ht="13.5" thickBot="1">
      <c r="A58" s="356" t="s">
        <v>17</v>
      </c>
      <c r="B58" s="421" t="s">
        <v>520</v>
      </c>
      <c r="C58" s="524">
        <f>+C46+C52+C57</f>
        <v>0</v>
      </c>
      <c r="D58" s="524">
        <f>+D46+D52+D57</f>
        <v>0</v>
      </c>
      <c r="E58" s="524">
        <f>+E46+E52+E57</f>
        <v>0</v>
      </c>
      <c r="F58" s="524">
        <f>+F46+F52+F57</f>
        <v>0</v>
      </c>
    </row>
    <row r="59" spans="1:6" ht="15" customHeight="1" thickBot="1">
      <c r="C59" s="29"/>
      <c r="D59" s="29"/>
      <c r="E59" s="29"/>
      <c r="F59" s="29"/>
    </row>
    <row r="60" spans="1:6" ht="14.25" customHeight="1" thickBot="1">
      <c r="A60" s="30" t="s">
        <v>510</v>
      </c>
      <c r="B60" s="31"/>
      <c r="C60" s="32"/>
      <c r="D60" s="32"/>
      <c r="E60" s="32"/>
      <c r="F60" s="32"/>
    </row>
    <row r="61" spans="1:6" ht="13.5" thickBot="1">
      <c r="A61" s="30" t="s">
        <v>194</v>
      </c>
      <c r="B61" s="31"/>
      <c r="C61" s="32"/>
      <c r="D61" s="32"/>
      <c r="E61" s="32"/>
      <c r="F61" s="32"/>
    </row>
  </sheetData>
  <pageMargins left="0.7" right="0.7" top="0.75" bottom="0.75" header="0.3" footer="0.3"/>
  <pageSetup paperSize="9" scale="76" orientation="landscape" r:id="rId1"/>
  <rowBreaks count="1" manualBreakCount="1">
    <brk id="4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70C0"/>
  </sheetPr>
  <dimension ref="A1:F61"/>
  <sheetViews>
    <sheetView zoomScaleNormal="100"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6" width="25" style="9" customWidth="1"/>
    <col min="7" max="16384" width="9.33203125" style="9"/>
  </cols>
  <sheetData>
    <row r="1" spans="1:6" s="100" customFormat="1" ht="21" customHeight="1" thickBot="1">
      <c r="A1" s="1"/>
      <c r="B1" s="408" t="s">
        <v>769</v>
      </c>
      <c r="C1" s="408"/>
      <c r="D1" s="408"/>
      <c r="E1" s="408"/>
      <c r="F1" s="408"/>
    </row>
    <row r="2" spans="1:6" s="103" customFormat="1" ht="33" customHeight="1">
      <c r="A2" s="2" t="s">
        <v>192</v>
      </c>
      <c r="B2" s="3" t="s">
        <v>537</v>
      </c>
      <c r="C2" s="510" t="s">
        <v>54</v>
      </c>
      <c r="D2" s="510" t="s">
        <v>54</v>
      </c>
      <c r="E2" s="510" t="s">
        <v>54</v>
      </c>
      <c r="F2" s="510" t="s">
        <v>54</v>
      </c>
    </row>
    <row r="3" spans="1:6" s="103" customFormat="1" ht="24.75" thickBot="1">
      <c r="A3" s="409" t="s">
        <v>191</v>
      </c>
      <c r="B3" s="4" t="s">
        <v>521</v>
      </c>
      <c r="C3" s="511" t="s">
        <v>425</v>
      </c>
      <c r="D3" s="511" t="s">
        <v>425</v>
      </c>
      <c r="E3" s="511" t="s">
        <v>425</v>
      </c>
      <c r="F3" s="511" t="s">
        <v>425</v>
      </c>
    </row>
    <row r="4" spans="1:6" s="106" customFormat="1" ht="15.95" customHeight="1" thickBot="1">
      <c r="A4" s="5"/>
      <c r="B4" s="5"/>
      <c r="C4" s="6" t="s">
        <v>581</v>
      </c>
      <c r="D4" s="6" t="s">
        <v>581</v>
      </c>
      <c r="E4" s="6" t="s">
        <v>581</v>
      </c>
      <c r="F4" s="6" t="s">
        <v>581</v>
      </c>
    </row>
    <row r="5" spans="1:6" ht="24.75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750</v>
      </c>
    </row>
    <row r="6" spans="1:6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5.95" customHeight="1" thickBot="1">
      <c r="A7" s="13"/>
      <c r="B7" s="14" t="s">
        <v>51</v>
      </c>
      <c r="C7" s="512"/>
      <c r="D7" s="512"/>
      <c r="E7" s="512"/>
      <c r="F7" s="512"/>
    </row>
    <row r="8" spans="1:6" s="197" customFormat="1" ht="12" customHeight="1" thickBot="1">
      <c r="A8" s="10" t="s">
        <v>14</v>
      </c>
      <c r="B8" s="410" t="s">
        <v>511</v>
      </c>
      <c r="C8" s="513">
        <f>SUM(C9:C19)</f>
        <v>0</v>
      </c>
      <c r="D8" s="513">
        <f>SUM(D9:D19)</f>
        <v>0</v>
      </c>
      <c r="E8" s="513">
        <f>SUM(E9:E19)</f>
        <v>0</v>
      </c>
      <c r="F8" s="513">
        <f>SUM(F9:F19)</f>
        <v>0</v>
      </c>
    </row>
    <row r="9" spans="1:6" s="197" customFormat="1" ht="12" customHeight="1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2" customHeight="1">
      <c r="A10" s="412" t="s">
        <v>94</v>
      </c>
      <c r="B10" s="16" t="s">
        <v>271</v>
      </c>
      <c r="C10" s="515"/>
      <c r="D10" s="515"/>
      <c r="E10" s="515"/>
      <c r="F10" s="515"/>
    </row>
    <row r="11" spans="1:6" s="197" customFormat="1" ht="12" customHeight="1">
      <c r="A11" s="412" t="s">
        <v>95</v>
      </c>
      <c r="B11" s="16" t="s">
        <v>272</v>
      </c>
      <c r="C11" s="515"/>
      <c r="D11" s="515"/>
      <c r="E11" s="515"/>
      <c r="F11" s="515"/>
    </row>
    <row r="12" spans="1:6" s="197" customFormat="1" ht="12" customHeight="1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2" customHeight="1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2" customHeight="1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2" customHeight="1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2" customHeight="1">
      <c r="A16" s="412" t="s">
        <v>108</v>
      </c>
      <c r="B16" s="16" t="s">
        <v>277</v>
      </c>
      <c r="C16" s="516"/>
      <c r="D16" s="516"/>
      <c r="E16" s="516"/>
      <c r="F16" s="516"/>
    </row>
    <row r="17" spans="1:6" s="199" customFormat="1" ht="12" customHeight="1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2" customHeight="1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2" customHeight="1" thickBot="1">
      <c r="A19" s="412" t="s">
        <v>111</v>
      </c>
      <c r="B19" s="17" t="s">
        <v>279</v>
      </c>
      <c r="C19" s="517"/>
      <c r="D19" s="517"/>
      <c r="E19" s="517"/>
      <c r="F19" s="517"/>
    </row>
    <row r="20" spans="1:6" s="197" customFormat="1" ht="12" customHeight="1" thickBot="1">
      <c r="A20" s="10" t="s">
        <v>15</v>
      </c>
      <c r="B20" s="410" t="s">
        <v>397</v>
      </c>
      <c r="C20" s="513">
        <f>SUM(C21:C23)</f>
        <v>0</v>
      </c>
      <c r="D20" s="513">
        <f>SUM(D21:D23)</f>
        <v>0</v>
      </c>
      <c r="E20" s="513">
        <f>SUM(E21:E23)</f>
        <v>0</v>
      </c>
      <c r="F20" s="513">
        <f>SUM(F21:F23)</f>
        <v>0</v>
      </c>
    </row>
    <row r="21" spans="1:6" s="199" customFormat="1" ht="12" customHeight="1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12" customHeight="1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12" customHeight="1">
      <c r="A23" s="412" t="s">
        <v>101</v>
      </c>
      <c r="B23" s="16" t="s">
        <v>399</v>
      </c>
      <c r="C23" s="515"/>
      <c r="D23" s="515"/>
      <c r="E23" s="515"/>
      <c r="F23" s="515"/>
    </row>
    <row r="24" spans="1:6" s="199" customFormat="1" ht="12" customHeight="1" thickBot="1">
      <c r="A24" s="412" t="s">
        <v>102</v>
      </c>
      <c r="B24" s="16" t="s">
        <v>512</v>
      </c>
      <c r="C24" s="515"/>
      <c r="D24" s="515"/>
      <c r="E24" s="515"/>
      <c r="F24" s="515"/>
    </row>
    <row r="25" spans="1:6" s="199" customFormat="1" ht="12" customHeight="1" thickBot="1">
      <c r="A25" s="356" t="s">
        <v>16</v>
      </c>
      <c r="B25" s="19" t="s">
        <v>163</v>
      </c>
      <c r="C25" s="518"/>
      <c r="D25" s="518"/>
      <c r="E25" s="518"/>
      <c r="F25" s="518"/>
    </row>
    <row r="26" spans="1:6" s="199" customFormat="1" ht="12" customHeight="1" thickBot="1">
      <c r="A26" s="356" t="s">
        <v>17</v>
      </c>
      <c r="B26" s="19" t="s">
        <v>513</v>
      </c>
      <c r="C26" s="513">
        <f>+C27+C28+C29</f>
        <v>0</v>
      </c>
      <c r="D26" s="513">
        <f>+D27+D28+D29</f>
        <v>0</v>
      </c>
      <c r="E26" s="513">
        <f>+E27+E28+E29</f>
        <v>0</v>
      </c>
      <c r="F26" s="513">
        <f>+F27+F28+F29</f>
        <v>0</v>
      </c>
    </row>
    <row r="27" spans="1:6" s="199" customFormat="1" ht="12" customHeight="1">
      <c r="A27" s="413" t="s">
        <v>257</v>
      </c>
      <c r="B27" s="414" t="s">
        <v>252</v>
      </c>
      <c r="C27" s="20"/>
      <c r="D27" s="20"/>
      <c r="E27" s="20"/>
      <c r="F27" s="20"/>
    </row>
    <row r="28" spans="1:6" s="199" customFormat="1" ht="12" customHeight="1">
      <c r="A28" s="413" t="s">
        <v>260</v>
      </c>
      <c r="B28" s="414" t="s">
        <v>398</v>
      </c>
      <c r="C28" s="515"/>
      <c r="D28" s="515"/>
      <c r="E28" s="515"/>
      <c r="F28" s="515"/>
    </row>
    <row r="29" spans="1:6" s="199" customFormat="1" ht="12" customHeight="1">
      <c r="A29" s="413" t="s">
        <v>261</v>
      </c>
      <c r="B29" s="415" t="s">
        <v>401</v>
      </c>
      <c r="C29" s="515"/>
      <c r="D29" s="515"/>
      <c r="E29" s="515"/>
      <c r="F29" s="515"/>
    </row>
    <row r="30" spans="1:6" s="199" customFormat="1" ht="12" customHeight="1" thickBot="1">
      <c r="A30" s="412" t="s">
        <v>262</v>
      </c>
      <c r="B30" s="416" t="s">
        <v>514</v>
      </c>
      <c r="C30" s="21"/>
      <c r="D30" s="21"/>
      <c r="E30" s="21"/>
      <c r="F30" s="21"/>
    </row>
    <row r="31" spans="1:6" s="199" customFormat="1" ht="12" customHeight="1" thickBot="1">
      <c r="A31" s="356" t="s">
        <v>18</v>
      </c>
      <c r="B31" s="19" t="s">
        <v>402</v>
      </c>
      <c r="C31" s="513">
        <f>+C32+C33+C34</f>
        <v>0</v>
      </c>
      <c r="D31" s="513">
        <f>+D32+D33+D34</f>
        <v>0</v>
      </c>
      <c r="E31" s="513">
        <f>+E32+E33+E34</f>
        <v>0</v>
      </c>
      <c r="F31" s="513">
        <f>+F32+F33+F34</f>
        <v>0</v>
      </c>
    </row>
    <row r="32" spans="1:6" s="199" customFormat="1" ht="12" customHeight="1">
      <c r="A32" s="413" t="s">
        <v>86</v>
      </c>
      <c r="B32" s="414" t="s">
        <v>284</v>
      </c>
      <c r="C32" s="20"/>
      <c r="D32" s="20"/>
      <c r="E32" s="20"/>
      <c r="F32" s="20"/>
    </row>
    <row r="33" spans="1:6" s="199" customFormat="1" ht="12" customHeight="1">
      <c r="A33" s="413" t="s">
        <v>87</v>
      </c>
      <c r="B33" s="415" t="s">
        <v>285</v>
      </c>
      <c r="C33" s="519"/>
      <c r="D33" s="519"/>
      <c r="E33" s="519"/>
      <c r="F33" s="519"/>
    </row>
    <row r="34" spans="1:6" s="199" customFormat="1" ht="12" customHeight="1" thickBot="1">
      <c r="A34" s="412" t="s">
        <v>88</v>
      </c>
      <c r="B34" s="416" t="s">
        <v>286</v>
      </c>
      <c r="C34" s="21"/>
      <c r="D34" s="21"/>
      <c r="E34" s="21"/>
      <c r="F34" s="21"/>
    </row>
    <row r="35" spans="1:6" s="197" customFormat="1" ht="12" customHeight="1" thickBot="1">
      <c r="A35" s="356" t="s">
        <v>19</v>
      </c>
      <c r="B35" s="19" t="s">
        <v>371</v>
      </c>
      <c r="C35" s="518"/>
      <c r="D35" s="518"/>
      <c r="E35" s="518"/>
      <c r="F35" s="518"/>
    </row>
    <row r="36" spans="1:6" s="197" customFormat="1" ht="12" customHeight="1" thickBot="1">
      <c r="A36" s="356" t="s">
        <v>20</v>
      </c>
      <c r="B36" s="19" t="s">
        <v>403</v>
      </c>
      <c r="C36" s="520"/>
      <c r="D36" s="520"/>
      <c r="E36" s="520"/>
      <c r="F36" s="520"/>
    </row>
    <row r="37" spans="1:6" s="197" customFormat="1" ht="12" customHeight="1" thickBot="1">
      <c r="A37" s="10" t="s">
        <v>21</v>
      </c>
      <c r="B37" s="19" t="s">
        <v>404</v>
      </c>
      <c r="C37" s="521">
        <f>+C8+C20+C25+C26+C31+C35+C36</f>
        <v>0</v>
      </c>
      <c r="D37" s="521">
        <f>+D8+D20+D25+D26+D31+D35+D36</f>
        <v>0</v>
      </c>
      <c r="E37" s="521">
        <f>+E8+E20+E25+E26+E31+E35+E36</f>
        <v>0</v>
      </c>
      <c r="F37" s="521">
        <f>+F8+F20+F25+F26+F31+F35+F36</f>
        <v>0</v>
      </c>
    </row>
    <row r="38" spans="1:6" s="197" customFormat="1" ht="12" customHeight="1" thickBot="1">
      <c r="A38" s="417" t="s">
        <v>22</v>
      </c>
      <c r="B38" s="19" t="s">
        <v>405</v>
      </c>
      <c r="C38" s="521">
        <f>+C39+C40+C41</f>
        <v>0</v>
      </c>
      <c r="D38" s="521">
        <f>+D39+D40+D41</f>
        <v>0</v>
      </c>
      <c r="E38" s="521">
        <f>+E39+E40+E41</f>
        <v>0</v>
      </c>
      <c r="F38" s="521">
        <f>+F39+F40+F41</f>
        <v>0</v>
      </c>
    </row>
    <row r="39" spans="1:6" s="197" customFormat="1" ht="12" customHeight="1">
      <c r="A39" s="413" t="s">
        <v>406</v>
      </c>
      <c r="B39" s="414" t="s">
        <v>226</v>
      </c>
      <c r="C39" s="20"/>
      <c r="D39" s="20"/>
      <c r="E39" s="20"/>
      <c r="F39" s="20"/>
    </row>
    <row r="40" spans="1:6" s="197" customFormat="1" ht="12" customHeight="1">
      <c r="A40" s="413" t="s">
        <v>407</v>
      </c>
      <c r="B40" s="415" t="s">
        <v>0</v>
      </c>
      <c r="C40" s="519"/>
      <c r="D40" s="519"/>
      <c r="E40" s="519"/>
      <c r="F40" s="519"/>
    </row>
    <row r="41" spans="1:6" s="199" customFormat="1" ht="12" customHeight="1" thickBot="1">
      <c r="A41" s="412" t="s">
        <v>408</v>
      </c>
      <c r="B41" s="416" t="s">
        <v>409</v>
      </c>
      <c r="C41" s="21"/>
      <c r="D41" s="21"/>
      <c r="E41" s="21"/>
      <c r="F41" s="21"/>
    </row>
    <row r="42" spans="1:6" s="199" customFormat="1" ht="15" customHeight="1" thickBot="1">
      <c r="A42" s="417" t="s">
        <v>23</v>
      </c>
      <c r="B42" s="418" t="s">
        <v>410</v>
      </c>
      <c r="C42" s="522">
        <f>+C37+C38</f>
        <v>0</v>
      </c>
      <c r="D42" s="522">
        <f>+D37+D38</f>
        <v>0</v>
      </c>
      <c r="E42" s="522">
        <f>+E37+E38</f>
        <v>0</v>
      </c>
      <c r="F42" s="522">
        <f>+F37+F38</f>
        <v>0</v>
      </c>
    </row>
    <row r="43" spans="1:6" s="199" customFormat="1" ht="15" customHeight="1">
      <c r="A43" s="22"/>
      <c r="B43" s="23"/>
      <c r="C43" s="24"/>
      <c r="D43" s="24"/>
      <c r="E43" s="24"/>
      <c r="F43" s="24"/>
    </row>
    <row r="44" spans="1:6" ht="13.5" thickBot="1">
      <c r="A44" s="419"/>
      <c r="B44" s="420"/>
      <c r="C44" s="523"/>
      <c r="D44" s="523"/>
      <c r="E44" s="523"/>
      <c r="F44" s="523"/>
    </row>
    <row r="45" spans="1:6" s="107" customFormat="1" ht="16.5" customHeight="1" thickBot="1">
      <c r="A45" s="25"/>
      <c r="B45" s="26" t="s">
        <v>52</v>
      </c>
      <c r="C45" s="522"/>
      <c r="D45" s="522"/>
      <c r="E45" s="522"/>
      <c r="F45" s="522"/>
    </row>
    <row r="46" spans="1:6" s="207" customFormat="1" ht="12" customHeight="1" thickBot="1">
      <c r="A46" s="356" t="s">
        <v>14</v>
      </c>
      <c r="B46" s="19" t="s">
        <v>411</v>
      </c>
      <c r="C46" s="513">
        <f>SUM(C47:C51)</f>
        <v>0</v>
      </c>
      <c r="D46" s="513">
        <f>SUM(D47:D51)</f>
        <v>0</v>
      </c>
      <c r="E46" s="513">
        <f>SUM(E47:E51)</f>
        <v>0</v>
      </c>
      <c r="F46" s="513">
        <f>SUM(F47:F51)</f>
        <v>0</v>
      </c>
    </row>
    <row r="47" spans="1:6" ht="12" customHeight="1">
      <c r="A47" s="412" t="s">
        <v>93</v>
      </c>
      <c r="B47" s="18" t="s">
        <v>44</v>
      </c>
      <c r="C47" s="20"/>
      <c r="D47" s="20"/>
      <c r="E47" s="20"/>
      <c r="F47" s="20"/>
    </row>
    <row r="48" spans="1:6" ht="12" customHeight="1">
      <c r="A48" s="412" t="s">
        <v>94</v>
      </c>
      <c r="B48" s="16" t="s">
        <v>172</v>
      </c>
      <c r="C48" s="27"/>
      <c r="D48" s="27"/>
      <c r="E48" s="27"/>
      <c r="F48" s="27"/>
    </row>
    <row r="49" spans="1:6" ht="12" customHeight="1">
      <c r="A49" s="412" t="s">
        <v>95</v>
      </c>
      <c r="B49" s="16" t="s">
        <v>131</v>
      </c>
      <c r="C49" s="27"/>
      <c r="D49" s="27"/>
      <c r="E49" s="27"/>
      <c r="F49" s="27"/>
    </row>
    <row r="50" spans="1:6" ht="12" customHeight="1">
      <c r="A50" s="412" t="s">
        <v>96</v>
      </c>
      <c r="B50" s="16" t="s">
        <v>173</v>
      </c>
      <c r="C50" s="27"/>
      <c r="D50" s="27"/>
      <c r="E50" s="27"/>
      <c r="F50" s="27"/>
    </row>
    <row r="51" spans="1:6" ht="12" customHeight="1" thickBot="1">
      <c r="A51" s="412" t="s">
        <v>139</v>
      </c>
      <c r="B51" s="16" t="s">
        <v>174</v>
      </c>
      <c r="C51" s="27"/>
      <c r="D51" s="27"/>
      <c r="E51" s="27"/>
      <c r="F51" s="27"/>
    </row>
    <row r="52" spans="1:6" ht="12" customHeight="1" thickBot="1">
      <c r="A52" s="356" t="s">
        <v>15</v>
      </c>
      <c r="B52" s="19" t="s">
        <v>412</v>
      </c>
      <c r="C52" s="513">
        <f>SUM(C53:C55)</f>
        <v>0</v>
      </c>
      <c r="D52" s="513">
        <f>SUM(D53:D55)</f>
        <v>0</v>
      </c>
      <c r="E52" s="513">
        <f>SUM(E53:E55)</f>
        <v>0</v>
      </c>
      <c r="F52" s="513">
        <f>SUM(F53:F55)</f>
        <v>0</v>
      </c>
    </row>
    <row r="53" spans="1:6" s="207" customFormat="1" ht="12" customHeight="1">
      <c r="A53" s="412" t="s">
        <v>99</v>
      </c>
      <c r="B53" s="18" t="s">
        <v>217</v>
      </c>
      <c r="C53" s="20"/>
      <c r="D53" s="20"/>
      <c r="E53" s="20"/>
      <c r="F53" s="20"/>
    </row>
    <row r="54" spans="1:6" ht="12" customHeight="1">
      <c r="A54" s="412" t="s">
        <v>100</v>
      </c>
      <c r="B54" s="16" t="s">
        <v>176</v>
      </c>
      <c r="C54" s="27"/>
      <c r="D54" s="27"/>
      <c r="E54" s="27"/>
      <c r="F54" s="27"/>
    </row>
    <row r="55" spans="1:6" ht="12" customHeight="1">
      <c r="A55" s="412" t="s">
        <v>101</v>
      </c>
      <c r="B55" s="16" t="s">
        <v>53</v>
      </c>
      <c r="C55" s="27"/>
      <c r="D55" s="27"/>
      <c r="E55" s="27"/>
      <c r="F55" s="27"/>
    </row>
    <row r="56" spans="1:6" ht="12" customHeight="1" thickBot="1">
      <c r="A56" s="412" t="s">
        <v>102</v>
      </c>
      <c r="B56" s="16" t="s">
        <v>515</v>
      </c>
      <c r="C56" s="27"/>
      <c r="D56" s="27"/>
      <c r="E56" s="27"/>
      <c r="F56" s="27"/>
    </row>
    <row r="57" spans="1:6" ht="15" customHeight="1" thickBot="1">
      <c r="A57" s="356" t="s">
        <v>16</v>
      </c>
      <c r="B57" s="19" t="s">
        <v>10</v>
      </c>
      <c r="C57" s="518"/>
      <c r="D57" s="518"/>
      <c r="E57" s="518"/>
      <c r="F57" s="518"/>
    </row>
    <row r="58" spans="1:6" ht="13.5" thickBot="1">
      <c r="A58" s="356" t="s">
        <v>17</v>
      </c>
      <c r="B58" s="421" t="s">
        <v>520</v>
      </c>
      <c r="C58" s="524">
        <f>+C46+C52+C57</f>
        <v>0</v>
      </c>
      <c r="D58" s="524">
        <f>+D46+D52+D57</f>
        <v>0</v>
      </c>
      <c r="E58" s="524">
        <f>+E46+E52+E57</f>
        <v>0</v>
      </c>
      <c r="F58" s="524">
        <f>+F46+F52+F57</f>
        <v>0</v>
      </c>
    </row>
    <row r="59" spans="1:6" ht="15" customHeight="1" thickBot="1">
      <c r="C59" s="29"/>
      <c r="D59" s="29"/>
      <c r="E59" s="29"/>
      <c r="F59" s="29"/>
    </row>
    <row r="60" spans="1:6" ht="14.25" customHeight="1" thickBot="1">
      <c r="A60" s="30" t="s">
        <v>510</v>
      </c>
      <c r="B60" s="31"/>
      <c r="C60" s="32"/>
      <c r="D60" s="32"/>
      <c r="E60" s="32"/>
      <c r="F60" s="32"/>
    </row>
    <row r="61" spans="1:6" ht="13.5" thickBot="1">
      <c r="A61" s="30" t="s">
        <v>194</v>
      </c>
      <c r="B61" s="31"/>
      <c r="C61" s="32"/>
      <c r="D61" s="32"/>
      <c r="E61" s="32"/>
      <c r="F61" s="32"/>
    </row>
  </sheetData>
  <pageMargins left="0.7" right="0.7" top="0.75" bottom="0.75" header="0.3" footer="0.3"/>
  <pageSetup paperSize="9" scale="76" orientation="landscape" r:id="rId1"/>
  <rowBreaks count="1" manualBreakCount="1">
    <brk id="4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57"/>
  </sheetPr>
  <dimension ref="A1:F61"/>
  <sheetViews>
    <sheetView tabSelected="1" zoomScaleNormal="100" workbookViewId="0">
      <selection activeCell="G41" sqref="G41"/>
    </sheetView>
  </sheetViews>
  <sheetFormatPr defaultRowHeight="12.75"/>
  <cols>
    <col min="1" max="1" width="22.83203125" style="28" customWidth="1"/>
    <col min="2" max="2" width="48.6640625" style="9" bestFit="1" customWidth="1"/>
    <col min="3" max="3" width="23.33203125" style="9" bestFit="1" customWidth="1"/>
    <col min="4" max="6" width="18.83203125" style="9" bestFit="1" customWidth="1"/>
    <col min="7" max="16384" width="9.33203125" style="9"/>
  </cols>
  <sheetData>
    <row r="1" spans="1:6" s="100" customFormat="1" ht="16.5" thickBot="1">
      <c r="A1" s="1"/>
      <c r="B1" s="408" t="str">
        <f>+CONCATENATE("9.3. melléklet a ……/",LEFT([1]ÖSSZEFÜGGÉSEK!E5,4),". (….) önkormányzati rendelethez")</f>
        <v>9.3. melléklet a ……/. (….) önkormányzati rendelethez</v>
      </c>
      <c r="C1" s="408"/>
      <c r="D1" s="408"/>
      <c r="E1" s="408"/>
      <c r="F1" s="408"/>
    </row>
    <row r="2" spans="1:6" s="103" customFormat="1" ht="24">
      <c r="A2" s="2" t="s">
        <v>192</v>
      </c>
      <c r="B2" s="3" t="s">
        <v>538</v>
      </c>
      <c r="C2" s="510" t="s">
        <v>55</v>
      </c>
      <c r="D2" s="510" t="s">
        <v>55</v>
      </c>
      <c r="E2" s="510" t="s">
        <v>55</v>
      </c>
      <c r="F2" s="510" t="s">
        <v>55</v>
      </c>
    </row>
    <row r="3" spans="1:6" s="103" customFormat="1" ht="16.5" thickBot="1">
      <c r="A3" s="409" t="s">
        <v>191</v>
      </c>
      <c r="B3" s="4" t="s">
        <v>394</v>
      </c>
      <c r="C3" s="511" t="s">
        <v>49</v>
      </c>
      <c r="D3" s="511" t="s">
        <v>49</v>
      </c>
      <c r="E3" s="511" t="s">
        <v>49</v>
      </c>
      <c r="F3" s="511" t="s">
        <v>49</v>
      </c>
    </row>
    <row r="4" spans="1:6" s="106" customFormat="1" ht="14.25" thickBot="1">
      <c r="A4" s="5"/>
      <c r="B4" s="5"/>
      <c r="C4" s="6" t="s">
        <v>589</v>
      </c>
      <c r="D4" s="6" t="s">
        <v>589</v>
      </c>
      <c r="E4" s="6" t="s">
        <v>589</v>
      </c>
      <c r="F4" s="6" t="s">
        <v>589</v>
      </c>
    </row>
    <row r="5" spans="1:6" ht="36.75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729</v>
      </c>
    </row>
    <row r="6" spans="1:6" s="107" customFormat="1" ht="16.5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6.5" thickBot="1">
      <c r="A7" s="13"/>
      <c r="B7" s="14" t="s">
        <v>51</v>
      </c>
      <c r="C7" s="512"/>
      <c r="D7" s="512"/>
      <c r="E7" s="512"/>
      <c r="F7" s="512"/>
    </row>
    <row r="8" spans="1:6" s="197" customFormat="1" ht="15.75" thickBot="1">
      <c r="A8" s="10" t="s">
        <v>14</v>
      </c>
      <c r="B8" s="410" t="s">
        <v>511</v>
      </c>
      <c r="C8" s="513">
        <f>SUM(C9:C19)</f>
        <v>2221010</v>
      </c>
      <c r="D8" s="513">
        <f>SUM(D9:D19)</f>
        <v>2221010</v>
      </c>
      <c r="E8" s="513">
        <f>SUM(E9:E19)</f>
        <v>3946010</v>
      </c>
      <c r="F8" s="513">
        <f>SUM(F9:F19)</f>
        <v>3946010</v>
      </c>
    </row>
    <row r="9" spans="1:6" s="197" customFormat="1" ht="15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5">
      <c r="A10" s="412" t="s">
        <v>94</v>
      </c>
      <c r="B10" s="16" t="s">
        <v>271</v>
      </c>
      <c r="C10" s="515">
        <f>2000000+100000+20000</f>
        <v>2120000</v>
      </c>
      <c r="D10" s="515">
        <f>2000000+100000+20000</f>
        <v>2120000</v>
      </c>
      <c r="E10" s="515">
        <f>2000000+100000+20000+1700000</f>
        <v>3820000</v>
      </c>
      <c r="F10" s="515">
        <f>2000000+100000+20000+1700000</f>
        <v>3820000</v>
      </c>
    </row>
    <row r="11" spans="1:6" s="197" customFormat="1" ht="15">
      <c r="A11" s="412" t="s">
        <v>95</v>
      </c>
      <c r="B11" s="16" t="s">
        <v>272</v>
      </c>
      <c r="C11" s="515">
        <v>100000</v>
      </c>
      <c r="D11" s="515">
        <v>100000</v>
      </c>
      <c r="E11" s="515">
        <v>100000</v>
      </c>
      <c r="F11" s="515">
        <v>100000</v>
      </c>
    </row>
    <row r="12" spans="1:6" s="197" customFormat="1" ht="15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5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5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5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5">
      <c r="A16" s="412" t="s">
        <v>108</v>
      </c>
      <c r="B16" s="16" t="s">
        <v>277</v>
      </c>
      <c r="C16" s="516">
        <v>10</v>
      </c>
      <c r="D16" s="516">
        <v>10</v>
      </c>
      <c r="E16" s="516">
        <v>10</v>
      </c>
      <c r="F16" s="516">
        <v>10</v>
      </c>
    </row>
    <row r="17" spans="1:6" s="199" customFormat="1" ht="15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5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5.75" thickBot="1">
      <c r="A19" s="412" t="s">
        <v>111</v>
      </c>
      <c r="B19" s="17" t="s">
        <v>279</v>
      </c>
      <c r="C19" s="517">
        <v>1000</v>
      </c>
      <c r="D19" s="517">
        <v>1000</v>
      </c>
      <c r="E19" s="517">
        <f>1000+25000</f>
        <v>26000</v>
      </c>
      <c r="F19" s="517">
        <f>1000+25000</f>
        <v>26000</v>
      </c>
    </row>
    <row r="20" spans="1:6" s="197" customFormat="1" ht="21.75" thickBot="1">
      <c r="A20" s="10" t="s">
        <v>15</v>
      </c>
      <c r="B20" s="410" t="s">
        <v>397</v>
      </c>
      <c r="C20" s="513">
        <f>SUM(C21:C23)</f>
        <v>678958</v>
      </c>
      <c r="D20" s="513">
        <f>SUM(D21:D23)</f>
        <v>678958</v>
      </c>
      <c r="E20" s="513">
        <f>SUM(E21:E23)</f>
        <v>678958</v>
      </c>
      <c r="F20" s="513">
        <f>SUM(F21:F23)</f>
        <v>678958</v>
      </c>
    </row>
    <row r="21" spans="1:6" s="199" customFormat="1" ht="15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22.5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22.5">
      <c r="A23" s="412" t="s">
        <v>101</v>
      </c>
      <c r="B23" s="16" t="s">
        <v>399</v>
      </c>
      <c r="C23" s="515">
        <f>178958+500000</f>
        <v>678958</v>
      </c>
      <c r="D23" s="515">
        <f>178958+500000</f>
        <v>678958</v>
      </c>
      <c r="E23" s="515">
        <f>178958+500000</f>
        <v>678958</v>
      </c>
      <c r="F23" s="515">
        <f>178958+500000</f>
        <v>678958</v>
      </c>
    </row>
    <row r="24" spans="1:6" s="199" customFormat="1" ht="15.75" thickBot="1">
      <c r="A24" s="412" t="s">
        <v>102</v>
      </c>
      <c r="B24" s="16" t="s">
        <v>516</v>
      </c>
      <c r="C24" s="515"/>
      <c r="D24" s="515"/>
      <c r="E24" s="515"/>
      <c r="F24" s="515"/>
    </row>
    <row r="25" spans="1:6" s="199" customFormat="1" ht="15.75" thickBot="1">
      <c r="A25" s="356" t="s">
        <v>16</v>
      </c>
      <c r="B25" s="19" t="s">
        <v>163</v>
      </c>
      <c r="C25" s="518"/>
      <c r="D25" s="518"/>
      <c r="E25" s="518"/>
      <c r="F25" s="518"/>
    </row>
    <row r="26" spans="1:6" s="199" customFormat="1" ht="21.75" thickBot="1">
      <c r="A26" s="356" t="s">
        <v>17</v>
      </c>
      <c r="B26" s="19" t="s">
        <v>400</v>
      </c>
      <c r="C26" s="513">
        <f>+C27+C28</f>
        <v>0</v>
      </c>
      <c r="D26" s="513">
        <f>+D27+D28</f>
        <v>0</v>
      </c>
      <c r="E26" s="513">
        <f>+E27+E28</f>
        <v>0</v>
      </c>
      <c r="F26" s="513">
        <f>+F27+F28</f>
        <v>0</v>
      </c>
    </row>
    <row r="27" spans="1:6" s="199" customFormat="1" ht="22.5">
      <c r="A27" s="413" t="s">
        <v>257</v>
      </c>
      <c r="B27" s="414" t="s">
        <v>398</v>
      </c>
      <c r="C27" s="20"/>
      <c r="D27" s="20"/>
      <c r="E27" s="20"/>
      <c r="F27" s="20"/>
    </row>
    <row r="28" spans="1:6" s="199" customFormat="1" ht="22.5">
      <c r="A28" s="413" t="s">
        <v>260</v>
      </c>
      <c r="B28" s="415" t="s">
        <v>401</v>
      </c>
      <c r="C28" s="519"/>
      <c r="D28" s="519"/>
      <c r="E28" s="519"/>
      <c r="F28" s="519"/>
    </row>
    <row r="29" spans="1:6" s="199" customFormat="1" ht="15.75" thickBot="1">
      <c r="A29" s="412" t="s">
        <v>261</v>
      </c>
      <c r="B29" s="416" t="s">
        <v>517</v>
      </c>
      <c r="C29" s="21"/>
      <c r="D29" s="21"/>
      <c r="E29" s="21"/>
      <c r="F29" s="21"/>
    </row>
    <row r="30" spans="1:6" s="199" customFormat="1" ht="15.75" thickBot="1">
      <c r="A30" s="356" t="s">
        <v>18</v>
      </c>
      <c r="B30" s="19" t="s">
        <v>402</v>
      </c>
      <c r="C30" s="513">
        <f>+C31+C32+C33</f>
        <v>0</v>
      </c>
      <c r="D30" s="513">
        <f>+D31+D32+D33</f>
        <v>0</v>
      </c>
      <c r="E30" s="513">
        <f>+E31+E32+E33</f>
        <v>0</v>
      </c>
      <c r="F30" s="513">
        <f>+F31+F32+F33</f>
        <v>0</v>
      </c>
    </row>
    <row r="31" spans="1:6" s="199" customFormat="1" ht="15">
      <c r="A31" s="413" t="s">
        <v>86</v>
      </c>
      <c r="B31" s="414" t="s">
        <v>284</v>
      </c>
      <c r="C31" s="20"/>
      <c r="D31" s="20"/>
      <c r="E31" s="20"/>
      <c r="F31" s="20"/>
    </row>
    <row r="32" spans="1:6" s="199" customFormat="1" ht="15">
      <c r="A32" s="413" t="s">
        <v>87</v>
      </c>
      <c r="B32" s="415" t="s">
        <v>285</v>
      </c>
      <c r="C32" s="519"/>
      <c r="D32" s="519"/>
      <c r="E32" s="519"/>
      <c r="F32" s="519"/>
    </row>
    <row r="33" spans="1:6" s="199" customFormat="1" ht="15.75" thickBot="1">
      <c r="A33" s="412" t="s">
        <v>88</v>
      </c>
      <c r="B33" s="416" t="s">
        <v>286</v>
      </c>
      <c r="C33" s="21"/>
      <c r="D33" s="21"/>
      <c r="E33" s="21"/>
      <c r="F33" s="21"/>
    </row>
    <row r="34" spans="1:6" s="197" customFormat="1" ht="15.75" thickBot="1">
      <c r="A34" s="356" t="s">
        <v>19</v>
      </c>
      <c r="B34" s="19" t="s">
        <v>371</v>
      </c>
      <c r="C34" s="518"/>
      <c r="D34" s="518"/>
      <c r="E34" s="518"/>
      <c r="F34" s="518"/>
    </row>
    <row r="35" spans="1:6" s="197" customFormat="1" ht="15.75" thickBot="1">
      <c r="A35" s="356" t="s">
        <v>20</v>
      </c>
      <c r="B35" s="19" t="s">
        <v>403</v>
      </c>
      <c r="C35" s="520"/>
      <c r="D35" s="520"/>
      <c r="E35" s="520"/>
      <c r="F35" s="520"/>
    </row>
    <row r="36" spans="1:6" s="197" customFormat="1" ht="15.75" thickBot="1">
      <c r="A36" s="10" t="s">
        <v>21</v>
      </c>
      <c r="B36" s="19" t="s">
        <v>518</v>
      </c>
      <c r="C36" s="521">
        <f>+C8+C20+C25+C26+C30+C34+C35</f>
        <v>2899968</v>
      </c>
      <c r="D36" s="521">
        <f>+D8+D20+D25+D26+D30+D34+D35</f>
        <v>2899968</v>
      </c>
      <c r="E36" s="521">
        <f>+E8+E20+E25+E26+E30+E34+E35</f>
        <v>4624968</v>
      </c>
      <c r="F36" s="521">
        <f>+F8+F20+F25+F26+F30+F34+F35</f>
        <v>4624968</v>
      </c>
    </row>
    <row r="37" spans="1:6" s="197" customFormat="1" ht="15.75" thickBot="1">
      <c r="A37" s="417" t="s">
        <v>22</v>
      </c>
      <c r="B37" s="19" t="s">
        <v>405</v>
      </c>
      <c r="C37" s="521">
        <f>+C38+C39+C40</f>
        <v>54823559</v>
      </c>
      <c r="D37" s="521">
        <f>+D38+D39+D40</f>
        <v>55683134</v>
      </c>
      <c r="E37" s="521">
        <f>+E38+E39+E40</f>
        <v>55658134</v>
      </c>
      <c r="F37" s="521">
        <f>+F38+F39+F40</f>
        <v>56116134</v>
      </c>
    </row>
    <row r="38" spans="1:6" s="197" customFormat="1" ht="15">
      <c r="A38" s="413" t="s">
        <v>406</v>
      </c>
      <c r="B38" s="414" t="s">
        <v>226</v>
      </c>
      <c r="C38" s="20"/>
      <c r="D38" s="20">
        <v>1417854</v>
      </c>
      <c r="E38" s="20">
        <v>1417854</v>
      </c>
      <c r="F38" s="20">
        <v>1417854</v>
      </c>
    </row>
    <row r="39" spans="1:6" s="197" customFormat="1" ht="15">
      <c r="A39" s="413" t="s">
        <v>407</v>
      </c>
      <c r="B39" s="415" t="s">
        <v>0</v>
      </c>
      <c r="C39" s="519"/>
      <c r="D39" s="519"/>
      <c r="E39" s="519"/>
      <c r="F39" s="519"/>
    </row>
    <row r="40" spans="1:6" s="199" customFormat="1" ht="23.25" thickBot="1">
      <c r="A40" s="412" t="s">
        <v>408</v>
      </c>
      <c r="B40" s="416" t="s">
        <v>409</v>
      </c>
      <c r="C40" s="21">
        <v>54823559</v>
      </c>
      <c r="D40" s="21">
        <f>54823559-1417854+143400+519000+197175</f>
        <v>54265280</v>
      </c>
      <c r="E40" s="21">
        <f>54823559-1417854+143400+519000+197175-25000</f>
        <v>54240280</v>
      </c>
      <c r="F40" s="21">
        <f>54823559-1417854+143400+519000+197175-25000+458000</f>
        <v>54698280</v>
      </c>
    </row>
    <row r="41" spans="1:6" s="199" customFormat="1" ht="15.75" thickBot="1">
      <c r="A41" s="417" t="s">
        <v>23</v>
      </c>
      <c r="B41" s="418" t="s">
        <v>410</v>
      </c>
      <c r="C41" s="522">
        <f>+C36+C37</f>
        <v>57723527</v>
      </c>
      <c r="D41" s="522">
        <f>+D36+D37</f>
        <v>58583102</v>
      </c>
      <c r="E41" s="522">
        <f>+E36+E37</f>
        <v>60283102</v>
      </c>
      <c r="F41" s="522">
        <f>+F36+F37</f>
        <v>60741102</v>
      </c>
    </row>
    <row r="42" spans="1:6" s="199" customFormat="1" ht="15">
      <c r="A42" s="22"/>
      <c r="B42" s="23"/>
      <c r="C42" s="24"/>
      <c r="D42" s="24"/>
      <c r="E42" s="24"/>
      <c r="F42" s="24"/>
    </row>
    <row r="43" spans="1:6" ht="13.5" thickBot="1">
      <c r="A43" s="419"/>
      <c r="B43" s="420"/>
      <c r="C43" s="523"/>
      <c r="D43" s="523"/>
      <c r="E43" s="523"/>
      <c r="F43" s="523"/>
    </row>
    <row r="44" spans="1:6" s="107" customFormat="1" ht="16.5" thickBot="1">
      <c r="A44" s="25"/>
      <c r="B44" s="26" t="s">
        <v>52</v>
      </c>
      <c r="C44" s="522"/>
      <c r="D44" s="522"/>
      <c r="E44" s="522"/>
      <c r="F44" s="522"/>
    </row>
    <row r="45" spans="1:6" s="207" customFormat="1" ht="13.5" thickBot="1">
      <c r="A45" s="356" t="s">
        <v>14</v>
      </c>
      <c r="B45" s="19" t="s">
        <v>411</v>
      </c>
      <c r="C45" s="513">
        <f>SUM(C46:C50)</f>
        <v>55210527</v>
      </c>
      <c r="D45" s="513">
        <f>SUM(D46:D50)</f>
        <v>55551102</v>
      </c>
      <c r="E45" s="513">
        <f>SUM(E46:E50)</f>
        <v>57251102</v>
      </c>
      <c r="F45" s="513">
        <f>SUM(F46:F50)</f>
        <v>57251102</v>
      </c>
    </row>
    <row r="46" spans="1:6">
      <c r="A46" s="412" t="s">
        <v>93</v>
      </c>
      <c r="B46" s="18" t="s">
        <v>44</v>
      </c>
      <c r="C46" s="20">
        <v>21392976</v>
      </c>
      <c r="D46" s="20">
        <f>21392976+120000+165000</f>
        <v>21677976</v>
      </c>
      <c r="E46" s="20">
        <f>21392976+120000+165000+300000</f>
        <v>21977976</v>
      </c>
      <c r="F46" s="20">
        <f>21392976+120000+165000+300000</f>
        <v>21977976</v>
      </c>
    </row>
    <row r="47" spans="1:6" ht="22.5">
      <c r="A47" s="412" t="s">
        <v>94</v>
      </c>
      <c r="B47" s="16" t="s">
        <v>172</v>
      </c>
      <c r="C47" s="27">
        <v>4668631</v>
      </c>
      <c r="D47" s="27">
        <f>4668631+23400+32175</f>
        <v>4724206</v>
      </c>
      <c r="E47" s="27">
        <f>4668631+23400+32175+52500</f>
        <v>4776706</v>
      </c>
      <c r="F47" s="27">
        <f>4668631+23400+32175+52500</f>
        <v>4776706</v>
      </c>
    </row>
    <row r="48" spans="1:6">
      <c r="A48" s="412" t="s">
        <v>95</v>
      </c>
      <c r="B48" s="16" t="s">
        <v>131</v>
      </c>
      <c r="C48" s="27">
        <v>29148920</v>
      </c>
      <c r="D48" s="27">
        <v>29148920</v>
      </c>
      <c r="E48" s="27">
        <f>29148920+1700000-352500</f>
        <v>30496420</v>
      </c>
      <c r="F48" s="27">
        <f>29148920+1700000-352500</f>
        <v>30496420</v>
      </c>
    </row>
    <row r="49" spans="1:6">
      <c r="A49" s="412" t="s">
        <v>96</v>
      </c>
      <c r="B49" s="16" t="s">
        <v>173</v>
      </c>
      <c r="C49" s="27"/>
      <c r="D49" s="27"/>
      <c r="E49" s="27"/>
      <c r="F49" s="27"/>
    </row>
    <row r="50" spans="1:6" ht="13.5" thickBot="1">
      <c r="A50" s="412" t="s">
        <v>139</v>
      </c>
      <c r="B50" s="16" t="s">
        <v>174</v>
      </c>
      <c r="C50" s="27"/>
      <c r="D50" s="27"/>
      <c r="E50" s="27"/>
      <c r="F50" s="27"/>
    </row>
    <row r="51" spans="1:6" ht="13.5" thickBot="1">
      <c r="A51" s="356" t="s">
        <v>15</v>
      </c>
      <c r="B51" s="19" t="s">
        <v>412</v>
      </c>
      <c r="C51" s="513">
        <f>SUM(C52:C55)</f>
        <v>2513000</v>
      </c>
      <c r="D51" s="513">
        <f>SUM(D52:D55)</f>
        <v>3032000</v>
      </c>
      <c r="E51" s="513">
        <f>SUM(E52:E55)</f>
        <v>3032000</v>
      </c>
      <c r="F51" s="513">
        <f>SUM(F52:F55)</f>
        <v>3490000</v>
      </c>
    </row>
    <row r="52" spans="1:6" s="207" customFormat="1">
      <c r="A52" s="412" t="s">
        <v>99</v>
      </c>
      <c r="B52" s="18" t="s">
        <v>217</v>
      </c>
      <c r="C52" s="20">
        <v>2513000</v>
      </c>
      <c r="D52" s="20">
        <f>2513000+519000</f>
        <v>3032000</v>
      </c>
      <c r="E52" s="20">
        <f>2513000+519000</f>
        <v>3032000</v>
      </c>
      <c r="F52" s="20">
        <f>2513000+519000+458000</f>
        <v>3490000</v>
      </c>
    </row>
    <row r="53" spans="1:6" s="207" customFormat="1" ht="22.5">
      <c r="A53" s="412"/>
      <c r="B53" s="18" t="s">
        <v>748</v>
      </c>
      <c r="C53" s="20"/>
      <c r="D53" s="20"/>
      <c r="E53" s="20"/>
      <c r="F53" s="20"/>
    </row>
    <row r="54" spans="1:6">
      <c r="A54" s="412" t="s">
        <v>100</v>
      </c>
      <c r="B54" s="16" t="s">
        <v>176</v>
      </c>
      <c r="C54" s="27"/>
      <c r="D54" s="27"/>
      <c r="E54" s="27"/>
      <c r="F54" s="27"/>
    </row>
    <row r="55" spans="1:6">
      <c r="A55" s="412" t="s">
        <v>101</v>
      </c>
      <c r="B55" s="16" t="s">
        <v>53</v>
      </c>
      <c r="C55" s="27"/>
      <c r="D55" s="27"/>
      <c r="E55" s="27"/>
      <c r="F55" s="27"/>
    </row>
    <row r="56" spans="1:6" ht="23.25" thickBot="1">
      <c r="A56" s="412" t="s">
        <v>102</v>
      </c>
      <c r="B56" s="16" t="s">
        <v>515</v>
      </c>
      <c r="C56" s="27"/>
      <c r="D56" s="27"/>
      <c r="E56" s="27"/>
      <c r="F56" s="27"/>
    </row>
    <row r="57" spans="1:6" ht="13.5" thickBot="1">
      <c r="A57" s="356" t="s">
        <v>16</v>
      </c>
      <c r="B57" s="19" t="s">
        <v>10</v>
      </c>
      <c r="C57" s="518"/>
      <c r="D57" s="518"/>
      <c r="E57" s="518"/>
      <c r="F57" s="518"/>
    </row>
    <row r="58" spans="1:6" ht="13.5" thickBot="1">
      <c r="A58" s="356" t="s">
        <v>17</v>
      </c>
      <c r="B58" s="421" t="s">
        <v>520</v>
      </c>
      <c r="C58" s="524">
        <f>+C45+C51+C57</f>
        <v>57723527</v>
      </c>
      <c r="D58" s="524">
        <f>+D45+D51+D57</f>
        <v>58583102</v>
      </c>
      <c r="E58" s="524">
        <f>+E45+E51+E57</f>
        <v>60283102</v>
      </c>
      <c r="F58" s="524">
        <f>+F45+F51+F57</f>
        <v>60741102</v>
      </c>
    </row>
    <row r="59" spans="1:6" ht="13.5" thickBot="1">
      <c r="C59" s="29"/>
      <c r="D59" s="29"/>
      <c r="E59" s="29"/>
      <c r="F59" s="29"/>
    </row>
    <row r="60" spans="1:6" ht="13.5" thickBot="1">
      <c r="A60" s="30" t="s">
        <v>510</v>
      </c>
      <c r="B60" s="31"/>
      <c r="C60" s="32">
        <v>3.25</v>
      </c>
      <c r="D60" s="32">
        <v>4</v>
      </c>
      <c r="E60" s="32">
        <v>4</v>
      </c>
      <c r="F60" s="32">
        <v>4</v>
      </c>
    </row>
    <row r="61" spans="1:6" ht="13.5" thickBot="1">
      <c r="A61" s="30" t="s">
        <v>194</v>
      </c>
      <c r="B61" s="31"/>
      <c r="C61" s="32"/>
      <c r="D61" s="32"/>
      <c r="E61" s="32"/>
      <c r="F61" s="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4" orientation="landscape" verticalDpi="300" r:id="rId1"/>
  <headerFooter alignWithMargins="0">
    <oddFooter>&amp;P. oldal, összesen: &amp;N</oddFooter>
  </headerFooter>
  <rowBreaks count="1" manualBreakCount="1">
    <brk id="2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57"/>
  </sheetPr>
  <dimension ref="A1:F61"/>
  <sheetViews>
    <sheetView topLeftCell="A40" zoomScaleNormal="100" workbookViewId="0">
      <selection activeCell="G41" sqref="G41"/>
    </sheetView>
  </sheetViews>
  <sheetFormatPr defaultRowHeight="12.75"/>
  <cols>
    <col min="1" max="1" width="13.83203125" style="28" customWidth="1"/>
    <col min="2" max="2" width="48.6640625" style="9" bestFit="1" customWidth="1"/>
    <col min="3" max="6" width="25" style="9" customWidth="1"/>
    <col min="7" max="16384" width="9.33203125" style="9"/>
  </cols>
  <sheetData>
    <row r="1" spans="1:6" s="100" customFormat="1" ht="21" customHeight="1" thickBot="1">
      <c r="A1" s="1"/>
      <c r="B1" s="408" t="str">
        <f>+CONCATENATE("9.3.1. melléklet a ……/",LEFT([1]ÖSSZEFÜGGÉSEK!E5,4),". (….) önkormányzati rendelethez")</f>
        <v>9.3.1. melléklet a ……/. (….) önkormányzati rendelethez</v>
      </c>
      <c r="C1" s="408"/>
      <c r="D1" s="408"/>
      <c r="E1" s="408"/>
      <c r="F1" s="408"/>
    </row>
    <row r="2" spans="1:6" s="103" customFormat="1" ht="36" customHeight="1">
      <c r="A2" s="2" t="s">
        <v>192</v>
      </c>
      <c r="B2" s="3" t="s">
        <v>538</v>
      </c>
      <c r="C2" s="510" t="s">
        <v>55</v>
      </c>
      <c r="D2" s="510" t="s">
        <v>55</v>
      </c>
      <c r="E2" s="510" t="s">
        <v>55</v>
      </c>
      <c r="F2" s="510" t="s">
        <v>55</v>
      </c>
    </row>
    <row r="3" spans="1:6" s="103" customFormat="1" ht="24.75" thickBot="1">
      <c r="A3" s="409" t="s">
        <v>191</v>
      </c>
      <c r="B3" s="4" t="s">
        <v>413</v>
      </c>
      <c r="C3" s="511" t="s">
        <v>49</v>
      </c>
      <c r="D3" s="511" t="s">
        <v>49</v>
      </c>
      <c r="E3" s="511" t="s">
        <v>49</v>
      </c>
      <c r="F3" s="511" t="s">
        <v>49</v>
      </c>
    </row>
    <row r="4" spans="1:6" s="106" customFormat="1" ht="15.95" customHeight="1" thickBot="1">
      <c r="A4" s="5"/>
      <c r="B4" s="5"/>
      <c r="C4" s="6" t="s">
        <v>589</v>
      </c>
      <c r="D4" s="6" t="s">
        <v>589</v>
      </c>
      <c r="E4" s="6" t="s">
        <v>589</v>
      </c>
      <c r="F4" s="6" t="s">
        <v>589</v>
      </c>
    </row>
    <row r="5" spans="1:6" ht="24.75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750</v>
      </c>
    </row>
    <row r="6" spans="1:6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5.95" customHeight="1" thickBot="1">
      <c r="A7" s="13"/>
      <c r="B7" s="14" t="s">
        <v>51</v>
      </c>
      <c r="C7" s="512"/>
      <c r="D7" s="512"/>
      <c r="E7" s="512"/>
      <c r="F7" s="512"/>
    </row>
    <row r="8" spans="1:6" s="197" customFormat="1" ht="12" customHeight="1" thickBot="1">
      <c r="A8" s="10" t="s">
        <v>14</v>
      </c>
      <c r="B8" s="410" t="s">
        <v>511</v>
      </c>
      <c r="C8" s="513">
        <f>SUM(C9:C19)</f>
        <v>2221010</v>
      </c>
      <c r="D8" s="513">
        <f>SUM(D9:D19)</f>
        <v>2221010</v>
      </c>
      <c r="E8" s="513">
        <f>SUM(E9:E19)</f>
        <v>3946010</v>
      </c>
      <c r="F8" s="513">
        <f>SUM(F9:F19)</f>
        <v>3946010</v>
      </c>
    </row>
    <row r="9" spans="1:6" s="197" customFormat="1" ht="12" customHeight="1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2" customHeight="1">
      <c r="A10" s="412" t="s">
        <v>94</v>
      </c>
      <c r="B10" s="16" t="s">
        <v>271</v>
      </c>
      <c r="C10" s="515">
        <f>2000000+100000+20000</f>
        <v>2120000</v>
      </c>
      <c r="D10" s="515">
        <f>2000000+100000+20000</f>
        <v>2120000</v>
      </c>
      <c r="E10" s="515">
        <f>2000000+100000+20000+1700000</f>
        <v>3820000</v>
      </c>
      <c r="F10" s="515">
        <f>2000000+100000+20000+1700000</f>
        <v>3820000</v>
      </c>
    </row>
    <row r="11" spans="1:6" s="197" customFormat="1" ht="12" customHeight="1">
      <c r="A11" s="412" t="s">
        <v>95</v>
      </c>
      <c r="B11" s="16" t="s">
        <v>272</v>
      </c>
      <c r="C11" s="515">
        <v>100000</v>
      </c>
      <c r="D11" s="515">
        <v>100000</v>
      </c>
      <c r="E11" s="515">
        <v>100000</v>
      </c>
      <c r="F11" s="515">
        <v>100000</v>
      </c>
    </row>
    <row r="12" spans="1:6" s="197" customFormat="1" ht="12" customHeight="1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2" customHeight="1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2" customHeight="1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2" customHeight="1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2" customHeight="1">
      <c r="A16" s="412" t="s">
        <v>108</v>
      </c>
      <c r="B16" s="16" t="s">
        <v>277</v>
      </c>
      <c r="C16" s="516">
        <v>10</v>
      </c>
      <c r="D16" s="516">
        <v>10</v>
      </c>
      <c r="E16" s="516">
        <v>10</v>
      </c>
      <c r="F16" s="516">
        <v>10</v>
      </c>
    </row>
    <row r="17" spans="1:6" s="199" customFormat="1" ht="12" customHeight="1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2" customHeight="1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2" customHeight="1" thickBot="1">
      <c r="A19" s="412" t="s">
        <v>111</v>
      </c>
      <c r="B19" s="17" t="s">
        <v>279</v>
      </c>
      <c r="C19" s="517">
        <v>1000</v>
      </c>
      <c r="D19" s="517">
        <v>1000</v>
      </c>
      <c r="E19" s="517">
        <f>1000+25000</f>
        <v>26000</v>
      </c>
      <c r="F19" s="517">
        <f>1000+25000</f>
        <v>26000</v>
      </c>
    </row>
    <row r="20" spans="1:6" s="197" customFormat="1" ht="12" customHeight="1" thickBot="1">
      <c r="A20" s="10" t="s">
        <v>15</v>
      </c>
      <c r="B20" s="410" t="s">
        <v>397</v>
      </c>
      <c r="C20" s="513">
        <f>SUM(C21:C23)</f>
        <v>678958</v>
      </c>
      <c r="D20" s="513">
        <f>SUM(D21:D23)</f>
        <v>678958</v>
      </c>
      <c r="E20" s="513">
        <f>SUM(E21:E23)</f>
        <v>678958</v>
      </c>
      <c r="F20" s="513">
        <f>SUM(F21:F23)</f>
        <v>678958</v>
      </c>
    </row>
    <row r="21" spans="1:6" s="199" customFormat="1" ht="12" customHeight="1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12" customHeight="1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12" customHeight="1">
      <c r="A23" s="412" t="s">
        <v>101</v>
      </c>
      <c r="B23" s="16" t="s">
        <v>399</v>
      </c>
      <c r="C23" s="515">
        <f>178958+500000</f>
        <v>678958</v>
      </c>
      <c r="D23" s="515">
        <f>178958+500000</f>
        <v>678958</v>
      </c>
      <c r="E23" s="515">
        <f>178958+500000</f>
        <v>678958</v>
      </c>
      <c r="F23" s="515">
        <f>178958+500000</f>
        <v>678958</v>
      </c>
    </row>
    <row r="24" spans="1:6" s="199" customFormat="1" ht="12" customHeight="1" thickBot="1">
      <c r="A24" s="412" t="s">
        <v>102</v>
      </c>
      <c r="B24" s="16" t="s">
        <v>516</v>
      </c>
      <c r="C24" s="515"/>
      <c r="D24" s="515"/>
      <c r="E24" s="515"/>
      <c r="F24" s="515"/>
    </row>
    <row r="25" spans="1:6" s="199" customFormat="1" ht="12" customHeight="1" thickBot="1">
      <c r="A25" s="356" t="s">
        <v>16</v>
      </c>
      <c r="B25" s="19" t="s">
        <v>163</v>
      </c>
      <c r="C25" s="518"/>
      <c r="D25" s="518"/>
      <c r="E25" s="518"/>
      <c r="F25" s="518"/>
    </row>
    <row r="26" spans="1:6" s="199" customFormat="1" ht="12" customHeight="1" thickBot="1">
      <c r="A26" s="356" t="s">
        <v>17</v>
      </c>
      <c r="B26" s="19" t="s">
        <v>400</v>
      </c>
      <c r="C26" s="513">
        <f>+C27+C28</f>
        <v>0</v>
      </c>
      <c r="D26" s="513">
        <f>+D27+D28</f>
        <v>0</v>
      </c>
      <c r="E26" s="513">
        <f>+E27+E28</f>
        <v>0</v>
      </c>
      <c r="F26" s="513">
        <f>+F27+F28</f>
        <v>0</v>
      </c>
    </row>
    <row r="27" spans="1:6" s="199" customFormat="1" ht="12" customHeight="1">
      <c r="A27" s="413" t="s">
        <v>257</v>
      </c>
      <c r="B27" s="414" t="s">
        <v>398</v>
      </c>
      <c r="C27" s="20"/>
      <c r="D27" s="20"/>
      <c r="E27" s="20"/>
      <c r="F27" s="20"/>
    </row>
    <row r="28" spans="1:6" s="199" customFormat="1" ht="12" customHeight="1">
      <c r="A28" s="413" t="s">
        <v>260</v>
      </c>
      <c r="B28" s="415" t="s">
        <v>401</v>
      </c>
      <c r="C28" s="519"/>
      <c r="D28" s="519"/>
      <c r="E28" s="519"/>
      <c r="F28" s="519"/>
    </row>
    <row r="29" spans="1:6" s="199" customFormat="1" ht="12" customHeight="1" thickBot="1">
      <c r="A29" s="412" t="s">
        <v>261</v>
      </c>
      <c r="B29" s="416" t="s">
        <v>517</v>
      </c>
      <c r="C29" s="21"/>
      <c r="D29" s="21"/>
      <c r="E29" s="21"/>
      <c r="F29" s="21"/>
    </row>
    <row r="30" spans="1:6" s="199" customFormat="1" ht="12" customHeight="1" thickBot="1">
      <c r="A30" s="356" t="s">
        <v>18</v>
      </c>
      <c r="B30" s="19" t="s">
        <v>402</v>
      </c>
      <c r="C30" s="513">
        <f>+C31+C32+C33</f>
        <v>0</v>
      </c>
      <c r="D30" s="513">
        <f>+D31+D32+D33</f>
        <v>0</v>
      </c>
      <c r="E30" s="513">
        <f>+E31+E32+E33</f>
        <v>0</v>
      </c>
      <c r="F30" s="513">
        <f>+F31+F32+F33</f>
        <v>0</v>
      </c>
    </row>
    <row r="31" spans="1:6" s="199" customFormat="1" ht="12" customHeight="1">
      <c r="A31" s="413" t="s">
        <v>86</v>
      </c>
      <c r="B31" s="414" t="s">
        <v>284</v>
      </c>
      <c r="C31" s="20"/>
      <c r="D31" s="20"/>
      <c r="E31" s="20"/>
      <c r="F31" s="20"/>
    </row>
    <row r="32" spans="1:6" s="199" customFormat="1" ht="12" customHeight="1">
      <c r="A32" s="413" t="s">
        <v>87</v>
      </c>
      <c r="B32" s="415" t="s">
        <v>285</v>
      </c>
      <c r="C32" s="519"/>
      <c r="D32" s="519"/>
      <c r="E32" s="519"/>
      <c r="F32" s="519"/>
    </row>
    <row r="33" spans="1:6" s="199" customFormat="1" ht="12" customHeight="1" thickBot="1">
      <c r="A33" s="412" t="s">
        <v>88</v>
      </c>
      <c r="B33" s="416" t="s">
        <v>286</v>
      </c>
      <c r="C33" s="21"/>
      <c r="D33" s="21"/>
      <c r="E33" s="21"/>
      <c r="F33" s="21"/>
    </row>
    <row r="34" spans="1:6" s="197" customFormat="1" ht="12" customHeight="1" thickBot="1">
      <c r="A34" s="356" t="s">
        <v>19</v>
      </c>
      <c r="B34" s="19" t="s">
        <v>371</v>
      </c>
      <c r="C34" s="518"/>
      <c r="D34" s="518"/>
      <c r="E34" s="518"/>
      <c r="F34" s="518"/>
    </row>
    <row r="35" spans="1:6" s="197" customFormat="1" ht="12" customHeight="1" thickBot="1">
      <c r="A35" s="356" t="s">
        <v>20</v>
      </c>
      <c r="B35" s="19" t="s">
        <v>403</v>
      </c>
      <c r="C35" s="520"/>
      <c r="D35" s="520"/>
      <c r="E35" s="520"/>
      <c r="F35" s="520"/>
    </row>
    <row r="36" spans="1:6" s="197" customFormat="1" ht="12" customHeight="1" thickBot="1">
      <c r="A36" s="10" t="s">
        <v>21</v>
      </c>
      <c r="B36" s="19" t="s">
        <v>518</v>
      </c>
      <c r="C36" s="521">
        <f>+C8+C20+C25+C26+C30+C34+C35</f>
        <v>2899968</v>
      </c>
      <c r="D36" s="521">
        <f>+D8+D20+D25+D26+D30+D34+D35</f>
        <v>2899968</v>
      </c>
      <c r="E36" s="521">
        <f>+E8+E20+E25+E26+E30+E34+E35</f>
        <v>4624968</v>
      </c>
      <c r="F36" s="521">
        <f>+F8+F20+F25+F26+F30+F34+F35</f>
        <v>4624968</v>
      </c>
    </row>
    <row r="37" spans="1:6" s="197" customFormat="1" ht="12" customHeight="1" thickBot="1">
      <c r="A37" s="417" t="s">
        <v>22</v>
      </c>
      <c r="B37" s="19" t="s">
        <v>405</v>
      </c>
      <c r="C37" s="521">
        <f>+C38+C39+C40</f>
        <v>54823559</v>
      </c>
      <c r="D37" s="521">
        <f>+D38+D39+D40</f>
        <v>55683134</v>
      </c>
      <c r="E37" s="521">
        <f>+E38+E39+E40</f>
        <v>55658134</v>
      </c>
      <c r="F37" s="521">
        <f>+F38+F39+F40</f>
        <v>56116134</v>
      </c>
    </row>
    <row r="38" spans="1:6" s="197" customFormat="1" ht="12" customHeight="1">
      <c r="A38" s="413" t="s">
        <v>406</v>
      </c>
      <c r="B38" s="414" t="s">
        <v>226</v>
      </c>
      <c r="C38" s="20"/>
      <c r="D38" s="20">
        <v>1417854</v>
      </c>
      <c r="E38" s="20">
        <v>1417854</v>
      </c>
      <c r="F38" s="20">
        <v>1417854</v>
      </c>
    </row>
    <row r="39" spans="1:6" s="197" customFormat="1" ht="12" customHeight="1">
      <c r="A39" s="413" t="s">
        <v>407</v>
      </c>
      <c r="B39" s="415" t="s">
        <v>0</v>
      </c>
      <c r="C39" s="519"/>
      <c r="D39" s="519"/>
      <c r="E39" s="519"/>
      <c r="F39" s="519"/>
    </row>
    <row r="40" spans="1:6" s="199" customFormat="1" ht="12" customHeight="1" thickBot="1">
      <c r="A40" s="412" t="s">
        <v>408</v>
      </c>
      <c r="B40" s="416" t="s">
        <v>409</v>
      </c>
      <c r="C40" s="21">
        <v>54823559</v>
      </c>
      <c r="D40" s="21">
        <f>54823559-1417854+143400+519000+197175</f>
        <v>54265280</v>
      </c>
      <c r="E40" s="21">
        <f>54823559-1417854+143400+519000+197175-25000</f>
        <v>54240280</v>
      </c>
      <c r="F40" s="21">
        <f>54823559-1417854+143400+519000+197175-25000+458000</f>
        <v>54698280</v>
      </c>
    </row>
    <row r="41" spans="1:6" s="199" customFormat="1" ht="15" customHeight="1" thickBot="1">
      <c r="A41" s="417" t="s">
        <v>23</v>
      </c>
      <c r="B41" s="418" t="s">
        <v>410</v>
      </c>
      <c r="C41" s="522">
        <f>+C36+C37</f>
        <v>57723527</v>
      </c>
      <c r="D41" s="522">
        <f>+D36+D37</f>
        <v>58583102</v>
      </c>
      <c r="E41" s="522">
        <f>+E36+E37</f>
        <v>60283102</v>
      </c>
      <c r="F41" s="522">
        <f>+F36+F37</f>
        <v>60741102</v>
      </c>
    </row>
    <row r="42" spans="1:6" s="199" customFormat="1" ht="15" customHeight="1">
      <c r="A42" s="22"/>
      <c r="B42" s="23"/>
      <c r="C42" s="24"/>
      <c r="D42" s="24"/>
      <c r="E42" s="24"/>
      <c r="F42" s="24"/>
    </row>
    <row r="43" spans="1:6" ht="13.5" thickBot="1">
      <c r="A43" s="419"/>
      <c r="B43" s="420"/>
      <c r="C43" s="523"/>
      <c r="D43" s="523"/>
      <c r="E43" s="523"/>
      <c r="F43" s="523"/>
    </row>
    <row r="44" spans="1:6" s="107" customFormat="1" ht="16.5" customHeight="1" thickBot="1">
      <c r="A44" s="25"/>
      <c r="B44" s="26" t="s">
        <v>52</v>
      </c>
      <c r="C44" s="522"/>
      <c r="D44" s="522"/>
      <c r="E44" s="522"/>
      <c r="F44" s="522"/>
    </row>
    <row r="45" spans="1:6" s="207" customFormat="1" ht="12" customHeight="1" thickBot="1">
      <c r="A45" s="356" t="s">
        <v>14</v>
      </c>
      <c r="B45" s="19" t="s">
        <v>411</v>
      </c>
      <c r="C45" s="513">
        <f>SUM(C46:C50)</f>
        <v>55210527</v>
      </c>
      <c r="D45" s="513">
        <f>SUM(D46:D50)</f>
        <v>55551102</v>
      </c>
      <c r="E45" s="513">
        <f>SUM(E46:E50)</f>
        <v>57251102</v>
      </c>
      <c r="F45" s="513">
        <f>SUM(F46:F50)</f>
        <v>57251102</v>
      </c>
    </row>
    <row r="46" spans="1:6" ht="12" customHeight="1">
      <c r="A46" s="412" t="s">
        <v>93</v>
      </c>
      <c r="B46" s="18" t="s">
        <v>44</v>
      </c>
      <c r="C46" s="20">
        <v>21392976</v>
      </c>
      <c r="D46" s="20">
        <f>21392976+120000+165000</f>
        <v>21677976</v>
      </c>
      <c r="E46" s="20">
        <f>21392976+120000+165000+300000</f>
        <v>21977976</v>
      </c>
      <c r="F46" s="20">
        <f>21392976+120000+165000+300000</f>
        <v>21977976</v>
      </c>
    </row>
    <row r="47" spans="1:6" ht="12" customHeight="1">
      <c r="A47" s="412" t="s">
        <v>94</v>
      </c>
      <c r="B47" s="16" t="s">
        <v>172</v>
      </c>
      <c r="C47" s="27">
        <v>4668631</v>
      </c>
      <c r="D47" s="27">
        <f>4668631+23400+32175</f>
        <v>4724206</v>
      </c>
      <c r="E47" s="27">
        <f>4668631+23400+32175+52500</f>
        <v>4776706</v>
      </c>
      <c r="F47" s="27">
        <f>4668631+23400+32175+52500</f>
        <v>4776706</v>
      </c>
    </row>
    <row r="48" spans="1:6" ht="12" customHeight="1">
      <c r="A48" s="412" t="s">
        <v>95</v>
      </c>
      <c r="B48" s="16" t="s">
        <v>131</v>
      </c>
      <c r="C48" s="27">
        <v>29148920</v>
      </c>
      <c r="D48" s="27">
        <v>29148920</v>
      </c>
      <c r="E48" s="27">
        <f>29148920+1700000-352500</f>
        <v>30496420</v>
      </c>
      <c r="F48" s="27">
        <f>29148920+1700000-352500</f>
        <v>30496420</v>
      </c>
    </row>
    <row r="49" spans="1:6" ht="12" customHeight="1">
      <c r="A49" s="412" t="s">
        <v>96</v>
      </c>
      <c r="B49" s="16" t="s">
        <v>173</v>
      </c>
      <c r="C49" s="27"/>
      <c r="D49" s="27"/>
      <c r="E49" s="27"/>
      <c r="F49" s="27"/>
    </row>
    <row r="50" spans="1:6" ht="12" customHeight="1" thickBot="1">
      <c r="A50" s="412" t="s">
        <v>139</v>
      </c>
      <c r="B50" s="16" t="s">
        <v>174</v>
      </c>
      <c r="C50" s="27"/>
      <c r="D50" s="27"/>
      <c r="E50" s="27"/>
      <c r="F50" s="27"/>
    </row>
    <row r="51" spans="1:6" ht="12" customHeight="1" thickBot="1">
      <c r="A51" s="356" t="s">
        <v>15</v>
      </c>
      <c r="B51" s="19" t="s">
        <v>412</v>
      </c>
      <c r="C51" s="513">
        <f>SUM(C52:C55)</f>
        <v>2513000</v>
      </c>
      <c r="D51" s="513">
        <f>SUM(D52:D55)</f>
        <v>3032000</v>
      </c>
      <c r="E51" s="513">
        <f>SUM(E52:E55)</f>
        <v>3032000</v>
      </c>
      <c r="F51" s="513">
        <f>SUM(F52:F55)</f>
        <v>3490000</v>
      </c>
    </row>
    <row r="52" spans="1:6" s="207" customFormat="1" ht="12" customHeight="1">
      <c r="A52" s="412" t="s">
        <v>99</v>
      </c>
      <c r="B52" s="18" t="s">
        <v>217</v>
      </c>
      <c r="C52" s="20">
        <v>2513000</v>
      </c>
      <c r="D52" s="20">
        <f>2513000+519000</f>
        <v>3032000</v>
      </c>
      <c r="E52" s="20">
        <f>2513000+519000</f>
        <v>3032000</v>
      </c>
      <c r="F52" s="20">
        <f>2513000+519000+458000</f>
        <v>3490000</v>
      </c>
    </row>
    <row r="53" spans="1:6" s="207" customFormat="1" ht="12" customHeight="1">
      <c r="A53" s="412"/>
      <c r="B53" s="18" t="s">
        <v>748</v>
      </c>
      <c r="C53" s="20"/>
      <c r="D53" s="20"/>
      <c r="E53" s="20"/>
      <c r="F53" s="20"/>
    </row>
    <row r="54" spans="1:6" ht="12" customHeight="1">
      <c r="A54" s="412" t="s">
        <v>100</v>
      </c>
      <c r="B54" s="16" t="s">
        <v>176</v>
      </c>
      <c r="C54" s="27"/>
      <c r="D54" s="27"/>
      <c r="E54" s="27"/>
      <c r="F54" s="27"/>
    </row>
    <row r="55" spans="1:6" ht="12" customHeight="1">
      <c r="A55" s="412" t="s">
        <v>101</v>
      </c>
      <c r="B55" s="16" t="s">
        <v>53</v>
      </c>
      <c r="C55" s="27"/>
      <c r="D55" s="27"/>
      <c r="E55" s="27"/>
      <c r="F55" s="27"/>
    </row>
    <row r="56" spans="1:6" ht="12" customHeight="1" thickBot="1">
      <c r="A56" s="412" t="s">
        <v>102</v>
      </c>
      <c r="B56" s="16" t="s">
        <v>515</v>
      </c>
      <c r="C56" s="27"/>
      <c r="D56" s="27"/>
      <c r="E56" s="27"/>
      <c r="F56" s="27"/>
    </row>
    <row r="57" spans="1:6" ht="15" customHeight="1" thickBot="1">
      <c r="A57" s="356" t="s">
        <v>16</v>
      </c>
      <c r="B57" s="19" t="s">
        <v>10</v>
      </c>
      <c r="C57" s="518"/>
      <c r="D57" s="518"/>
      <c r="E57" s="518"/>
      <c r="F57" s="518"/>
    </row>
    <row r="58" spans="1:6" ht="13.5" thickBot="1">
      <c r="A58" s="356" t="s">
        <v>17</v>
      </c>
      <c r="B58" s="421" t="s">
        <v>520</v>
      </c>
      <c r="C58" s="524">
        <f>+C45+C51+C57</f>
        <v>57723527</v>
      </c>
      <c r="D58" s="524">
        <f>+D45+D51+D57</f>
        <v>58583102</v>
      </c>
      <c r="E58" s="524">
        <f>+E45+E51+E57</f>
        <v>60283102</v>
      </c>
      <c r="F58" s="524">
        <f>+F45+F51+F57</f>
        <v>60741102</v>
      </c>
    </row>
    <row r="59" spans="1:6" ht="15" customHeight="1" thickBot="1">
      <c r="C59" s="29"/>
      <c r="D59" s="29"/>
      <c r="E59" s="29"/>
      <c r="F59" s="29"/>
    </row>
    <row r="60" spans="1:6" ht="14.25" customHeight="1" thickBot="1">
      <c r="A60" s="30" t="s">
        <v>510</v>
      </c>
      <c r="B60" s="31"/>
      <c r="C60" s="32">
        <v>3.25</v>
      </c>
      <c r="D60" s="32">
        <v>4</v>
      </c>
      <c r="E60" s="32">
        <v>4</v>
      </c>
      <c r="F60" s="32">
        <v>4</v>
      </c>
    </row>
    <row r="61" spans="1:6" ht="13.5" thickBot="1">
      <c r="A61" s="30" t="s">
        <v>194</v>
      </c>
      <c r="B61" s="31"/>
      <c r="C61" s="32"/>
      <c r="D61" s="32"/>
      <c r="E61" s="32"/>
      <c r="F61" s="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indexed="57"/>
  </sheetPr>
  <dimension ref="A1:F60"/>
  <sheetViews>
    <sheetView topLeftCell="C1" zoomScaleNormal="100" workbookViewId="0">
      <selection activeCell="G41" sqref="G41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5" width="25.5" style="9" customWidth="1"/>
    <col min="6" max="6" width="25" style="9" customWidth="1"/>
    <col min="7" max="16384" width="9.33203125" style="9"/>
  </cols>
  <sheetData>
    <row r="1" spans="1:6" s="100" customFormat="1" ht="21" customHeight="1" thickBot="1">
      <c r="A1" s="1"/>
      <c r="B1" s="408" t="str">
        <f>+CONCATENATE("9.3.2. melléklet a ……/",LEFT([1]ÖSSZEFÜGGÉSEK!E5,4),". (….) önkormányzati rendelethez")</f>
        <v>9.3.2. melléklet a ……/. (….) önkormányzati rendelethez</v>
      </c>
      <c r="C1" s="408"/>
      <c r="D1" s="408"/>
      <c r="E1" s="408"/>
      <c r="F1" s="408"/>
    </row>
    <row r="2" spans="1:6" s="103" customFormat="1" ht="32.25" customHeight="1">
      <c r="A2" s="2" t="s">
        <v>192</v>
      </c>
      <c r="B2" s="3" t="s">
        <v>538</v>
      </c>
      <c r="C2" s="510" t="s">
        <v>55</v>
      </c>
      <c r="D2" s="510" t="s">
        <v>55</v>
      </c>
      <c r="E2" s="510" t="s">
        <v>55</v>
      </c>
      <c r="F2" s="510" t="s">
        <v>55</v>
      </c>
    </row>
    <row r="3" spans="1:6" s="103" customFormat="1" ht="24.75" thickBot="1">
      <c r="A3" s="409" t="s">
        <v>191</v>
      </c>
      <c r="B3" s="4" t="s">
        <v>414</v>
      </c>
      <c r="C3" s="511" t="s">
        <v>55</v>
      </c>
      <c r="D3" s="511" t="s">
        <v>55</v>
      </c>
      <c r="E3" s="511" t="s">
        <v>55</v>
      </c>
      <c r="F3" s="511" t="s">
        <v>55</v>
      </c>
    </row>
    <row r="4" spans="1:6" s="106" customFormat="1" ht="15.95" customHeight="1" thickBot="1">
      <c r="A4" s="5"/>
      <c r="B4" s="5"/>
      <c r="C4" s="6" t="s">
        <v>589</v>
      </c>
      <c r="D4" s="6" t="s">
        <v>589</v>
      </c>
      <c r="E4" s="6" t="s">
        <v>589</v>
      </c>
      <c r="F4" s="6" t="s">
        <v>589</v>
      </c>
    </row>
    <row r="5" spans="1:6" ht="24.75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750</v>
      </c>
    </row>
    <row r="6" spans="1:6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5.95" customHeight="1" thickBot="1">
      <c r="A7" s="13"/>
      <c r="B7" s="14" t="s">
        <v>51</v>
      </c>
      <c r="C7" s="512"/>
      <c r="D7" s="512"/>
      <c r="E7" s="512"/>
      <c r="F7" s="512"/>
    </row>
    <row r="8" spans="1:6" s="197" customFormat="1" ht="12" customHeight="1" thickBot="1">
      <c r="A8" s="10" t="s">
        <v>14</v>
      </c>
      <c r="B8" s="410" t="s">
        <v>511</v>
      </c>
      <c r="C8" s="513">
        <f>SUM(C9:C19)</f>
        <v>0</v>
      </c>
      <c r="D8" s="513">
        <f>SUM(D9:D19)</f>
        <v>0</v>
      </c>
      <c r="E8" s="513">
        <f>SUM(E9:E19)</f>
        <v>0</v>
      </c>
      <c r="F8" s="513">
        <f>SUM(F9:F19)</f>
        <v>0</v>
      </c>
    </row>
    <row r="9" spans="1:6" s="197" customFormat="1" ht="12" customHeight="1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2" customHeight="1">
      <c r="A10" s="412" t="s">
        <v>94</v>
      </c>
      <c r="B10" s="16" t="s">
        <v>271</v>
      </c>
      <c r="C10" s="515"/>
      <c r="D10" s="515"/>
      <c r="E10" s="515"/>
      <c r="F10" s="515"/>
    </row>
    <row r="11" spans="1:6" s="197" customFormat="1" ht="12" customHeight="1">
      <c r="A11" s="412" t="s">
        <v>95</v>
      </c>
      <c r="B11" s="16" t="s">
        <v>272</v>
      </c>
      <c r="C11" s="515"/>
      <c r="D11" s="515"/>
      <c r="E11" s="515"/>
      <c r="F11" s="515"/>
    </row>
    <row r="12" spans="1:6" s="197" customFormat="1" ht="12" customHeight="1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2" customHeight="1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2" customHeight="1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2" customHeight="1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2" customHeight="1">
      <c r="A16" s="412" t="s">
        <v>108</v>
      </c>
      <c r="B16" s="16" t="s">
        <v>277</v>
      </c>
      <c r="C16" s="516"/>
      <c r="D16" s="516"/>
      <c r="E16" s="516"/>
      <c r="F16" s="516"/>
    </row>
    <row r="17" spans="1:6" s="199" customFormat="1" ht="12" customHeight="1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2" customHeight="1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2" customHeight="1" thickBot="1">
      <c r="A19" s="412" t="s">
        <v>111</v>
      </c>
      <c r="B19" s="17" t="s">
        <v>279</v>
      </c>
      <c r="C19" s="517"/>
      <c r="D19" s="517"/>
      <c r="E19" s="517"/>
      <c r="F19" s="517"/>
    </row>
    <row r="20" spans="1:6" s="197" customFormat="1" ht="12" customHeight="1" thickBot="1">
      <c r="A20" s="10" t="s">
        <v>15</v>
      </c>
      <c r="B20" s="410" t="s">
        <v>397</v>
      </c>
      <c r="C20" s="513">
        <f>SUM(C21:C23)</f>
        <v>0</v>
      </c>
      <c r="D20" s="513">
        <f>SUM(D21:D23)</f>
        <v>0</v>
      </c>
      <c r="E20" s="513">
        <f>SUM(E21:E23)</f>
        <v>0</v>
      </c>
      <c r="F20" s="513">
        <f>SUM(F21:F23)</f>
        <v>0</v>
      </c>
    </row>
    <row r="21" spans="1:6" s="199" customFormat="1" ht="12" customHeight="1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12" customHeight="1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12" customHeight="1">
      <c r="A23" s="412" t="s">
        <v>101</v>
      </c>
      <c r="B23" s="16" t="s">
        <v>399</v>
      </c>
      <c r="C23" s="515"/>
      <c r="D23" s="515"/>
      <c r="E23" s="515"/>
      <c r="F23" s="515"/>
    </row>
    <row r="24" spans="1:6" s="199" customFormat="1" ht="12" customHeight="1" thickBot="1">
      <c r="A24" s="412" t="s">
        <v>102</v>
      </c>
      <c r="B24" s="16" t="s">
        <v>516</v>
      </c>
      <c r="C24" s="515"/>
      <c r="D24" s="515"/>
      <c r="E24" s="515"/>
      <c r="F24" s="515"/>
    </row>
    <row r="25" spans="1:6" s="199" customFormat="1" ht="12" customHeight="1" thickBot="1">
      <c r="A25" s="356" t="s">
        <v>16</v>
      </c>
      <c r="B25" s="19" t="s">
        <v>163</v>
      </c>
      <c r="C25" s="518"/>
      <c r="D25" s="518"/>
      <c r="E25" s="518"/>
      <c r="F25" s="518"/>
    </row>
    <row r="26" spans="1:6" s="199" customFormat="1" ht="12" customHeight="1" thickBot="1">
      <c r="A26" s="356" t="s">
        <v>17</v>
      </c>
      <c r="B26" s="19" t="s">
        <v>400</v>
      </c>
      <c r="C26" s="513">
        <f>+C27+C28</f>
        <v>0</v>
      </c>
      <c r="D26" s="513">
        <f>+D27+D28</f>
        <v>0</v>
      </c>
      <c r="E26" s="513">
        <f>+E27+E28</f>
        <v>0</v>
      </c>
      <c r="F26" s="513">
        <f>+F27+F28</f>
        <v>0</v>
      </c>
    </row>
    <row r="27" spans="1:6" s="199" customFormat="1" ht="12" customHeight="1">
      <c r="A27" s="413" t="s">
        <v>257</v>
      </c>
      <c r="B27" s="414" t="s">
        <v>398</v>
      </c>
      <c r="C27" s="20"/>
      <c r="D27" s="20"/>
      <c r="E27" s="20"/>
      <c r="F27" s="20"/>
    </row>
    <row r="28" spans="1:6" s="199" customFormat="1" ht="12" customHeight="1">
      <c r="A28" s="413" t="s">
        <v>260</v>
      </c>
      <c r="B28" s="415" t="s">
        <v>401</v>
      </c>
      <c r="C28" s="519"/>
      <c r="D28" s="519"/>
      <c r="E28" s="519"/>
      <c r="F28" s="519"/>
    </row>
    <row r="29" spans="1:6" s="199" customFormat="1" ht="12" customHeight="1" thickBot="1">
      <c r="A29" s="412" t="s">
        <v>261</v>
      </c>
      <c r="B29" s="416" t="s">
        <v>517</v>
      </c>
      <c r="C29" s="21"/>
      <c r="D29" s="21"/>
      <c r="E29" s="21"/>
      <c r="F29" s="21"/>
    </row>
    <row r="30" spans="1:6" s="199" customFormat="1" ht="12" customHeight="1" thickBot="1">
      <c r="A30" s="356" t="s">
        <v>18</v>
      </c>
      <c r="B30" s="19" t="s">
        <v>402</v>
      </c>
      <c r="C30" s="513">
        <f>+C31+C32+C33</f>
        <v>0</v>
      </c>
      <c r="D30" s="513">
        <f>+D31+D32+D33</f>
        <v>0</v>
      </c>
      <c r="E30" s="513">
        <f>+E31+E32+E33</f>
        <v>0</v>
      </c>
      <c r="F30" s="513">
        <f>+F31+F32+F33</f>
        <v>0</v>
      </c>
    </row>
    <row r="31" spans="1:6" s="199" customFormat="1" ht="12" customHeight="1">
      <c r="A31" s="413" t="s">
        <v>86</v>
      </c>
      <c r="B31" s="414" t="s">
        <v>284</v>
      </c>
      <c r="C31" s="20"/>
      <c r="D31" s="20"/>
      <c r="E31" s="20"/>
      <c r="F31" s="20"/>
    </row>
    <row r="32" spans="1:6" s="199" customFormat="1" ht="12" customHeight="1">
      <c r="A32" s="413" t="s">
        <v>87</v>
      </c>
      <c r="B32" s="415" t="s">
        <v>285</v>
      </c>
      <c r="C32" s="519"/>
      <c r="D32" s="519"/>
      <c r="E32" s="519"/>
      <c r="F32" s="519"/>
    </row>
    <row r="33" spans="1:6" s="199" customFormat="1" ht="12" customHeight="1" thickBot="1">
      <c r="A33" s="412" t="s">
        <v>88</v>
      </c>
      <c r="B33" s="416" t="s">
        <v>286</v>
      </c>
      <c r="C33" s="21"/>
      <c r="D33" s="21"/>
      <c r="E33" s="21"/>
      <c r="F33" s="21"/>
    </row>
    <row r="34" spans="1:6" s="197" customFormat="1" ht="12" customHeight="1" thickBot="1">
      <c r="A34" s="356" t="s">
        <v>19</v>
      </c>
      <c r="B34" s="19" t="s">
        <v>371</v>
      </c>
      <c r="C34" s="518"/>
      <c r="D34" s="518"/>
      <c r="E34" s="518"/>
      <c r="F34" s="518"/>
    </row>
    <row r="35" spans="1:6" s="197" customFormat="1" ht="12" customHeight="1" thickBot="1">
      <c r="A35" s="356" t="s">
        <v>20</v>
      </c>
      <c r="B35" s="19" t="s">
        <v>403</v>
      </c>
      <c r="C35" s="520"/>
      <c r="D35" s="520"/>
      <c r="E35" s="520"/>
      <c r="F35" s="520"/>
    </row>
    <row r="36" spans="1:6" s="197" customFormat="1" ht="12" customHeight="1" thickBot="1">
      <c r="A36" s="10" t="s">
        <v>21</v>
      </c>
      <c r="B36" s="19" t="s">
        <v>518</v>
      </c>
      <c r="C36" s="521">
        <f>+C8+C20+C25+C26+C30+C34+C35</f>
        <v>0</v>
      </c>
      <c r="D36" s="521">
        <f>+D8+D20+D25+D26+D30+D34+D35</f>
        <v>0</v>
      </c>
      <c r="E36" s="521">
        <f>+E8+E20+E25+E26+E30+E34+E35</f>
        <v>0</v>
      </c>
      <c r="F36" s="521">
        <f>+F8+F20+F25+F26+F30+F34+F35</f>
        <v>0</v>
      </c>
    </row>
    <row r="37" spans="1:6" s="197" customFormat="1" ht="12" customHeight="1" thickBot="1">
      <c r="A37" s="417" t="s">
        <v>22</v>
      </c>
      <c r="B37" s="19" t="s">
        <v>405</v>
      </c>
      <c r="C37" s="521">
        <f>+C38+C39+C40</f>
        <v>0</v>
      </c>
      <c r="D37" s="521">
        <f>+D38+D39+D40</f>
        <v>0</v>
      </c>
      <c r="E37" s="521">
        <f>+E38+E39+E40</f>
        <v>0</v>
      </c>
      <c r="F37" s="521">
        <f>+F38+F39+F40</f>
        <v>0</v>
      </c>
    </row>
    <row r="38" spans="1:6" s="197" customFormat="1" ht="12" customHeight="1">
      <c r="A38" s="413" t="s">
        <v>406</v>
      </c>
      <c r="B38" s="414" t="s">
        <v>226</v>
      </c>
      <c r="C38" s="20"/>
      <c r="D38" s="20"/>
      <c r="E38" s="20"/>
      <c r="F38" s="20"/>
    </row>
    <row r="39" spans="1:6" s="197" customFormat="1" ht="12" customHeight="1">
      <c r="A39" s="413" t="s">
        <v>407</v>
      </c>
      <c r="B39" s="415" t="s">
        <v>0</v>
      </c>
      <c r="C39" s="519"/>
      <c r="D39" s="519"/>
      <c r="E39" s="519"/>
      <c r="F39" s="519"/>
    </row>
    <row r="40" spans="1:6" s="199" customFormat="1" ht="12" customHeight="1" thickBot="1">
      <c r="A40" s="412" t="s">
        <v>408</v>
      </c>
      <c r="B40" s="416" t="s">
        <v>409</v>
      </c>
      <c r="C40" s="21"/>
      <c r="D40" s="21"/>
      <c r="E40" s="21"/>
      <c r="F40" s="21"/>
    </row>
    <row r="41" spans="1:6" s="199" customFormat="1" ht="15" customHeight="1" thickBot="1">
      <c r="A41" s="417" t="s">
        <v>23</v>
      </c>
      <c r="B41" s="418" t="s">
        <v>410</v>
      </c>
      <c r="C41" s="522">
        <f>+C36+C37</f>
        <v>0</v>
      </c>
      <c r="D41" s="522">
        <f>+D36+D37</f>
        <v>0</v>
      </c>
      <c r="E41" s="522">
        <f>+E36+E37</f>
        <v>0</v>
      </c>
      <c r="F41" s="522">
        <f>+F36+F37</f>
        <v>0</v>
      </c>
    </row>
    <row r="42" spans="1:6" s="199" customFormat="1" ht="15" customHeight="1">
      <c r="A42" s="22"/>
      <c r="B42" s="23"/>
      <c r="C42" s="24"/>
      <c r="D42" s="24"/>
      <c r="E42" s="24"/>
      <c r="F42" s="24"/>
    </row>
    <row r="43" spans="1:6" ht="13.5" thickBot="1">
      <c r="A43" s="419"/>
      <c r="B43" s="420"/>
      <c r="C43" s="523"/>
      <c r="D43" s="523"/>
      <c r="E43" s="523"/>
      <c r="F43" s="523"/>
    </row>
    <row r="44" spans="1:6" s="107" customFormat="1" ht="16.5" customHeight="1" thickBot="1">
      <c r="A44" s="25"/>
      <c r="B44" s="26" t="s">
        <v>52</v>
      </c>
      <c r="C44" s="522"/>
      <c r="D44" s="522"/>
      <c r="E44" s="522"/>
      <c r="F44" s="522"/>
    </row>
    <row r="45" spans="1:6" s="207" customFormat="1" ht="12" customHeight="1" thickBot="1">
      <c r="A45" s="356" t="s">
        <v>14</v>
      </c>
      <c r="B45" s="19" t="s">
        <v>411</v>
      </c>
      <c r="C45" s="513">
        <f>SUM(C46:C50)</f>
        <v>0</v>
      </c>
      <c r="D45" s="513">
        <f>SUM(D46:D50)</f>
        <v>0</v>
      </c>
      <c r="E45" s="513">
        <f>SUM(E46:E50)</f>
        <v>0</v>
      </c>
      <c r="F45" s="513">
        <f>SUM(F46:F50)</f>
        <v>0</v>
      </c>
    </row>
    <row r="46" spans="1:6" ht="12" customHeight="1">
      <c r="A46" s="412" t="s">
        <v>93</v>
      </c>
      <c r="B46" s="18" t="s">
        <v>44</v>
      </c>
      <c r="C46" s="20"/>
      <c r="D46" s="20"/>
      <c r="E46" s="20"/>
      <c r="F46" s="20"/>
    </row>
    <row r="47" spans="1:6" ht="12" customHeight="1">
      <c r="A47" s="412" t="s">
        <v>94</v>
      </c>
      <c r="B47" s="16" t="s">
        <v>172</v>
      </c>
      <c r="C47" s="27"/>
      <c r="D47" s="27"/>
      <c r="E47" s="27"/>
      <c r="F47" s="27"/>
    </row>
    <row r="48" spans="1:6" ht="12" customHeight="1">
      <c r="A48" s="412" t="s">
        <v>95</v>
      </c>
      <c r="B48" s="16" t="s">
        <v>131</v>
      </c>
      <c r="C48" s="27"/>
      <c r="D48" s="27"/>
      <c r="E48" s="27"/>
      <c r="F48" s="27"/>
    </row>
    <row r="49" spans="1:6" ht="12" customHeight="1">
      <c r="A49" s="412" t="s">
        <v>96</v>
      </c>
      <c r="B49" s="16" t="s">
        <v>173</v>
      </c>
      <c r="C49" s="27"/>
      <c r="D49" s="27"/>
      <c r="E49" s="27"/>
      <c r="F49" s="27"/>
    </row>
    <row r="50" spans="1:6" ht="12" customHeight="1" thickBot="1">
      <c r="A50" s="412" t="s">
        <v>139</v>
      </c>
      <c r="B50" s="16" t="s">
        <v>174</v>
      </c>
      <c r="C50" s="27"/>
      <c r="D50" s="27"/>
      <c r="E50" s="27"/>
      <c r="F50" s="27"/>
    </row>
    <row r="51" spans="1:6" ht="12" customHeight="1" thickBot="1">
      <c r="A51" s="356" t="s">
        <v>15</v>
      </c>
      <c r="B51" s="19" t="s">
        <v>412</v>
      </c>
      <c r="C51" s="513">
        <f>SUM(C52:C54)</f>
        <v>0</v>
      </c>
      <c r="D51" s="513">
        <f>SUM(D52:D54)</f>
        <v>0</v>
      </c>
      <c r="E51" s="513">
        <f>SUM(E52:E54)</f>
        <v>0</v>
      </c>
      <c r="F51" s="513">
        <f>SUM(F52:F54)</f>
        <v>0</v>
      </c>
    </row>
    <row r="52" spans="1:6" s="207" customFormat="1" ht="12" customHeight="1">
      <c r="A52" s="412" t="s">
        <v>99</v>
      </c>
      <c r="B52" s="18" t="s">
        <v>217</v>
      </c>
      <c r="C52" s="20"/>
      <c r="D52" s="20"/>
      <c r="E52" s="20"/>
      <c r="F52" s="20"/>
    </row>
    <row r="53" spans="1:6" ht="12" customHeight="1">
      <c r="A53" s="412" t="s">
        <v>100</v>
      </c>
      <c r="B53" s="16" t="s">
        <v>176</v>
      </c>
      <c r="C53" s="27"/>
      <c r="D53" s="27"/>
      <c r="E53" s="27"/>
      <c r="F53" s="27"/>
    </row>
    <row r="54" spans="1:6" ht="12" customHeight="1">
      <c r="A54" s="412" t="s">
        <v>101</v>
      </c>
      <c r="B54" s="16" t="s">
        <v>53</v>
      </c>
      <c r="C54" s="27"/>
      <c r="D54" s="27"/>
      <c r="E54" s="27"/>
      <c r="F54" s="27"/>
    </row>
    <row r="55" spans="1:6" ht="12" customHeight="1" thickBot="1">
      <c r="A55" s="412" t="s">
        <v>102</v>
      </c>
      <c r="B55" s="16" t="s">
        <v>515</v>
      </c>
      <c r="C55" s="27"/>
      <c r="D55" s="27"/>
      <c r="E55" s="27"/>
      <c r="F55" s="27"/>
    </row>
    <row r="56" spans="1:6" ht="15" customHeight="1" thickBot="1">
      <c r="A56" s="356" t="s">
        <v>16</v>
      </c>
      <c r="B56" s="19" t="s">
        <v>10</v>
      </c>
      <c r="C56" s="518"/>
      <c r="D56" s="518"/>
      <c r="E56" s="518"/>
      <c r="F56" s="518"/>
    </row>
    <row r="57" spans="1:6" ht="13.5" thickBot="1">
      <c r="A57" s="356" t="s">
        <v>17</v>
      </c>
      <c r="B57" s="421" t="s">
        <v>520</v>
      </c>
      <c r="C57" s="524">
        <f>+C45+C51+C56</f>
        <v>0</v>
      </c>
      <c r="D57" s="524">
        <f>+D45+D51+D56</f>
        <v>0</v>
      </c>
      <c r="E57" s="524">
        <f>+E45+E51+E56</f>
        <v>0</v>
      </c>
      <c r="F57" s="524">
        <f>+F45+F51+F56</f>
        <v>0</v>
      </c>
    </row>
    <row r="58" spans="1:6" ht="15" customHeight="1" thickBot="1">
      <c r="C58" s="29"/>
      <c r="D58" s="29"/>
      <c r="E58" s="29"/>
      <c r="F58" s="29"/>
    </row>
    <row r="59" spans="1:6" ht="14.25" customHeight="1" thickBot="1">
      <c r="A59" s="30" t="s">
        <v>510</v>
      </c>
      <c r="B59" s="31"/>
      <c r="C59" s="32"/>
      <c r="D59" s="32"/>
      <c r="E59" s="32"/>
      <c r="F59" s="32"/>
    </row>
    <row r="60" spans="1:6" ht="13.5" thickBot="1">
      <c r="A60" s="30" t="s">
        <v>194</v>
      </c>
      <c r="B60" s="31"/>
      <c r="C60" s="32"/>
      <c r="D60" s="32"/>
      <c r="E60" s="32"/>
      <c r="F60" s="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indexed="57"/>
  </sheetPr>
  <dimension ref="A1:F60"/>
  <sheetViews>
    <sheetView topLeftCell="B31" zoomScaleNormal="100" workbookViewId="0">
      <selection activeCell="G41" sqref="G41"/>
    </sheetView>
  </sheetViews>
  <sheetFormatPr defaultRowHeight="12.75"/>
  <cols>
    <col min="1" max="1" width="13.83203125" style="28" customWidth="1"/>
    <col min="2" max="2" width="79.1640625" style="9" customWidth="1"/>
    <col min="3" max="6" width="25" style="9" customWidth="1"/>
    <col min="7" max="16384" width="9.33203125" style="9"/>
  </cols>
  <sheetData>
    <row r="1" spans="1:6" s="100" customFormat="1" ht="21" customHeight="1" thickBot="1">
      <c r="A1" s="1"/>
      <c r="B1" s="408" t="str">
        <f>+CONCATENATE("9.3.3. melléklet a ……/",LEFT([1]ÖSSZEFÜGGÉSEK!E5,4),". (….) önkormányzati rendelethez")</f>
        <v>9.3.3. melléklet a ……/. (….) önkormányzati rendelethez</v>
      </c>
      <c r="C1" s="408"/>
      <c r="D1" s="408"/>
      <c r="E1" s="408"/>
      <c r="F1" s="408"/>
    </row>
    <row r="2" spans="1:6" s="103" customFormat="1" ht="33" customHeight="1">
      <c r="A2" s="2" t="s">
        <v>192</v>
      </c>
      <c r="B2" s="3" t="s">
        <v>538</v>
      </c>
      <c r="C2" s="510" t="s">
        <v>55</v>
      </c>
      <c r="D2" s="510" t="s">
        <v>55</v>
      </c>
      <c r="E2" s="510" t="s">
        <v>55</v>
      </c>
      <c r="F2" s="510" t="s">
        <v>55</v>
      </c>
    </row>
    <row r="3" spans="1:6" s="103" customFormat="1" ht="24.75" thickBot="1">
      <c r="A3" s="409" t="s">
        <v>191</v>
      </c>
      <c r="B3" s="4" t="s">
        <v>521</v>
      </c>
      <c r="C3" s="511" t="s">
        <v>425</v>
      </c>
      <c r="D3" s="511" t="s">
        <v>425</v>
      </c>
      <c r="E3" s="511" t="s">
        <v>425</v>
      </c>
      <c r="F3" s="511" t="s">
        <v>425</v>
      </c>
    </row>
    <row r="4" spans="1:6" s="106" customFormat="1" ht="15.95" customHeight="1" thickBot="1">
      <c r="A4" s="5"/>
      <c r="B4" s="5"/>
      <c r="C4" s="6" t="s">
        <v>589</v>
      </c>
      <c r="D4" s="6" t="s">
        <v>589</v>
      </c>
      <c r="E4" s="6" t="s">
        <v>589</v>
      </c>
      <c r="F4" s="6" t="s">
        <v>589</v>
      </c>
    </row>
    <row r="5" spans="1:6" ht="24.75" thickBot="1">
      <c r="A5" s="7" t="s">
        <v>193</v>
      </c>
      <c r="B5" s="8" t="s">
        <v>50</v>
      </c>
      <c r="C5" s="569" t="s">
        <v>690</v>
      </c>
      <c r="D5" s="569" t="s">
        <v>719</v>
      </c>
      <c r="E5" s="569" t="s">
        <v>729</v>
      </c>
      <c r="F5" s="569" t="s">
        <v>750</v>
      </c>
    </row>
    <row r="6" spans="1:6" s="107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  <c r="E6" s="12" t="s">
        <v>485</v>
      </c>
      <c r="F6" s="12" t="s">
        <v>485</v>
      </c>
    </row>
    <row r="7" spans="1:6" s="107" customFormat="1" ht="15.95" customHeight="1" thickBot="1">
      <c r="A7" s="13"/>
      <c r="B7" s="14" t="s">
        <v>51</v>
      </c>
      <c r="C7" s="512"/>
      <c r="D7" s="512"/>
      <c r="E7" s="512"/>
      <c r="F7" s="512"/>
    </row>
    <row r="8" spans="1:6" s="197" customFormat="1" ht="12" customHeight="1" thickBot="1">
      <c r="A8" s="10" t="s">
        <v>14</v>
      </c>
      <c r="B8" s="410" t="s">
        <v>511</v>
      </c>
      <c r="C8" s="513">
        <f>SUM(C9:C19)</f>
        <v>0</v>
      </c>
      <c r="D8" s="513">
        <f>SUM(D9:D19)</f>
        <v>0</v>
      </c>
      <c r="E8" s="513">
        <f>SUM(E9:E19)</f>
        <v>0</v>
      </c>
      <c r="F8" s="513">
        <f>SUM(F9:F19)</f>
        <v>0</v>
      </c>
    </row>
    <row r="9" spans="1:6" s="197" customFormat="1" ht="12" customHeight="1">
      <c r="A9" s="411" t="s">
        <v>93</v>
      </c>
      <c r="B9" s="15" t="s">
        <v>270</v>
      </c>
      <c r="C9" s="514"/>
      <c r="D9" s="514"/>
      <c r="E9" s="514"/>
      <c r="F9" s="514"/>
    </row>
    <row r="10" spans="1:6" s="197" customFormat="1" ht="12" customHeight="1">
      <c r="A10" s="412" t="s">
        <v>94</v>
      </c>
      <c r="B10" s="16" t="s">
        <v>271</v>
      </c>
      <c r="C10" s="515"/>
      <c r="D10" s="515"/>
      <c r="E10" s="515"/>
      <c r="F10" s="515"/>
    </row>
    <row r="11" spans="1:6" s="197" customFormat="1" ht="12" customHeight="1">
      <c r="A11" s="412" t="s">
        <v>95</v>
      </c>
      <c r="B11" s="16" t="s">
        <v>272</v>
      </c>
      <c r="C11" s="515"/>
      <c r="D11" s="515"/>
      <c r="E11" s="515"/>
      <c r="F11" s="515"/>
    </row>
    <row r="12" spans="1:6" s="197" customFormat="1" ht="12" customHeight="1">
      <c r="A12" s="412" t="s">
        <v>96</v>
      </c>
      <c r="B12" s="16" t="s">
        <v>273</v>
      </c>
      <c r="C12" s="515"/>
      <c r="D12" s="515"/>
      <c r="E12" s="515"/>
      <c r="F12" s="515"/>
    </row>
    <row r="13" spans="1:6" s="197" customFormat="1" ht="12" customHeight="1">
      <c r="A13" s="412" t="s">
        <v>139</v>
      </c>
      <c r="B13" s="16" t="s">
        <v>274</v>
      </c>
      <c r="C13" s="515"/>
      <c r="D13" s="515"/>
      <c r="E13" s="515"/>
      <c r="F13" s="515"/>
    </row>
    <row r="14" spans="1:6" s="197" customFormat="1" ht="12" customHeight="1">
      <c r="A14" s="412" t="s">
        <v>97</v>
      </c>
      <c r="B14" s="16" t="s">
        <v>395</v>
      </c>
      <c r="C14" s="515"/>
      <c r="D14" s="515"/>
      <c r="E14" s="515"/>
      <c r="F14" s="515"/>
    </row>
    <row r="15" spans="1:6" s="197" customFormat="1" ht="12" customHeight="1">
      <c r="A15" s="412" t="s">
        <v>98</v>
      </c>
      <c r="B15" s="17" t="s">
        <v>396</v>
      </c>
      <c r="C15" s="515"/>
      <c r="D15" s="515"/>
      <c r="E15" s="515"/>
      <c r="F15" s="515"/>
    </row>
    <row r="16" spans="1:6" s="197" customFormat="1" ht="12" customHeight="1">
      <c r="A16" s="412" t="s">
        <v>108</v>
      </c>
      <c r="B16" s="16" t="s">
        <v>277</v>
      </c>
      <c r="C16" s="516"/>
      <c r="D16" s="516"/>
      <c r="E16" s="516"/>
      <c r="F16" s="516"/>
    </row>
    <row r="17" spans="1:6" s="199" customFormat="1" ht="12" customHeight="1">
      <c r="A17" s="412" t="s">
        <v>109</v>
      </c>
      <c r="B17" s="16" t="s">
        <v>278</v>
      </c>
      <c r="C17" s="515"/>
      <c r="D17" s="515"/>
      <c r="E17" s="515"/>
      <c r="F17" s="515"/>
    </row>
    <row r="18" spans="1:6" s="199" customFormat="1" ht="12" customHeight="1">
      <c r="A18" s="412" t="s">
        <v>110</v>
      </c>
      <c r="B18" s="16" t="s">
        <v>430</v>
      </c>
      <c r="C18" s="517"/>
      <c r="D18" s="517"/>
      <c r="E18" s="517"/>
      <c r="F18" s="517"/>
    </row>
    <row r="19" spans="1:6" s="199" customFormat="1" ht="12" customHeight="1" thickBot="1">
      <c r="A19" s="412" t="s">
        <v>111</v>
      </c>
      <c r="B19" s="17" t="s">
        <v>279</v>
      </c>
      <c r="C19" s="517"/>
      <c r="D19" s="517"/>
      <c r="E19" s="517"/>
      <c r="F19" s="517"/>
    </row>
    <row r="20" spans="1:6" s="197" customFormat="1" ht="12" customHeight="1" thickBot="1">
      <c r="A20" s="10" t="s">
        <v>15</v>
      </c>
      <c r="B20" s="410" t="s">
        <v>397</v>
      </c>
      <c r="C20" s="513">
        <f>SUM(C21:C23)</f>
        <v>0</v>
      </c>
      <c r="D20" s="513">
        <f>SUM(D21:D23)</f>
        <v>0</v>
      </c>
      <c r="E20" s="513">
        <f>SUM(E21:E23)</f>
        <v>0</v>
      </c>
      <c r="F20" s="513">
        <f>SUM(F21:F23)</f>
        <v>0</v>
      </c>
    </row>
    <row r="21" spans="1:6" s="199" customFormat="1" ht="12" customHeight="1">
      <c r="A21" s="412" t="s">
        <v>99</v>
      </c>
      <c r="B21" s="18" t="s">
        <v>247</v>
      </c>
      <c r="C21" s="515"/>
      <c r="D21" s="515"/>
      <c r="E21" s="515"/>
      <c r="F21" s="515"/>
    </row>
    <row r="22" spans="1:6" s="199" customFormat="1" ht="12" customHeight="1">
      <c r="A22" s="412" t="s">
        <v>100</v>
      </c>
      <c r="B22" s="16" t="s">
        <v>398</v>
      </c>
      <c r="C22" s="515"/>
      <c r="D22" s="515"/>
      <c r="E22" s="515"/>
      <c r="F22" s="515"/>
    </row>
    <row r="23" spans="1:6" s="199" customFormat="1" ht="12" customHeight="1">
      <c r="A23" s="412" t="s">
        <v>101</v>
      </c>
      <c r="B23" s="16" t="s">
        <v>399</v>
      </c>
      <c r="C23" s="515"/>
      <c r="D23" s="515"/>
      <c r="E23" s="515"/>
      <c r="F23" s="515"/>
    </row>
    <row r="24" spans="1:6" s="199" customFormat="1" ht="12" customHeight="1" thickBot="1">
      <c r="A24" s="412" t="s">
        <v>102</v>
      </c>
      <c r="B24" s="16" t="s">
        <v>516</v>
      </c>
      <c r="C24" s="515"/>
      <c r="D24" s="515"/>
      <c r="E24" s="515"/>
      <c r="F24" s="515"/>
    </row>
    <row r="25" spans="1:6" s="199" customFormat="1" ht="12" customHeight="1" thickBot="1">
      <c r="A25" s="356" t="s">
        <v>16</v>
      </c>
      <c r="B25" s="19" t="s">
        <v>163</v>
      </c>
      <c r="C25" s="518"/>
      <c r="D25" s="518"/>
      <c r="E25" s="518"/>
      <c r="F25" s="518"/>
    </row>
    <row r="26" spans="1:6" s="199" customFormat="1" ht="12" customHeight="1" thickBot="1">
      <c r="A26" s="356" t="s">
        <v>17</v>
      </c>
      <c r="B26" s="19" t="s">
        <v>400</v>
      </c>
      <c r="C26" s="513">
        <f>+C27+C28</f>
        <v>0</v>
      </c>
      <c r="D26" s="513">
        <f>+D27+D28</f>
        <v>0</v>
      </c>
      <c r="E26" s="513">
        <f>+E27+E28</f>
        <v>0</v>
      </c>
      <c r="F26" s="513">
        <f>+F27+F28</f>
        <v>0</v>
      </c>
    </row>
    <row r="27" spans="1:6" s="199" customFormat="1" ht="12" customHeight="1">
      <c r="A27" s="413" t="s">
        <v>257</v>
      </c>
      <c r="B27" s="414" t="s">
        <v>398</v>
      </c>
      <c r="C27" s="20"/>
      <c r="D27" s="20"/>
      <c r="E27" s="20"/>
      <c r="F27" s="20"/>
    </row>
    <row r="28" spans="1:6" s="199" customFormat="1" ht="12" customHeight="1">
      <c r="A28" s="413" t="s">
        <v>260</v>
      </c>
      <c r="B28" s="415" t="s">
        <v>401</v>
      </c>
      <c r="C28" s="519"/>
      <c r="D28" s="519"/>
      <c r="E28" s="519"/>
      <c r="F28" s="519"/>
    </row>
    <row r="29" spans="1:6" s="199" customFormat="1" ht="12" customHeight="1" thickBot="1">
      <c r="A29" s="412" t="s">
        <v>261</v>
      </c>
      <c r="B29" s="416" t="s">
        <v>517</v>
      </c>
      <c r="C29" s="21"/>
      <c r="D29" s="21"/>
      <c r="E29" s="21"/>
      <c r="F29" s="21"/>
    </row>
    <row r="30" spans="1:6" s="199" customFormat="1" ht="12" customHeight="1" thickBot="1">
      <c r="A30" s="356" t="s">
        <v>18</v>
      </c>
      <c r="B30" s="19" t="s">
        <v>402</v>
      </c>
      <c r="C30" s="513">
        <f>+C31+C32+C33</f>
        <v>0</v>
      </c>
      <c r="D30" s="513">
        <f>+D31+D32+D33</f>
        <v>0</v>
      </c>
      <c r="E30" s="513">
        <f>+E31+E32+E33</f>
        <v>0</v>
      </c>
      <c r="F30" s="513">
        <f>+F31+F32+F33</f>
        <v>0</v>
      </c>
    </row>
    <row r="31" spans="1:6" s="199" customFormat="1" ht="12" customHeight="1">
      <c r="A31" s="413" t="s">
        <v>86</v>
      </c>
      <c r="B31" s="414" t="s">
        <v>284</v>
      </c>
      <c r="C31" s="20"/>
      <c r="D31" s="20"/>
      <c r="E31" s="20"/>
      <c r="F31" s="20"/>
    </row>
    <row r="32" spans="1:6" s="199" customFormat="1" ht="12" customHeight="1">
      <c r="A32" s="413" t="s">
        <v>87</v>
      </c>
      <c r="B32" s="415" t="s">
        <v>285</v>
      </c>
      <c r="C32" s="519"/>
      <c r="D32" s="519"/>
      <c r="E32" s="519"/>
      <c r="F32" s="519"/>
    </row>
    <row r="33" spans="1:6" s="199" customFormat="1" ht="12" customHeight="1" thickBot="1">
      <c r="A33" s="412" t="s">
        <v>88</v>
      </c>
      <c r="B33" s="416" t="s">
        <v>286</v>
      </c>
      <c r="C33" s="21"/>
      <c r="D33" s="21"/>
      <c r="E33" s="21"/>
      <c r="F33" s="21"/>
    </row>
    <row r="34" spans="1:6" s="197" customFormat="1" ht="12" customHeight="1" thickBot="1">
      <c r="A34" s="356" t="s">
        <v>19</v>
      </c>
      <c r="B34" s="19" t="s">
        <v>371</v>
      </c>
      <c r="C34" s="518"/>
      <c r="D34" s="518"/>
      <c r="E34" s="518"/>
      <c r="F34" s="518"/>
    </row>
    <row r="35" spans="1:6" s="197" customFormat="1" ht="12" customHeight="1" thickBot="1">
      <c r="A35" s="356" t="s">
        <v>20</v>
      </c>
      <c r="B35" s="19" t="s">
        <v>403</v>
      </c>
      <c r="C35" s="520"/>
      <c r="D35" s="520"/>
      <c r="E35" s="520"/>
      <c r="F35" s="520"/>
    </row>
    <row r="36" spans="1:6" s="197" customFormat="1" ht="12" customHeight="1" thickBot="1">
      <c r="A36" s="10" t="s">
        <v>21</v>
      </c>
      <c r="B36" s="19" t="s">
        <v>518</v>
      </c>
      <c r="C36" s="521">
        <f>+C8+C20+C25+C26+C30+C34+C35</f>
        <v>0</v>
      </c>
      <c r="D36" s="521">
        <f>+D8+D20+D25+D26+D30+D34+D35</f>
        <v>0</v>
      </c>
      <c r="E36" s="521">
        <f>+E8+E20+E25+E26+E30+E34+E35</f>
        <v>0</v>
      </c>
      <c r="F36" s="521">
        <f>+F8+F20+F25+F26+F30+F34+F35</f>
        <v>0</v>
      </c>
    </row>
    <row r="37" spans="1:6" s="197" customFormat="1" ht="12" customHeight="1" thickBot="1">
      <c r="A37" s="417" t="s">
        <v>22</v>
      </c>
      <c r="B37" s="19" t="s">
        <v>405</v>
      </c>
      <c r="C37" s="521">
        <f>+C38+C39+C40</f>
        <v>0</v>
      </c>
      <c r="D37" s="521">
        <f>+D38+D39+D40</f>
        <v>0</v>
      </c>
      <c r="E37" s="521">
        <f>+E38+E39+E40</f>
        <v>0</v>
      </c>
      <c r="F37" s="521">
        <f>+F38+F39+F40</f>
        <v>0</v>
      </c>
    </row>
    <row r="38" spans="1:6" s="197" customFormat="1" ht="12" customHeight="1">
      <c r="A38" s="413" t="s">
        <v>406</v>
      </c>
      <c r="B38" s="414" t="s">
        <v>226</v>
      </c>
      <c r="C38" s="20"/>
      <c r="D38" s="20"/>
      <c r="E38" s="20"/>
      <c r="F38" s="20"/>
    </row>
    <row r="39" spans="1:6" s="197" customFormat="1" ht="12" customHeight="1">
      <c r="A39" s="413" t="s">
        <v>407</v>
      </c>
      <c r="B39" s="415" t="s">
        <v>0</v>
      </c>
      <c r="C39" s="519"/>
      <c r="D39" s="519"/>
      <c r="E39" s="519"/>
      <c r="F39" s="519"/>
    </row>
    <row r="40" spans="1:6" s="199" customFormat="1" ht="12" customHeight="1" thickBot="1">
      <c r="A40" s="412" t="s">
        <v>408</v>
      </c>
      <c r="B40" s="416" t="s">
        <v>409</v>
      </c>
      <c r="C40" s="21"/>
      <c r="D40" s="21"/>
      <c r="E40" s="21"/>
      <c r="F40" s="21"/>
    </row>
    <row r="41" spans="1:6" s="199" customFormat="1" ht="15" customHeight="1" thickBot="1">
      <c r="A41" s="417" t="s">
        <v>23</v>
      </c>
      <c r="B41" s="418" t="s">
        <v>410</v>
      </c>
      <c r="C41" s="522">
        <f>+C36+C37</f>
        <v>0</v>
      </c>
      <c r="D41" s="522">
        <f>+D36+D37</f>
        <v>0</v>
      </c>
      <c r="E41" s="522">
        <f>+E36+E37</f>
        <v>0</v>
      </c>
      <c r="F41" s="522">
        <f>+F36+F37</f>
        <v>0</v>
      </c>
    </row>
    <row r="42" spans="1:6" s="199" customFormat="1" ht="15" customHeight="1">
      <c r="A42" s="22"/>
      <c r="B42" s="23"/>
      <c r="C42" s="24"/>
      <c r="D42" s="24"/>
      <c r="E42" s="24"/>
      <c r="F42" s="24"/>
    </row>
    <row r="43" spans="1:6" ht="13.5" thickBot="1">
      <c r="A43" s="419"/>
      <c r="B43" s="420"/>
      <c r="C43" s="523"/>
      <c r="D43" s="523"/>
      <c r="E43" s="523"/>
      <c r="F43" s="523"/>
    </row>
    <row r="44" spans="1:6" s="107" customFormat="1" ht="16.5" customHeight="1" thickBot="1">
      <c r="A44" s="25"/>
      <c r="B44" s="26" t="s">
        <v>52</v>
      </c>
      <c r="C44" s="522"/>
      <c r="D44" s="522"/>
      <c r="E44" s="522"/>
      <c r="F44" s="522"/>
    </row>
    <row r="45" spans="1:6" s="207" customFormat="1" ht="12" customHeight="1" thickBot="1">
      <c r="A45" s="356" t="s">
        <v>14</v>
      </c>
      <c r="B45" s="19" t="s">
        <v>411</v>
      </c>
      <c r="C45" s="513">
        <f>SUM(C46:C50)</f>
        <v>0</v>
      </c>
      <c r="D45" s="513">
        <f>SUM(D46:D50)</f>
        <v>0</v>
      </c>
      <c r="E45" s="513">
        <f>SUM(E46:E50)</f>
        <v>0</v>
      </c>
      <c r="F45" s="513">
        <f>SUM(F46:F50)</f>
        <v>0</v>
      </c>
    </row>
    <row r="46" spans="1:6" ht="12" customHeight="1">
      <c r="A46" s="412" t="s">
        <v>93</v>
      </c>
      <c r="B46" s="18" t="s">
        <v>44</v>
      </c>
      <c r="C46" s="20"/>
      <c r="D46" s="20"/>
      <c r="E46" s="20"/>
      <c r="F46" s="20"/>
    </row>
    <row r="47" spans="1:6" ht="12" customHeight="1">
      <c r="A47" s="412" t="s">
        <v>94</v>
      </c>
      <c r="B47" s="16" t="s">
        <v>172</v>
      </c>
      <c r="C47" s="27"/>
      <c r="D47" s="27"/>
      <c r="E47" s="27"/>
      <c r="F47" s="27"/>
    </row>
    <row r="48" spans="1:6" ht="12" customHeight="1">
      <c r="A48" s="412" t="s">
        <v>95</v>
      </c>
      <c r="B48" s="16" t="s">
        <v>131</v>
      </c>
      <c r="C48" s="27"/>
      <c r="D48" s="27"/>
      <c r="E48" s="27"/>
      <c r="F48" s="27"/>
    </row>
    <row r="49" spans="1:6" ht="12" customHeight="1">
      <c r="A49" s="412" t="s">
        <v>96</v>
      </c>
      <c r="B49" s="16" t="s">
        <v>173</v>
      </c>
      <c r="C49" s="27"/>
      <c r="D49" s="27"/>
      <c r="E49" s="27"/>
      <c r="F49" s="27"/>
    </row>
    <row r="50" spans="1:6" ht="12" customHeight="1" thickBot="1">
      <c r="A50" s="412" t="s">
        <v>139</v>
      </c>
      <c r="B50" s="16" t="s">
        <v>174</v>
      </c>
      <c r="C50" s="27"/>
      <c r="D50" s="27"/>
      <c r="E50" s="27"/>
      <c r="F50" s="27"/>
    </row>
    <row r="51" spans="1:6" ht="12" customHeight="1" thickBot="1">
      <c r="A51" s="356" t="s">
        <v>15</v>
      </c>
      <c r="B51" s="19" t="s">
        <v>412</v>
      </c>
      <c r="C51" s="513">
        <f>SUM(C52:C54)</f>
        <v>0</v>
      </c>
      <c r="D51" s="513">
        <f>SUM(D52:D54)</f>
        <v>0</v>
      </c>
      <c r="E51" s="513">
        <f>SUM(E52:E54)</f>
        <v>0</v>
      </c>
      <c r="F51" s="513">
        <f>SUM(F52:F54)</f>
        <v>0</v>
      </c>
    </row>
    <row r="52" spans="1:6" s="207" customFormat="1" ht="12" customHeight="1">
      <c r="A52" s="412" t="s">
        <v>99</v>
      </c>
      <c r="B52" s="18" t="s">
        <v>217</v>
      </c>
      <c r="C52" s="20"/>
      <c r="D52" s="20"/>
      <c r="E52" s="20"/>
      <c r="F52" s="20"/>
    </row>
    <row r="53" spans="1:6" ht="12" customHeight="1">
      <c r="A53" s="412" t="s">
        <v>100</v>
      </c>
      <c r="B53" s="16" t="s">
        <v>176</v>
      </c>
      <c r="C53" s="27"/>
      <c r="D53" s="27"/>
      <c r="E53" s="27"/>
      <c r="F53" s="27"/>
    </row>
    <row r="54" spans="1:6" ht="12" customHeight="1">
      <c r="A54" s="412" t="s">
        <v>101</v>
      </c>
      <c r="B54" s="16" t="s">
        <v>53</v>
      </c>
      <c r="C54" s="27"/>
      <c r="D54" s="27"/>
      <c r="E54" s="27"/>
      <c r="F54" s="27"/>
    </row>
    <row r="55" spans="1:6" ht="12" customHeight="1" thickBot="1">
      <c r="A55" s="412" t="s">
        <v>102</v>
      </c>
      <c r="B55" s="16" t="s">
        <v>515</v>
      </c>
      <c r="C55" s="27"/>
      <c r="D55" s="27"/>
      <c r="E55" s="27"/>
      <c r="F55" s="27"/>
    </row>
    <row r="56" spans="1:6" ht="15" customHeight="1" thickBot="1">
      <c r="A56" s="356" t="s">
        <v>16</v>
      </c>
      <c r="B56" s="19" t="s">
        <v>10</v>
      </c>
      <c r="C56" s="518"/>
      <c r="D56" s="518"/>
      <c r="E56" s="518"/>
      <c r="F56" s="518"/>
    </row>
    <row r="57" spans="1:6" ht="13.5" thickBot="1">
      <c r="A57" s="356" t="s">
        <v>17</v>
      </c>
      <c r="B57" s="421" t="s">
        <v>520</v>
      </c>
      <c r="C57" s="524">
        <f>+C45+C51+C56</f>
        <v>0</v>
      </c>
      <c r="D57" s="524">
        <f>+D45+D51+D56</f>
        <v>0</v>
      </c>
      <c r="E57" s="524">
        <f>+E45+E51+E56</f>
        <v>0</v>
      </c>
      <c r="F57" s="524">
        <f>+F45+F51+F56</f>
        <v>0</v>
      </c>
    </row>
    <row r="58" spans="1:6" ht="15" customHeight="1" thickBot="1">
      <c r="C58" s="29"/>
      <c r="D58" s="29"/>
      <c r="E58" s="29"/>
      <c r="F58" s="29"/>
    </row>
    <row r="59" spans="1:6" ht="14.25" customHeight="1" thickBot="1">
      <c r="A59" s="30" t="s">
        <v>510</v>
      </c>
      <c r="B59" s="31"/>
      <c r="C59" s="32"/>
      <c r="D59" s="32"/>
      <c r="E59" s="32"/>
      <c r="F59" s="32"/>
    </row>
    <row r="60" spans="1:6" ht="13.5" thickBot="1">
      <c r="A60" s="30" t="s">
        <v>194</v>
      </c>
      <c r="B60" s="31"/>
      <c r="C60" s="32"/>
      <c r="D60" s="32"/>
      <c r="E60" s="32"/>
      <c r="F60" s="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7">
    <tabColor rgb="FFFFFF00"/>
  </sheetPr>
  <dimension ref="A1:G26"/>
  <sheetViews>
    <sheetView zoomScaleNormal="100" workbookViewId="0">
      <selection activeCell="B12" sqref="B12"/>
    </sheetView>
  </sheetViews>
  <sheetFormatPr defaultColWidth="8.83203125" defaultRowHeight="12.75"/>
  <cols>
    <col min="1" max="1" width="5.5" style="774" customWidth="1"/>
    <col min="2" max="2" width="33.1640625" style="774" customWidth="1"/>
    <col min="3" max="3" width="12.33203125" style="774" customWidth="1"/>
    <col min="4" max="4" width="11.5" style="774" customWidth="1"/>
    <col min="5" max="5" width="11.33203125" style="774" customWidth="1"/>
    <col min="6" max="6" width="11" style="774" customWidth="1"/>
    <col min="7" max="7" width="14.33203125" style="774" customWidth="1"/>
    <col min="8" max="16384" width="8.83203125" style="774"/>
  </cols>
  <sheetData>
    <row r="1" spans="1:7" ht="43.5" customHeight="1">
      <c r="A1" s="838" t="s">
        <v>1</v>
      </c>
      <c r="B1" s="838"/>
      <c r="C1" s="838"/>
      <c r="D1" s="838"/>
      <c r="E1" s="838"/>
      <c r="F1" s="838"/>
      <c r="G1" s="838"/>
    </row>
    <row r="3" spans="1:7" s="263" customFormat="1" ht="27" customHeight="1">
      <c r="A3" s="261" t="s">
        <v>198</v>
      </c>
      <c r="B3" s="262"/>
      <c r="C3" s="837" t="s">
        <v>536</v>
      </c>
      <c r="D3" s="837"/>
      <c r="E3" s="837"/>
      <c r="F3" s="837"/>
      <c r="G3" s="837"/>
    </row>
    <row r="4" spans="1:7" s="263" customFormat="1" ht="15.75">
      <c r="A4" s="262"/>
      <c r="B4" s="262"/>
      <c r="C4" s="262"/>
      <c r="D4" s="262"/>
      <c r="E4" s="262"/>
      <c r="F4" s="262"/>
      <c r="G4" s="262"/>
    </row>
    <row r="5" spans="1:7" s="263" customFormat="1" ht="24.75" customHeight="1">
      <c r="A5" s="261" t="s">
        <v>199</v>
      </c>
      <c r="B5" s="262"/>
      <c r="C5" s="837" t="s">
        <v>553</v>
      </c>
      <c r="D5" s="837"/>
      <c r="E5" s="837"/>
      <c r="F5" s="837"/>
      <c r="G5" s="262"/>
    </row>
    <row r="6" spans="1:7" s="775" customFormat="1">
      <c r="A6" s="774"/>
      <c r="B6" s="774"/>
      <c r="C6" s="774"/>
      <c r="D6" s="774"/>
      <c r="E6" s="774"/>
      <c r="F6" s="774"/>
      <c r="G6" s="774"/>
    </row>
    <row r="7" spans="1:7" s="266" customFormat="1" ht="15" customHeight="1">
      <c r="A7" s="264" t="s">
        <v>711</v>
      </c>
      <c r="B7" s="265"/>
      <c r="C7" s="265"/>
    </row>
    <row r="8" spans="1:7" s="266" customFormat="1" ht="15" customHeight="1" thickBot="1">
      <c r="A8" s="264" t="s">
        <v>200</v>
      </c>
    </row>
    <row r="9" spans="1:7" s="270" customFormat="1" ht="42" customHeight="1" thickBot="1">
      <c r="A9" s="267" t="s">
        <v>12</v>
      </c>
      <c r="B9" s="268" t="s">
        <v>201</v>
      </c>
      <c r="C9" s="268" t="s">
        <v>202</v>
      </c>
      <c r="D9" s="268" t="s">
        <v>203</v>
      </c>
      <c r="E9" s="268" t="s">
        <v>204</v>
      </c>
      <c r="F9" s="268" t="s">
        <v>205</v>
      </c>
      <c r="G9" s="269" t="s">
        <v>48</v>
      </c>
    </row>
    <row r="10" spans="1:7" ht="24" customHeight="1">
      <c r="A10" s="271" t="s">
        <v>14</v>
      </c>
      <c r="B10" s="272" t="s">
        <v>206</v>
      </c>
      <c r="C10" s="273"/>
      <c r="D10" s="273"/>
      <c r="E10" s="273"/>
      <c r="F10" s="273"/>
      <c r="G10" s="274">
        <f>SUM(C10:F10)</f>
        <v>0</v>
      </c>
    </row>
    <row r="11" spans="1:7" ht="24" customHeight="1">
      <c r="A11" s="275" t="s">
        <v>15</v>
      </c>
      <c r="B11" s="276" t="s">
        <v>207</v>
      </c>
      <c r="C11" s="277"/>
      <c r="D11" s="277"/>
      <c r="E11" s="277"/>
      <c r="F11" s="277"/>
      <c r="G11" s="278">
        <f t="shared" ref="G11:G16" si="0">SUM(C11:F11)</f>
        <v>0</v>
      </c>
    </row>
    <row r="12" spans="1:7" ht="24" customHeight="1">
      <c r="A12" s="275" t="s">
        <v>16</v>
      </c>
      <c r="B12" s="276" t="s">
        <v>208</v>
      </c>
      <c r="C12" s="277"/>
      <c r="D12" s="277"/>
      <c r="E12" s="277"/>
      <c r="F12" s="277"/>
      <c r="G12" s="278">
        <f t="shared" si="0"/>
        <v>0</v>
      </c>
    </row>
    <row r="13" spans="1:7" ht="24" customHeight="1">
      <c r="A13" s="275" t="s">
        <v>17</v>
      </c>
      <c r="B13" s="276" t="s">
        <v>209</v>
      </c>
      <c r="C13" s="277"/>
      <c r="D13" s="277"/>
      <c r="E13" s="277"/>
      <c r="F13" s="277"/>
      <c r="G13" s="278">
        <f t="shared" si="0"/>
        <v>0</v>
      </c>
    </row>
    <row r="14" spans="1:7" ht="24" customHeight="1">
      <c r="A14" s="275" t="s">
        <v>18</v>
      </c>
      <c r="B14" s="276" t="s">
        <v>210</v>
      </c>
      <c r="C14" s="277"/>
      <c r="D14" s="277"/>
      <c r="E14" s="277"/>
      <c r="F14" s="277"/>
      <c r="G14" s="278">
        <f t="shared" si="0"/>
        <v>0</v>
      </c>
    </row>
    <row r="15" spans="1:7" ht="24" customHeight="1" thickBot="1">
      <c r="A15" s="279" t="s">
        <v>19</v>
      </c>
      <c r="B15" s="280" t="s">
        <v>211</v>
      </c>
      <c r="C15" s="281"/>
      <c r="D15" s="281"/>
      <c r="E15" s="281"/>
      <c r="F15" s="281"/>
      <c r="G15" s="282">
        <f t="shared" si="0"/>
        <v>0</v>
      </c>
    </row>
    <row r="16" spans="1:7" s="287" customFormat="1" ht="24" customHeight="1" thickBot="1">
      <c r="A16" s="283" t="s">
        <v>20</v>
      </c>
      <c r="B16" s="284" t="s">
        <v>48</v>
      </c>
      <c r="C16" s="285">
        <f>SUM(C10:C15)</f>
        <v>0</v>
      </c>
      <c r="D16" s="285">
        <f>SUM(D10:D15)</f>
        <v>0</v>
      </c>
      <c r="E16" s="285">
        <f>SUM(E10:E15)</f>
        <v>0</v>
      </c>
      <c r="F16" s="285">
        <f>SUM(F10:F15)</f>
        <v>0</v>
      </c>
      <c r="G16" s="286">
        <f t="shared" si="0"/>
        <v>0</v>
      </c>
    </row>
    <row r="17" spans="1:7" s="775" customFormat="1">
      <c r="A17" s="774"/>
      <c r="B17" s="774"/>
      <c r="C17" s="774"/>
      <c r="D17" s="774"/>
      <c r="E17" s="774"/>
      <c r="F17" s="774"/>
      <c r="G17" s="774"/>
    </row>
    <row r="18" spans="1:7" s="775" customFormat="1">
      <c r="A18" s="774"/>
      <c r="B18" s="774"/>
      <c r="C18" s="774"/>
      <c r="D18" s="774"/>
      <c r="E18" s="774"/>
      <c r="F18" s="774"/>
      <c r="G18" s="774"/>
    </row>
    <row r="19" spans="1:7" s="775" customFormat="1">
      <c r="A19" s="774"/>
      <c r="B19" s="774"/>
      <c r="C19" s="774"/>
      <c r="D19" s="774"/>
      <c r="E19" s="774"/>
      <c r="F19" s="774"/>
      <c r="G19" s="774"/>
    </row>
    <row r="20" spans="1:7" s="775" customFormat="1" ht="15.75">
      <c r="A20" s="263" t="s">
        <v>677</v>
      </c>
      <c r="B20" s="774"/>
      <c r="C20" s="774"/>
      <c r="D20" s="774"/>
      <c r="E20" s="774"/>
      <c r="F20" s="774"/>
      <c r="G20" s="774"/>
    </row>
    <row r="21" spans="1:7" s="775" customFormat="1">
      <c r="A21" s="774"/>
      <c r="B21" s="774"/>
      <c r="C21" s="774"/>
      <c r="D21" s="774"/>
      <c r="E21" s="774"/>
      <c r="F21" s="774"/>
      <c r="G21" s="774"/>
    </row>
    <row r="23" spans="1:7">
      <c r="C23" s="775"/>
      <c r="D23" s="775"/>
      <c r="E23" s="775"/>
      <c r="F23" s="775"/>
    </row>
    <row r="24" spans="1:7" ht="13.5">
      <c r="C24" s="776"/>
      <c r="D24" s="288" t="s">
        <v>212</v>
      </c>
      <c r="E24" s="288"/>
      <c r="F24" s="776"/>
    </row>
    <row r="25" spans="1:7" ht="13.5">
      <c r="D25" s="289"/>
      <c r="E25" s="289"/>
    </row>
    <row r="26" spans="1:7" ht="13.5">
      <c r="D26" s="289"/>
      <c r="E26" s="289"/>
    </row>
  </sheetData>
  <mergeCells count="3">
    <mergeCell ref="C3:G3"/>
    <mergeCell ref="C5:F5"/>
    <mergeCell ref="A1:G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6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8">
    <tabColor rgb="FFFFFF00"/>
  </sheetPr>
  <dimension ref="A1:I169"/>
  <sheetViews>
    <sheetView topLeftCell="C100" zoomScaleNormal="100" zoomScaleSheetLayoutView="100" workbookViewId="0">
      <selection activeCell="I113" sqref="I113"/>
    </sheetView>
  </sheetViews>
  <sheetFormatPr defaultRowHeight="12.75"/>
  <cols>
    <col min="1" max="1" width="8" style="422" bestFit="1" customWidth="1"/>
    <col min="2" max="2" width="71.6640625" style="422" bestFit="1" customWidth="1"/>
    <col min="3" max="3" width="14.33203125" style="624" customWidth="1"/>
    <col min="4" max="4" width="14.33203125" style="422" customWidth="1"/>
    <col min="5" max="9" width="18.83203125" style="422" customWidth="1"/>
    <col min="10" max="16384" width="9.33203125" style="422"/>
  </cols>
  <sheetData>
    <row r="1" spans="1:9" ht="15.95" customHeight="1">
      <c r="A1" s="787" t="s">
        <v>11</v>
      </c>
      <c r="B1" s="787"/>
      <c r="C1" s="787"/>
      <c r="D1" s="787"/>
    </row>
    <row r="2" spans="1:9" ht="15.95" customHeight="1" thickBot="1">
      <c r="A2" s="786" t="s">
        <v>142</v>
      </c>
      <c r="B2" s="786"/>
      <c r="D2" s="618"/>
      <c r="E2" s="484" t="s">
        <v>581</v>
      </c>
      <c r="F2" s="484" t="s">
        <v>581</v>
      </c>
      <c r="G2" s="484" t="s">
        <v>581</v>
      </c>
      <c r="H2" s="484" t="s">
        <v>581</v>
      </c>
      <c r="I2" s="484" t="s">
        <v>581</v>
      </c>
    </row>
    <row r="3" spans="1:9" ht="38.1" customHeight="1" thickBot="1">
      <c r="A3" s="219" t="s">
        <v>64</v>
      </c>
      <c r="B3" s="220" t="s">
        <v>13</v>
      </c>
      <c r="C3" s="220" t="s">
        <v>678</v>
      </c>
      <c r="D3" s="640" t="s">
        <v>679</v>
      </c>
      <c r="E3" s="485" t="s">
        <v>690</v>
      </c>
      <c r="F3" s="485" t="s">
        <v>716</v>
      </c>
      <c r="G3" s="485" t="s">
        <v>719</v>
      </c>
      <c r="H3" s="485" t="s">
        <v>729</v>
      </c>
      <c r="I3" s="485" t="s">
        <v>750</v>
      </c>
    </row>
    <row r="4" spans="1:9" s="41" customFormat="1" ht="12" customHeight="1" thickBot="1">
      <c r="A4" s="219" t="s">
        <v>483</v>
      </c>
      <c r="B4" s="220" t="s">
        <v>484</v>
      </c>
      <c r="C4" s="220" t="s">
        <v>485</v>
      </c>
      <c r="D4" s="220" t="s">
        <v>487</v>
      </c>
      <c r="E4" s="486" t="s">
        <v>486</v>
      </c>
      <c r="F4" s="486" t="s">
        <v>486</v>
      </c>
      <c r="G4" s="486" t="s">
        <v>486</v>
      </c>
      <c r="H4" s="486" t="s">
        <v>486</v>
      </c>
      <c r="I4" s="486" t="s">
        <v>486</v>
      </c>
    </row>
    <row r="5" spans="1:9" s="41" customFormat="1" ht="12" customHeight="1" thickBot="1">
      <c r="A5" s="221" t="s">
        <v>14</v>
      </c>
      <c r="B5" s="222" t="s">
        <v>241</v>
      </c>
      <c r="C5" s="493">
        <f t="shared" ref="C5:H5" si="0">+C6+C7+C8+C9+C10+C11</f>
        <v>243748289</v>
      </c>
      <c r="D5" s="487">
        <f t="shared" si="0"/>
        <v>249841722</v>
      </c>
      <c r="E5" s="487">
        <f t="shared" si="0"/>
        <v>223966276</v>
      </c>
      <c r="F5" s="487">
        <f t="shared" si="0"/>
        <v>233099072</v>
      </c>
      <c r="G5" s="487">
        <f t="shared" si="0"/>
        <v>234553676</v>
      </c>
      <c r="H5" s="487">
        <f t="shared" si="0"/>
        <v>239005928</v>
      </c>
      <c r="I5" s="487">
        <f>+I6+I7+I8+I9+I10+I11</f>
        <v>260181308</v>
      </c>
    </row>
    <row r="6" spans="1:9" s="41" customFormat="1" ht="12" customHeight="1">
      <c r="A6" s="223" t="s">
        <v>93</v>
      </c>
      <c r="B6" s="109" t="s">
        <v>242</v>
      </c>
      <c r="C6" s="625">
        <v>117822015</v>
      </c>
      <c r="D6" s="625">
        <v>117996462</v>
      </c>
      <c r="E6" s="488">
        <v>118506104</v>
      </c>
      <c r="F6" s="488">
        <f>118506104+267920</f>
        <v>118774024</v>
      </c>
      <c r="G6" s="488">
        <f>118774024+335241</f>
        <v>119109265</v>
      </c>
      <c r="H6" s="488">
        <f>118774024+335241+1500000+297821</f>
        <v>120907086</v>
      </c>
      <c r="I6" s="488">
        <f>118774024+335241+1500000+297821+312781</f>
        <v>121219867</v>
      </c>
    </row>
    <row r="7" spans="1:9" s="41" customFormat="1" ht="12" customHeight="1">
      <c r="A7" s="224" t="s">
        <v>94</v>
      </c>
      <c r="B7" s="110" t="s">
        <v>243</v>
      </c>
      <c r="C7" s="626">
        <v>56597616</v>
      </c>
      <c r="D7" s="626">
        <v>57292900</v>
      </c>
      <c r="E7" s="489">
        <v>64532484</v>
      </c>
      <c r="F7" s="489">
        <v>64532484</v>
      </c>
      <c r="G7" s="489">
        <f>64532484+363642</f>
        <v>64896126</v>
      </c>
      <c r="H7" s="489">
        <f>64532484+363642+1170000</f>
        <v>66066126</v>
      </c>
      <c r="I7" s="489">
        <f>64532484+363642+1170000-178184</f>
        <v>65887942</v>
      </c>
    </row>
    <row r="8" spans="1:9" s="41" customFormat="1" ht="12" customHeight="1">
      <c r="A8" s="224" t="s">
        <v>95</v>
      </c>
      <c r="B8" s="110" t="s">
        <v>244</v>
      </c>
      <c r="C8" s="626">
        <v>39695169</v>
      </c>
      <c r="D8" s="626">
        <v>40752031</v>
      </c>
      <c r="E8" s="489">
        <v>37842188</v>
      </c>
      <c r="F8" s="489">
        <v>37842188</v>
      </c>
      <c r="G8" s="489">
        <v>37842188</v>
      </c>
      <c r="H8" s="489">
        <f>37842188+160000+1254000-2762886</f>
        <v>36493302</v>
      </c>
      <c r="I8" s="489">
        <f>37842188+160000+1254000-2762886-133000</f>
        <v>36360302</v>
      </c>
    </row>
    <row r="9" spans="1:9" s="41" customFormat="1" ht="12" customHeight="1">
      <c r="A9" s="224" t="s">
        <v>96</v>
      </c>
      <c r="B9" s="110" t="s">
        <v>245</v>
      </c>
      <c r="C9" s="626">
        <v>4541173</v>
      </c>
      <c r="D9" s="626">
        <v>4635145</v>
      </c>
      <c r="E9" s="489">
        <v>3085500</v>
      </c>
      <c r="F9" s="489">
        <f>3085500+344876</f>
        <v>3430376</v>
      </c>
      <c r="G9" s="489">
        <f>3085500+344876+519000+236721</f>
        <v>4186097</v>
      </c>
      <c r="H9" s="489">
        <f>4186097+105000+327267</f>
        <v>4618364</v>
      </c>
      <c r="I9" s="489">
        <f>4186097+105000+327267+215183</f>
        <v>4833547</v>
      </c>
    </row>
    <row r="10" spans="1:9" s="41" customFormat="1" ht="12" customHeight="1">
      <c r="A10" s="224" t="s">
        <v>139</v>
      </c>
      <c r="B10" s="225" t="s">
        <v>426</v>
      </c>
      <c r="C10" s="626">
        <v>24745002</v>
      </c>
      <c r="D10" s="626">
        <v>29165184</v>
      </c>
      <c r="E10" s="489"/>
      <c r="F10" s="489">
        <f>8520000</f>
        <v>8520000</v>
      </c>
      <c r="G10" s="489">
        <f>8520000</f>
        <v>8520000</v>
      </c>
      <c r="H10" s="489">
        <f>8520000+2051050+350000</f>
        <v>10921050</v>
      </c>
      <c r="I10" s="489">
        <f>8520000+2051050+350000+20958600</f>
        <v>31879650</v>
      </c>
    </row>
    <row r="11" spans="1:9" s="41" customFormat="1" ht="12" customHeight="1" thickBot="1">
      <c r="A11" s="226" t="s">
        <v>97</v>
      </c>
      <c r="B11" s="227" t="s">
        <v>427</v>
      </c>
      <c r="C11" s="626">
        <v>347314</v>
      </c>
      <c r="D11" s="626"/>
      <c r="E11" s="489"/>
      <c r="F11" s="489"/>
      <c r="G11" s="489"/>
      <c r="H11" s="489"/>
      <c r="I11" s="489"/>
    </row>
    <row r="12" spans="1:9" s="41" customFormat="1" ht="12" customHeight="1" thickBot="1">
      <c r="A12" s="221" t="s">
        <v>15</v>
      </c>
      <c r="B12" s="228" t="s">
        <v>246</v>
      </c>
      <c r="C12" s="493">
        <f t="shared" ref="C12:H12" si="1">+C13+C14+C15+C16+C17</f>
        <v>87621574</v>
      </c>
      <c r="D12" s="493">
        <f t="shared" si="1"/>
        <v>34915162</v>
      </c>
      <c r="E12" s="487">
        <f t="shared" si="1"/>
        <v>75066371</v>
      </c>
      <c r="F12" s="487">
        <f t="shared" si="1"/>
        <v>79913564</v>
      </c>
      <c r="G12" s="487">
        <f t="shared" si="1"/>
        <v>83707341</v>
      </c>
      <c r="H12" s="487">
        <f t="shared" si="1"/>
        <v>87759849</v>
      </c>
      <c r="I12" s="487">
        <f>+I13+I14+I15+I16+I17</f>
        <v>74336629</v>
      </c>
    </row>
    <row r="13" spans="1:9" s="41" customFormat="1" ht="12" customHeight="1">
      <c r="A13" s="223" t="s">
        <v>99</v>
      </c>
      <c r="B13" s="109" t="s">
        <v>247</v>
      </c>
      <c r="C13" s="625"/>
      <c r="D13" s="625"/>
      <c r="E13" s="488"/>
      <c r="F13" s="488"/>
      <c r="G13" s="488">
        <f>139498</f>
        <v>139498</v>
      </c>
      <c r="H13" s="488">
        <f>139498-139498</f>
        <v>0</v>
      </c>
      <c r="I13" s="488">
        <f>139498-139498</f>
        <v>0</v>
      </c>
    </row>
    <row r="14" spans="1:9" s="41" customFormat="1" ht="12" customHeight="1">
      <c r="A14" s="224" t="s">
        <v>100</v>
      </c>
      <c r="B14" s="110" t="s">
        <v>248</v>
      </c>
      <c r="C14" s="626"/>
      <c r="D14" s="626"/>
      <c r="E14" s="489"/>
      <c r="F14" s="489"/>
      <c r="G14" s="489"/>
      <c r="H14" s="489"/>
      <c r="I14" s="489"/>
    </row>
    <row r="15" spans="1:9" s="41" customFormat="1" ht="12" customHeight="1">
      <c r="A15" s="224" t="s">
        <v>101</v>
      </c>
      <c r="B15" s="110" t="s">
        <v>416</v>
      </c>
      <c r="C15" s="626"/>
      <c r="D15" s="626"/>
      <c r="E15" s="489"/>
      <c r="F15" s="489"/>
      <c r="G15" s="489"/>
      <c r="H15" s="489"/>
      <c r="I15" s="489"/>
    </row>
    <row r="16" spans="1:9" s="41" customFormat="1" ht="12" customHeight="1">
      <c r="A16" s="224" t="s">
        <v>102</v>
      </c>
      <c r="B16" s="110" t="s">
        <v>417</v>
      </c>
      <c r="C16" s="626"/>
      <c r="D16" s="626"/>
      <c r="E16" s="489"/>
      <c r="F16" s="489"/>
      <c r="G16" s="489"/>
      <c r="H16" s="489"/>
      <c r="I16" s="489"/>
    </row>
    <row r="17" spans="1:9" s="41" customFormat="1" ht="12" customHeight="1">
      <c r="A17" s="224" t="s">
        <v>103</v>
      </c>
      <c r="B17" s="110" t="s">
        <v>249</v>
      </c>
      <c r="C17" s="626">
        <v>87621574</v>
      </c>
      <c r="D17" s="626">
        <v>34915162</v>
      </c>
      <c r="E17" s="489">
        <f>75066371</f>
        <v>75066371</v>
      </c>
      <c r="F17" s="489">
        <f>75066371+695378+4151815</f>
        <v>79913564</v>
      </c>
      <c r="G17" s="489">
        <f>79913564+3337921+316358</f>
        <v>83567843</v>
      </c>
      <c r="H17" s="489">
        <f>83567843+429000+803800+209700+43500+1602492+139498+670586+293430</f>
        <v>87759849</v>
      </c>
      <c r="I17" s="489">
        <f>83567843+429000+803800+209700+43500+1602492+139498+670586+293430+9125600+163200-23000000+287980</f>
        <v>74336629</v>
      </c>
    </row>
    <row r="18" spans="1:9" s="41" customFormat="1" ht="12" customHeight="1" thickBot="1">
      <c r="A18" s="226" t="s">
        <v>112</v>
      </c>
      <c r="B18" s="227" t="s">
        <v>250</v>
      </c>
      <c r="C18" s="627"/>
      <c r="D18" s="627"/>
      <c r="E18" s="490"/>
      <c r="F18" s="490"/>
      <c r="G18" s="490"/>
      <c r="H18" s="490"/>
      <c r="I18" s="490"/>
    </row>
    <row r="19" spans="1:9" s="41" customFormat="1" ht="12" customHeight="1" thickBot="1">
      <c r="A19" s="221" t="s">
        <v>16</v>
      </c>
      <c r="B19" s="222" t="s">
        <v>251</v>
      </c>
      <c r="C19" s="487">
        <f t="shared" ref="C19:H19" si="2">+C20+C21+C22+C23+C24</f>
        <v>363718343</v>
      </c>
      <c r="D19" s="487">
        <f t="shared" si="2"/>
        <v>34251452</v>
      </c>
      <c r="E19" s="487">
        <f t="shared" si="2"/>
        <v>39844721</v>
      </c>
      <c r="F19" s="487">
        <f t="shared" si="2"/>
        <v>32531109</v>
      </c>
      <c r="G19" s="487">
        <f t="shared" si="2"/>
        <v>32531109</v>
      </c>
      <c r="H19" s="487">
        <f t="shared" si="2"/>
        <v>35321341</v>
      </c>
      <c r="I19" s="487">
        <f>+I20+I21+I22+I23+I24</f>
        <v>285894704</v>
      </c>
    </row>
    <row r="20" spans="1:9" s="41" customFormat="1" ht="12" customHeight="1">
      <c r="A20" s="223" t="s">
        <v>82</v>
      </c>
      <c r="B20" s="109" t="s">
        <v>252</v>
      </c>
      <c r="C20" s="625"/>
      <c r="D20" s="626">
        <v>506728</v>
      </c>
      <c r="E20" s="488"/>
      <c r="F20" s="488"/>
      <c r="G20" s="488"/>
      <c r="H20" s="488"/>
      <c r="I20" s="488"/>
    </row>
    <row r="21" spans="1:9" s="41" customFormat="1" ht="12" customHeight="1">
      <c r="A21" s="224" t="s">
        <v>83</v>
      </c>
      <c r="B21" s="110" t="s">
        <v>253</v>
      </c>
      <c r="C21" s="626"/>
      <c r="D21" s="626"/>
      <c r="E21" s="489"/>
      <c r="F21" s="489"/>
      <c r="G21" s="489"/>
      <c r="H21" s="489"/>
      <c r="I21" s="489"/>
    </row>
    <row r="22" spans="1:9" s="41" customFormat="1" ht="12" customHeight="1">
      <c r="A22" s="224" t="s">
        <v>84</v>
      </c>
      <c r="B22" s="110" t="s">
        <v>418</v>
      </c>
      <c r="C22" s="626"/>
      <c r="D22" s="626"/>
      <c r="E22" s="489"/>
      <c r="F22" s="489"/>
      <c r="G22" s="489"/>
      <c r="H22" s="489"/>
      <c r="I22" s="489"/>
    </row>
    <row r="23" spans="1:9" s="41" customFormat="1" ht="12" customHeight="1">
      <c r="A23" s="224" t="s">
        <v>85</v>
      </c>
      <c r="B23" s="110" t="s">
        <v>419</v>
      </c>
      <c r="C23" s="626"/>
      <c r="D23" s="626"/>
      <c r="E23" s="489"/>
      <c r="F23" s="489"/>
      <c r="G23" s="489"/>
      <c r="H23" s="489"/>
      <c r="I23" s="489"/>
    </row>
    <row r="24" spans="1:9" s="41" customFormat="1" ht="12" customHeight="1">
      <c r="A24" s="224" t="s">
        <v>160</v>
      </c>
      <c r="B24" s="110" t="s">
        <v>254</v>
      </c>
      <c r="C24" s="626">
        <v>363718343</v>
      </c>
      <c r="D24" s="626">
        <v>33744724</v>
      </c>
      <c r="E24" s="489">
        <v>39844721</v>
      </c>
      <c r="F24" s="489">
        <f>39844721-7313612</f>
        <v>32531109</v>
      </c>
      <c r="G24" s="489">
        <f>39844721-7313612</f>
        <v>32531109</v>
      </c>
      <c r="H24" s="489">
        <f>32531109+2790232</f>
        <v>35321341</v>
      </c>
      <c r="I24" s="489">
        <f>32531109+2790232+458000+246514227+3601136</f>
        <v>285894704</v>
      </c>
    </row>
    <row r="25" spans="1:9" s="41" customFormat="1" ht="12" customHeight="1" thickBot="1">
      <c r="A25" s="226" t="s">
        <v>161</v>
      </c>
      <c r="B25" s="112" t="s">
        <v>255</v>
      </c>
      <c r="C25" s="627"/>
      <c r="D25" s="627"/>
      <c r="E25" s="490"/>
      <c r="F25" s="490"/>
      <c r="G25" s="490"/>
      <c r="H25" s="490"/>
      <c r="I25" s="490"/>
    </row>
    <row r="26" spans="1:9" s="41" customFormat="1" ht="12" customHeight="1" thickBot="1">
      <c r="A26" s="221" t="s">
        <v>162</v>
      </c>
      <c r="B26" s="222" t="s">
        <v>256</v>
      </c>
      <c r="C26" s="493">
        <f t="shared" ref="C26:H26" si="3">+C27+C31+C32+C33</f>
        <v>139226779</v>
      </c>
      <c r="D26" s="493">
        <f t="shared" si="3"/>
        <v>152824290</v>
      </c>
      <c r="E26" s="487">
        <f t="shared" si="3"/>
        <v>136700000</v>
      </c>
      <c r="F26" s="487">
        <f t="shared" si="3"/>
        <v>136700000</v>
      </c>
      <c r="G26" s="487">
        <f t="shared" si="3"/>
        <v>136700000</v>
      </c>
      <c r="H26" s="487">
        <f t="shared" si="3"/>
        <v>137000000</v>
      </c>
      <c r="I26" s="487">
        <f>+I27+I31+I32+I33</f>
        <v>149000000</v>
      </c>
    </row>
    <row r="27" spans="1:9" s="41" customFormat="1" ht="12" customHeight="1">
      <c r="A27" s="223" t="s">
        <v>257</v>
      </c>
      <c r="B27" s="109" t="s">
        <v>433</v>
      </c>
      <c r="C27" s="628">
        <f>+C28+C29+C30</f>
        <v>100859401</v>
      </c>
      <c r="D27" s="628">
        <f t="shared" ref="D27:I27" si="4">D28+D29+D30</f>
        <v>111241408</v>
      </c>
      <c r="E27" s="491">
        <f t="shared" si="4"/>
        <v>100000000</v>
      </c>
      <c r="F27" s="491">
        <f t="shared" si="4"/>
        <v>100000000</v>
      </c>
      <c r="G27" s="491">
        <f t="shared" si="4"/>
        <v>100000000</v>
      </c>
      <c r="H27" s="491">
        <f t="shared" si="4"/>
        <v>100000000</v>
      </c>
      <c r="I27" s="491">
        <f t="shared" si="4"/>
        <v>109740000</v>
      </c>
    </row>
    <row r="28" spans="1:9" s="41" customFormat="1" ht="12" customHeight="1">
      <c r="A28" s="224" t="s">
        <v>258</v>
      </c>
      <c r="B28" s="110" t="s">
        <v>593</v>
      </c>
      <c r="C28" s="626">
        <v>57672091</v>
      </c>
      <c r="D28" s="626">
        <v>61021062</v>
      </c>
      <c r="E28" s="489">
        <f>58000000</f>
        <v>58000000</v>
      </c>
      <c r="F28" s="489">
        <f>58000000</f>
        <v>58000000</v>
      </c>
      <c r="G28" s="489">
        <f>58000000</f>
        <v>58000000</v>
      </c>
      <c r="H28" s="489">
        <f>58000000</f>
        <v>58000000</v>
      </c>
      <c r="I28" s="489">
        <f>58000000+540000</f>
        <v>58540000</v>
      </c>
    </row>
    <row r="29" spans="1:9" s="41" customFormat="1" ht="12" customHeight="1">
      <c r="A29" s="224" t="s">
        <v>259</v>
      </c>
      <c r="B29" s="110" t="s">
        <v>594</v>
      </c>
      <c r="C29" s="626"/>
      <c r="D29" s="626"/>
      <c r="E29" s="489"/>
      <c r="F29" s="489"/>
      <c r="G29" s="489"/>
      <c r="H29" s="489"/>
      <c r="I29" s="489"/>
    </row>
    <row r="30" spans="1:9" s="41" customFormat="1" ht="12" customHeight="1">
      <c r="A30" s="224" t="s">
        <v>431</v>
      </c>
      <c r="B30" s="111" t="s">
        <v>432</v>
      </c>
      <c r="C30" s="626">
        <v>43187310</v>
      </c>
      <c r="D30" s="626">
        <v>50220346</v>
      </c>
      <c r="E30" s="489">
        <f>42000000</f>
        <v>42000000</v>
      </c>
      <c r="F30" s="489">
        <f>42000000</f>
        <v>42000000</v>
      </c>
      <c r="G30" s="489">
        <f>42000000</f>
        <v>42000000</v>
      </c>
      <c r="H30" s="489">
        <f>42000000</f>
        <v>42000000</v>
      </c>
      <c r="I30" s="489">
        <f>42000000+9200000</f>
        <v>51200000</v>
      </c>
    </row>
    <row r="31" spans="1:9" s="41" customFormat="1" ht="12" customHeight="1">
      <c r="A31" s="224" t="s">
        <v>260</v>
      </c>
      <c r="B31" s="110" t="s">
        <v>265</v>
      </c>
      <c r="C31" s="626">
        <v>8994728</v>
      </c>
      <c r="D31" s="626">
        <v>9913056</v>
      </c>
      <c r="E31" s="489">
        <v>9000000</v>
      </c>
      <c r="F31" s="489">
        <v>9000000</v>
      </c>
      <c r="G31" s="489">
        <v>9000000</v>
      </c>
      <c r="H31" s="489">
        <v>9000000</v>
      </c>
      <c r="I31" s="489">
        <f>9000000+770000</f>
        <v>9770000</v>
      </c>
    </row>
    <row r="32" spans="1:9" s="41" customFormat="1" ht="12" customHeight="1">
      <c r="A32" s="224" t="s">
        <v>261</v>
      </c>
      <c r="B32" s="110" t="s">
        <v>575</v>
      </c>
      <c r="C32" s="626">
        <v>28970800</v>
      </c>
      <c r="D32" s="626">
        <v>30401955</v>
      </c>
      <c r="E32" s="489">
        <v>27500000</v>
      </c>
      <c r="F32" s="489">
        <v>27500000</v>
      </c>
      <c r="G32" s="489">
        <v>27500000</v>
      </c>
      <c r="H32" s="489">
        <v>27500000</v>
      </c>
      <c r="I32" s="489">
        <f>27500000+1290000</f>
        <v>28790000</v>
      </c>
    </row>
    <row r="33" spans="1:9" s="41" customFormat="1" ht="12" customHeight="1" thickBot="1">
      <c r="A33" s="226" t="s">
        <v>262</v>
      </c>
      <c r="B33" s="112" t="s">
        <v>267</v>
      </c>
      <c r="C33" s="627">
        <v>401850</v>
      </c>
      <c r="D33" s="627">
        <v>1267871</v>
      </c>
      <c r="E33" s="490">
        <v>200000</v>
      </c>
      <c r="F33" s="490">
        <v>200000</v>
      </c>
      <c r="G33" s="490">
        <v>200000</v>
      </c>
      <c r="H33" s="490">
        <f>200000+300000</f>
        <v>500000</v>
      </c>
      <c r="I33" s="490">
        <f>200000+300000+200000</f>
        <v>700000</v>
      </c>
    </row>
    <row r="34" spans="1:9" s="41" customFormat="1" ht="12" customHeight="1" thickBot="1">
      <c r="A34" s="221" t="s">
        <v>18</v>
      </c>
      <c r="B34" s="222" t="s">
        <v>428</v>
      </c>
      <c r="C34" s="493">
        <f t="shared" ref="C34:H34" si="5">SUM(C35:C45)</f>
        <v>162125200</v>
      </c>
      <c r="D34" s="493">
        <f t="shared" si="5"/>
        <v>172283173</v>
      </c>
      <c r="E34" s="487">
        <f t="shared" si="5"/>
        <v>130660612</v>
      </c>
      <c r="F34" s="487">
        <f t="shared" si="5"/>
        <v>130876569</v>
      </c>
      <c r="G34" s="487">
        <f t="shared" si="5"/>
        <v>131601689</v>
      </c>
      <c r="H34" s="487">
        <f t="shared" si="5"/>
        <v>169167689</v>
      </c>
      <c r="I34" s="487">
        <f>SUM(I35:I45)</f>
        <v>170677689</v>
      </c>
    </row>
    <row r="35" spans="1:9" s="41" customFormat="1" ht="12" customHeight="1">
      <c r="A35" s="223" t="s">
        <v>86</v>
      </c>
      <c r="B35" s="109" t="s">
        <v>270</v>
      </c>
      <c r="C35" s="625">
        <v>64000</v>
      </c>
      <c r="D35" s="625"/>
      <c r="E35" s="488"/>
      <c r="F35" s="488"/>
      <c r="G35" s="488"/>
      <c r="H35" s="488"/>
      <c r="I35" s="488"/>
    </row>
    <row r="36" spans="1:9" s="41" customFormat="1" ht="12" customHeight="1">
      <c r="A36" s="224" t="s">
        <v>87</v>
      </c>
      <c r="B36" s="110" t="s">
        <v>271</v>
      </c>
      <c r="C36" s="626">
        <v>118757569</v>
      </c>
      <c r="D36" s="626">
        <v>120822485</v>
      </c>
      <c r="E36" s="489">
        <f>99723710</f>
        <v>99723710</v>
      </c>
      <c r="F36" s="489">
        <f>99723710+170045</f>
        <v>99893755</v>
      </c>
      <c r="G36" s="489">
        <f>99723710+170045</f>
        <v>99893755</v>
      </c>
      <c r="H36" s="489">
        <f>99723710+170045+3000000+23000000</f>
        <v>125893755</v>
      </c>
      <c r="I36" s="489">
        <f>99723710+170045+3000000+23000000+800000</f>
        <v>126693755</v>
      </c>
    </row>
    <row r="37" spans="1:9" s="41" customFormat="1" ht="12" customHeight="1">
      <c r="A37" s="224" t="s">
        <v>88</v>
      </c>
      <c r="B37" s="110" t="s">
        <v>272</v>
      </c>
      <c r="C37" s="626">
        <v>4899386</v>
      </c>
      <c r="D37" s="626">
        <v>1960569</v>
      </c>
      <c r="E37" s="489">
        <f>1650000</f>
        <v>1650000</v>
      </c>
      <c r="F37" s="489">
        <f>1650000</f>
        <v>1650000</v>
      </c>
      <c r="G37" s="489">
        <f>1650000</f>
        <v>1650000</v>
      </c>
      <c r="H37" s="489">
        <f>1650000</f>
        <v>1650000</v>
      </c>
      <c r="I37" s="489">
        <f>1650000+300000</f>
        <v>1950000</v>
      </c>
    </row>
    <row r="38" spans="1:9" s="41" customFormat="1" ht="12" customHeight="1">
      <c r="A38" s="224" t="s">
        <v>164</v>
      </c>
      <c r="B38" s="110" t="s">
        <v>273</v>
      </c>
      <c r="C38" s="626"/>
      <c r="D38" s="626"/>
      <c r="E38" s="489"/>
      <c r="F38" s="489"/>
      <c r="G38" s="489"/>
      <c r="H38" s="489"/>
      <c r="I38" s="489"/>
    </row>
    <row r="39" spans="1:9" s="41" customFormat="1" ht="12" customHeight="1">
      <c r="A39" s="224" t="s">
        <v>165</v>
      </c>
      <c r="B39" s="110" t="s">
        <v>274</v>
      </c>
      <c r="C39" s="626">
        <v>2039171</v>
      </c>
      <c r="D39" s="626">
        <v>1834116</v>
      </c>
      <c r="E39" s="489">
        <f>1500000</f>
        <v>1500000</v>
      </c>
      <c r="F39" s="489">
        <f>1500000</f>
        <v>1500000</v>
      </c>
      <c r="G39" s="489">
        <f>1500000</f>
        <v>1500000</v>
      </c>
      <c r="H39" s="489">
        <f>1500000</f>
        <v>1500000</v>
      </c>
      <c r="I39" s="489">
        <f>1500000+100000</f>
        <v>1600000</v>
      </c>
    </row>
    <row r="40" spans="1:9" s="41" customFormat="1" ht="12" customHeight="1">
      <c r="A40" s="224" t="s">
        <v>166</v>
      </c>
      <c r="B40" s="110" t="s">
        <v>275</v>
      </c>
      <c r="C40" s="626">
        <v>35871590</v>
      </c>
      <c r="D40" s="626">
        <v>33738887</v>
      </c>
      <c r="E40" s="489">
        <f>27775902</f>
        <v>27775902</v>
      </c>
      <c r="F40" s="489">
        <f>27775902+45912</f>
        <v>27821814</v>
      </c>
      <c r="G40" s="489">
        <f>27775902+45912+139320</f>
        <v>27961134</v>
      </c>
      <c r="H40" s="489">
        <f>27775902+45912+139320+810000+6210000</f>
        <v>34981134</v>
      </c>
      <c r="I40" s="489">
        <f>27775902+45912+139320+810000+6210000+300000</f>
        <v>35281134</v>
      </c>
    </row>
    <row r="41" spans="1:9" s="41" customFormat="1" ht="12" customHeight="1">
      <c r="A41" s="224" t="s">
        <v>167</v>
      </c>
      <c r="B41" s="110" t="s">
        <v>276</v>
      </c>
      <c r="C41" s="626"/>
      <c r="D41" s="626">
        <v>13300000</v>
      </c>
      <c r="E41" s="489"/>
      <c r="F41" s="489"/>
      <c r="G41" s="489"/>
      <c r="H41" s="489">
        <v>4316000</v>
      </c>
      <c r="I41" s="489">
        <v>4316000</v>
      </c>
    </row>
    <row r="42" spans="1:9" s="41" customFormat="1" ht="12" customHeight="1">
      <c r="A42" s="224" t="s">
        <v>168</v>
      </c>
      <c r="B42" s="110" t="s">
        <v>277</v>
      </c>
      <c r="C42" s="626">
        <v>40482</v>
      </c>
      <c r="D42" s="626">
        <v>503</v>
      </c>
      <c r="E42" s="489">
        <f>1000</f>
        <v>1000</v>
      </c>
      <c r="F42" s="489">
        <f>1000</f>
        <v>1000</v>
      </c>
      <c r="G42" s="489">
        <f>1000</f>
        <v>1000</v>
      </c>
      <c r="H42" s="489">
        <f>1000</f>
        <v>1000</v>
      </c>
      <c r="I42" s="489">
        <f>1000</f>
        <v>1000</v>
      </c>
    </row>
    <row r="43" spans="1:9" s="41" customFormat="1" ht="12" customHeight="1">
      <c r="A43" s="224" t="s">
        <v>268</v>
      </c>
      <c r="B43" s="110" t="s">
        <v>278</v>
      </c>
      <c r="C43" s="626"/>
      <c r="D43" s="626"/>
      <c r="E43" s="489"/>
      <c r="F43" s="489"/>
      <c r="G43" s="489"/>
      <c r="H43" s="489"/>
      <c r="I43" s="489"/>
    </row>
    <row r="44" spans="1:9" s="41" customFormat="1" ht="12" customHeight="1">
      <c r="A44" s="226" t="s">
        <v>269</v>
      </c>
      <c r="B44" s="112" t="s">
        <v>430</v>
      </c>
      <c r="C44" s="627"/>
      <c r="D44" s="627"/>
      <c r="E44" s="490"/>
      <c r="F44" s="490"/>
      <c r="G44" s="490"/>
      <c r="H44" s="490"/>
      <c r="I44" s="490"/>
    </row>
    <row r="45" spans="1:9" s="41" customFormat="1" ht="12" customHeight="1" thickBot="1">
      <c r="A45" s="226" t="s">
        <v>429</v>
      </c>
      <c r="B45" s="227" t="s">
        <v>279</v>
      </c>
      <c r="C45" s="627">
        <v>453002</v>
      </c>
      <c r="D45" s="627">
        <v>626613</v>
      </c>
      <c r="E45" s="490">
        <f>10000</f>
        <v>10000</v>
      </c>
      <c r="F45" s="490">
        <f>10000</f>
        <v>10000</v>
      </c>
      <c r="G45" s="490">
        <f>10000+516000+69800</f>
        <v>595800</v>
      </c>
      <c r="H45" s="490">
        <f>10000+516000+69800+230000</f>
        <v>825800</v>
      </c>
      <c r="I45" s="490">
        <f>10000+516000+69800+230000+10000</f>
        <v>835800</v>
      </c>
    </row>
    <row r="46" spans="1:9" s="41" customFormat="1" ht="12" customHeight="1" thickBot="1">
      <c r="A46" s="221" t="s">
        <v>19</v>
      </c>
      <c r="B46" s="222" t="s">
        <v>280</v>
      </c>
      <c r="C46" s="493">
        <f t="shared" ref="C46:H46" si="6">SUM(C47:C51)</f>
        <v>8986168</v>
      </c>
      <c r="D46" s="493">
        <f t="shared" si="6"/>
        <v>0</v>
      </c>
      <c r="E46" s="487">
        <f t="shared" si="6"/>
        <v>7000000</v>
      </c>
      <c r="F46" s="487">
        <f t="shared" si="6"/>
        <v>7000000</v>
      </c>
      <c r="G46" s="487">
        <f t="shared" si="6"/>
        <v>7000000</v>
      </c>
      <c r="H46" s="487">
        <f t="shared" si="6"/>
        <v>7000000</v>
      </c>
      <c r="I46" s="487">
        <f>SUM(I47:I51)</f>
        <v>7000000</v>
      </c>
    </row>
    <row r="47" spans="1:9" s="41" customFormat="1" ht="12" customHeight="1">
      <c r="A47" s="223" t="s">
        <v>89</v>
      </c>
      <c r="B47" s="109" t="s">
        <v>284</v>
      </c>
      <c r="C47" s="625"/>
      <c r="D47" s="625"/>
      <c r="E47" s="488"/>
      <c r="F47" s="488"/>
      <c r="G47" s="488"/>
      <c r="H47" s="488"/>
      <c r="I47" s="488"/>
    </row>
    <row r="48" spans="1:9" s="41" customFormat="1" ht="12" customHeight="1">
      <c r="A48" s="224" t="s">
        <v>90</v>
      </c>
      <c r="B48" s="110" t="s">
        <v>285</v>
      </c>
      <c r="C48" s="626">
        <v>8986168</v>
      </c>
      <c r="D48" s="626"/>
      <c r="E48" s="489">
        <v>7000000</v>
      </c>
      <c r="F48" s="489">
        <v>7000000</v>
      </c>
      <c r="G48" s="489">
        <v>7000000</v>
      </c>
      <c r="H48" s="489">
        <v>7000000</v>
      </c>
      <c r="I48" s="489">
        <v>7000000</v>
      </c>
    </row>
    <row r="49" spans="1:9" s="41" customFormat="1" ht="12" customHeight="1">
      <c r="A49" s="224" t="s">
        <v>281</v>
      </c>
      <c r="B49" s="110" t="s">
        <v>286</v>
      </c>
      <c r="C49" s="626"/>
      <c r="D49" s="626"/>
      <c r="E49" s="489"/>
      <c r="F49" s="489"/>
      <c r="G49" s="489"/>
      <c r="H49" s="489"/>
      <c r="I49" s="489"/>
    </row>
    <row r="50" spans="1:9" s="41" customFormat="1" ht="12" customHeight="1">
      <c r="A50" s="224" t="s">
        <v>282</v>
      </c>
      <c r="B50" s="110" t="s">
        <v>287</v>
      </c>
      <c r="C50" s="626"/>
      <c r="D50" s="626"/>
      <c r="E50" s="489"/>
      <c r="F50" s="489"/>
      <c r="G50" s="489"/>
      <c r="H50" s="489"/>
      <c r="I50" s="489"/>
    </row>
    <row r="51" spans="1:9" s="41" customFormat="1" ht="12" customHeight="1" thickBot="1">
      <c r="A51" s="226" t="s">
        <v>283</v>
      </c>
      <c r="B51" s="227" t="s">
        <v>288</v>
      </c>
      <c r="C51" s="627"/>
      <c r="D51" s="627"/>
      <c r="E51" s="490"/>
      <c r="F51" s="490"/>
      <c r="G51" s="490"/>
      <c r="H51" s="490"/>
      <c r="I51" s="490"/>
    </row>
    <row r="52" spans="1:9" s="41" customFormat="1" ht="12" customHeight="1" thickBot="1">
      <c r="A52" s="221" t="s">
        <v>169</v>
      </c>
      <c r="B52" s="222" t="s">
        <v>289</v>
      </c>
      <c r="C52" s="493">
        <f t="shared" ref="C52:H52" si="7">SUM(C53:C55)</f>
        <v>346102</v>
      </c>
      <c r="D52" s="493">
        <f t="shared" si="7"/>
        <v>0</v>
      </c>
      <c r="E52" s="487">
        <f t="shared" si="7"/>
        <v>505503</v>
      </c>
      <c r="F52" s="487">
        <f t="shared" si="7"/>
        <v>505503</v>
      </c>
      <c r="G52" s="487">
        <f t="shared" si="7"/>
        <v>505503</v>
      </c>
      <c r="H52" s="487">
        <f t="shared" si="7"/>
        <v>505503</v>
      </c>
      <c r="I52" s="487">
        <f>SUM(I53:I55)</f>
        <v>505503</v>
      </c>
    </row>
    <row r="53" spans="1:9" s="41" customFormat="1" ht="12" customHeight="1">
      <c r="A53" s="223" t="s">
        <v>91</v>
      </c>
      <c r="B53" s="109" t="s">
        <v>290</v>
      </c>
      <c r="C53" s="625"/>
      <c r="D53" s="625"/>
      <c r="E53" s="488"/>
      <c r="F53" s="488"/>
      <c r="G53" s="488"/>
      <c r="H53" s="488"/>
      <c r="I53" s="488"/>
    </row>
    <row r="54" spans="1:9" s="41" customFormat="1" ht="12" customHeight="1">
      <c r="A54" s="224" t="s">
        <v>92</v>
      </c>
      <c r="B54" s="110" t="s">
        <v>420</v>
      </c>
      <c r="C54" s="626"/>
      <c r="D54" s="626"/>
      <c r="E54" s="489"/>
      <c r="F54" s="489"/>
      <c r="G54" s="489"/>
      <c r="H54" s="489"/>
      <c r="I54" s="489"/>
    </row>
    <row r="55" spans="1:9" s="41" customFormat="1" ht="12" customHeight="1">
      <c r="A55" s="224" t="s">
        <v>293</v>
      </c>
      <c r="B55" s="110" t="s">
        <v>291</v>
      </c>
      <c r="C55" s="626">
        <v>346102</v>
      </c>
      <c r="D55" s="626"/>
      <c r="E55" s="489">
        <v>505503</v>
      </c>
      <c r="F55" s="489">
        <v>505503</v>
      </c>
      <c r="G55" s="489">
        <v>505503</v>
      </c>
      <c r="H55" s="489">
        <v>505503</v>
      </c>
      <c r="I55" s="489">
        <v>505503</v>
      </c>
    </row>
    <row r="56" spans="1:9" s="41" customFormat="1" ht="12" customHeight="1" thickBot="1">
      <c r="A56" s="226" t="s">
        <v>294</v>
      </c>
      <c r="B56" s="227" t="s">
        <v>292</v>
      </c>
      <c r="C56" s="627"/>
      <c r="D56" s="627"/>
      <c r="E56" s="490"/>
      <c r="F56" s="490"/>
      <c r="G56" s="490"/>
      <c r="H56" s="490"/>
      <c r="I56" s="490"/>
    </row>
    <row r="57" spans="1:9" s="41" customFormat="1" ht="12" customHeight="1" thickBot="1">
      <c r="A57" s="221" t="s">
        <v>21</v>
      </c>
      <c r="B57" s="228" t="s">
        <v>295</v>
      </c>
      <c r="C57" s="493">
        <f t="shared" ref="C57:H57" si="8">SUM(C58:C60)</f>
        <v>120000</v>
      </c>
      <c r="D57" s="493">
        <f t="shared" si="8"/>
        <v>110000</v>
      </c>
      <c r="E57" s="487">
        <f t="shared" si="8"/>
        <v>100000</v>
      </c>
      <c r="F57" s="487">
        <f t="shared" si="8"/>
        <v>100000</v>
      </c>
      <c r="G57" s="487">
        <f t="shared" si="8"/>
        <v>1052500</v>
      </c>
      <c r="H57" s="487">
        <f t="shared" si="8"/>
        <v>1052500</v>
      </c>
      <c r="I57" s="487">
        <f>SUM(I58:I60)</f>
        <v>1052500</v>
      </c>
    </row>
    <row r="58" spans="1:9" s="41" customFormat="1" ht="12" customHeight="1">
      <c r="A58" s="223" t="s">
        <v>170</v>
      </c>
      <c r="B58" s="109" t="s">
        <v>297</v>
      </c>
      <c r="C58" s="626"/>
      <c r="D58" s="626"/>
      <c r="E58" s="489"/>
      <c r="F58" s="489"/>
      <c r="G58" s="489"/>
      <c r="H58" s="489"/>
      <c r="I58" s="489"/>
    </row>
    <row r="59" spans="1:9" s="41" customFormat="1" ht="12" customHeight="1">
      <c r="A59" s="224" t="s">
        <v>171</v>
      </c>
      <c r="B59" s="110" t="s">
        <v>421</v>
      </c>
      <c r="C59" s="626">
        <v>120000</v>
      </c>
      <c r="D59" s="626">
        <v>110000</v>
      </c>
      <c r="E59" s="489">
        <v>100000</v>
      </c>
      <c r="F59" s="489">
        <v>100000</v>
      </c>
      <c r="G59" s="489">
        <v>100000</v>
      </c>
      <c r="H59" s="489">
        <v>100000</v>
      </c>
      <c r="I59" s="489">
        <v>100000</v>
      </c>
    </row>
    <row r="60" spans="1:9" s="41" customFormat="1" ht="12" customHeight="1">
      <c r="A60" s="224" t="s">
        <v>218</v>
      </c>
      <c r="B60" s="110" t="s">
        <v>298</v>
      </c>
      <c r="C60" s="626"/>
      <c r="D60" s="626"/>
      <c r="E60" s="489"/>
      <c r="F60" s="489"/>
      <c r="G60" s="489">
        <f>317500+635000</f>
        <v>952500</v>
      </c>
      <c r="H60" s="489">
        <f>317500+635000</f>
        <v>952500</v>
      </c>
      <c r="I60" s="489">
        <f>317500+635000</f>
        <v>952500</v>
      </c>
    </row>
    <row r="61" spans="1:9" s="41" customFormat="1" ht="12" customHeight="1" thickBot="1">
      <c r="A61" s="226" t="s">
        <v>296</v>
      </c>
      <c r="B61" s="227" t="s">
        <v>299</v>
      </c>
      <c r="C61" s="626"/>
      <c r="D61" s="626"/>
      <c r="E61" s="489"/>
      <c r="F61" s="489"/>
      <c r="G61" s="489"/>
      <c r="H61" s="489"/>
      <c r="I61" s="489"/>
    </row>
    <row r="62" spans="1:9" s="41" customFormat="1" ht="12" customHeight="1" thickBot="1">
      <c r="A62" s="229" t="s">
        <v>472</v>
      </c>
      <c r="B62" s="222" t="s">
        <v>300</v>
      </c>
      <c r="C62" s="493">
        <f>+C5+C12+C19+C26+C34+C46+C52+C57</f>
        <v>1005892455</v>
      </c>
      <c r="D62" s="487">
        <f>D5+D12+D19+D26+D34+D46+D52+D57</f>
        <v>644225799</v>
      </c>
      <c r="E62" s="487">
        <f>+E5+E12+E19+E26+E34+E46+E52+E57</f>
        <v>613843483</v>
      </c>
      <c r="F62" s="487">
        <f>+F5+F12+F19+F26+F34+F46+F52+F57</f>
        <v>620725817</v>
      </c>
      <c r="G62" s="487">
        <f>+G5+G12+G19+G26+G34+G46+G52+G57</f>
        <v>627651818</v>
      </c>
      <c r="H62" s="487">
        <f>+H5+H12+H19+H26+H34+H46+H52+H57</f>
        <v>676812810</v>
      </c>
      <c r="I62" s="487">
        <f>+I5+I12+I19+I26+I34+I46+I52+I57</f>
        <v>948648333</v>
      </c>
    </row>
    <row r="63" spans="1:9" s="41" customFormat="1" ht="12" customHeight="1" thickBot="1">
      <c r="A63" s="230" t="s">
        <v>301</v>
      </c>
      <c r="B63" s="228" t="s">
        <v>534</v>
      </c>
      <c r="C63" s="493">
        <f t="shared" ref="C63:H63" si="9">SUM(C64:C66)</f>
        <v>0</v>
      </c>
      <c r="D63" s="493">
        <f t="shared" si="9"/>
        <v>0</v>
      </c>
      <c r="E63" s="487">
        <f t="shared" si="9"/>
        <v>0</v>
      </c>
      <c r="F63" s="487">
        <f t="shared" si="9"/>
        <v>0</v>
      </c>
      <c r="G63" s="487">
        <f t="shared" si="9"/>
        <v>0</v>
      </c>
      <c r="H63" s="487">
        <f t="shared" si="9"/>
        <v>0</v>
      </c>
      <c r="I63" s="487">
        <f>SUM(I64:I66)</f>
        <v>0</v>
      </c>
    </row>
    <row r="64" spans="1:9" s="41" customFormat="1" ht="12" customHeight="1">
      <c r="A64" s="223" t="s">
        <v>333</v>
      </c>
      <c r="B64" s="109" t="s">
        <v>303</v>
      </c>
      <c r="C64" s="626"/>
      <c r="D64" s="626"/>
      <c r="E64" s="489"/>
      <c r="F64" s="489"/>
      <c r="G64" s="489"/>
      <c r="H64" s="489"/>
      <c r="I64" s="489"/>
    </row>
    <row r="65" spans="1:9" s="41" customFormat="1" ht="12" customHeight="1">
      <c r="A65" s="224" t="s">
        <v>342</v>
      </c>
      <c r="B65" s="110" t="s">
        <v>304</v>
      </c>
      <c r="C65" s="626"/>
      <c r="D65" s="626"/>
      <c r="E65" s="489"/>
      <c r="F65" s="489"/>
      <c r="G65" s="489"/>
      <c r="H65" s="489"/>
      <c r="I65" s="489"/>
    </row>
    <row r="66" spans="1:9" s="41" customFormat="1" ht="12" customHeight="1" thickBot="1">
      <c r="A66" s="226" t="s">
        <v>343</v>
      </c>
      <c r="B66" s="231" t="s">
        <v>457</v>
      </c>
      <c r="C66" s="626"/>
      <c r="D66" s="626"/>
      <c r="E66" s="489"/>
      <c r="F66" s="489"/>
      <c r="G66" s="489"/>
      <c r="H66" s="489"/>
      <c r="I66" s="489"/>
    </row>
    <row r="67" spans="1:9" s="41" customFormat="1" ht="12" customHeight="1" thickBot="1">
      <c r="A67" s="230" t="s">
        <v>306</v>
      </c>
      <c r="B67" s="228" t="s">
        <v>307</v>
      </c>
      <c r="C67" s="493">
        <f t="shared" ref="C67:H67" si="10">SUM(C68:C71)</f>
        <v>0</v>
      </c>
      <c r="D67" s="493">
        <f t="shared" si="10"/>
        <v>0</v>
      </c>
      <c r="E67" s="487">
        <f t="shared" si="10"/>
        <v>0</v>
      </c>
      <c r="F67" s="487">
        <f t="shared" si="10"/>
        <v>0</v>
      </c>
      <c r="G67" s="487">
        <f t="shared" si="10"/>
        <v>0</v>
      </c>
      <c r="H67" s="487">
        <f t="shared" si="10"/>
        <v>0</v>
      </c>
      <c r="I67" s="487">
        <f>SUM(I68:I71)</f>
        <v>0</v>
      </c>
    </row>
    <row r="68" spans="1:9" s="41" customFormat="1" ht="12" customHeight="1">
      <c r="A68" s="223" t="s">
        <v>140</v>
      </c>
      <c r="B68" s="109" t="s">
        <v>308</v>
      </c>
      <c r="C68" s="626"/>
      <c r="D68" s="626"/>
      <c r="E68" s="489"/>
      <c r="F68" s="489"/>
      <c r="G68" s="489"/>
      <c r="H68" s="489"/>
      <c r="I68" s="489"/>
    </row>
    <row r="69" spans="1:9" s="41" customFormat="1" ht="17.25" customHeight="1">
      <c r="A69" s="224" t="s">
        <v>141</v>
      </c>
      <c r="B69" s="110" t="s">
        <v>309</v>
      </c>
      <c r="C69" s="626"/>
      <c r="D69" s="626"/>
      <c r="E69" s="489"/>
      <c r="F69" s="489"/>
      <c r="G69" s="489"/>
      <c r="H69" s="489"/>
      <c r="I69" s="489"/>
    </row>
    <row r="70" spans="1:9" s="41" customFormat="1" ht="12" customHeight="1">
      <c r="A70" s="224" t="s">
        <v>334</v>
      </c>
      <c r="B70" s="110" t="s">
        <v>310</v>
      </c>
      <c r="C70" s="626"/>
      <c r="D70" s="626"/>
      <c r="E70" s="489"/>
      <c r="F70" s="489"/>
      <c r="G70" s="489"/>
      <c r="H70" s="489"/>
      <c r="I70" s="489"/>
    </row>
    <row r="71" spans="1:9" s="41" customFormat="1" ht="12" customHeight="1" thickBot="1">
      <c r="A71" s="226" t="s">
        <v>335</v>
      </c>
      <c r="B71" s="227" t="s">
        <v>311</v>
      </c>
      <c r="C71" s="626"/>
      <c r="D71" s="626"/>
      <c r="E71" s="489"/>
      <c r="F71" s="489"/>
      <c r="G71" s="489"/>
      <c r="H71" s="489"/>
      <c r="I71" s="489"/>
    </row>
    <row r="72" spans="1:9" s="41" customFormat="1" ht="12" customHeight="1" thickBot="1">
      <c r="A72" s="230" t="s">
        <v>312</v>
      </c>
      <c r="B72" s="228" t="s">
        <v>313</v>
      </c>
      <c r="C72" s="493">
        <f t="shared" ref="C72:H72" si="11">SUM(C73:C74)</f>
        <v>222974509</v>
      </c>
      <c r="D72" s="493">
        <f t="shared" si="11"/>
        <v>605704429</v>
      </c>
      <c r="E72" s="487">
        <f t="shared" si="11"/>
        <v>541000000</v>
      </c>
      <c r="F72" s="487">
        <f t="shared" si="11"/>
        <v>541475499</v>
      </c>
      <c r="G72" s="487">
        <f t="shared" si="11"/>
        <v>541475499</v>
      </c>
      <c r="H72" s="487">
        <f t="shared" si="11"/>
        <v>541475499</v>
      </c>
      <c r="I72" s="487">
        <f>SUM(I73:I74)</f>
        <v>541475499</v>
      </c>
    </row>
    <row r="73" spans="1:9" s="41" customFormat="1" ht="12" customHeight="1">
      <c r="A73" s="223" t="s">
        <v>336</v>
      </c>
      <c r="B73" s="109" t="s">
        <v>314</v>
      </c>
      <c r="C73" s="626">
        <v>222974509</v>
      </c>
      <c r="D73" s="626">
        <v>605704429</v>
      </c>
      <c r="E73" s="489">
        <f>541000000</f>
        <v>541000000</v>
      </c>
      <c r="F73" s="489">
        <f>541000000+475499</f>
        <v>541475499</v>
      </c>
      <c r="G73" s="489">
        <f>541000000+475499</f>
        <v>541475499</v>
      </c>
      <c r="H73" s="489">
        <f>541000000+475499</f>
        <v>541475499</v>
      </c>
      <c r="I73" s="489">
        <f>541000000+475499</f>
        <v>541475499</v>
      </c>
    </row>
    <row r="74" spans="1:9" s="41" customFormat="1" ht="12" customHeight="1" thickBot="1">
      <c r="A74" s="226" t="s">
        <v>337</v>
      </c>
      <c r="B74" s="227" t="s">
        <v>315</v>
      </c>
      <c r="C74" s="626"/>
      <c r="D74" s="626"/>
      <c r="E74" s="489"/>
      <c r="F74" s="489"/>
      <c r="G74" s="489"/>
      <c r="H74" s="489"/>
      <c r="I74" s="489"/>
    </row>
    <row r="75" spans="1:9" s="41" customFormat="1" ht="12" customHeight="1" thickBot="1">
      <c r="A75" s="230" t="s">
        <v>316</v>
      </c>
      <c r="B75" s="228" t="s">
        <v>317</v>
      </c>
      <c r="C75" s="493">
        <f t="shared" ref="C75:H75" si="12">SUM(C76:C78)</f>
        <v>8273601</v>
      </c>
      <c r="D75" s="493">
        <f t="shared" si="12"/>
        <v>8180284</v>
      </c>
      <c r="E75" s="487">
        <f t="shared" si="12"/>
        <v>0</v>
      </c>
      <c r="F75" s="487">
        <f t="shared" si="12"/>
        <v>0</v>
      </c>
      <c r="G75" s="487">
        <f t="shared" si="12"/>
        <v>262090</v>
      </c>
      <c r="H75" s="487">
        <f t="shared" si="12"/>
        <v>262090</v>
      </c>
      <c r="I75" s="487">
        <f>SUM(I76:I78)</f>
        <v>262090</v>
      </c>
    </row>
    <row r="76" spans="1:9" s="41" customFormat="1" ht="12" customHeight="1">
      <c r="A76" s="223" t="s">
        <v>338</v>
      </c>
      <c r="B76" s="109" t="s">
        <v>318</v>
      </c>
      <c r="C76" s="626">
        <v>8273601</v>
      </c>
      <c r="D76" s="626">
        <v>8180284</v>
      </c>
      <c r="E76" s="489"/>
      <c r="F76" s="489"/>
      <c r="G76" s="489">
        <f>262090</f>
        <v>262090</v>
      </c>
      <c r="H76" s="489">
        <f>262090</f>
        <v>262090</v>
      </c>
      <c r="I76" s="489">
        <f>262090</f>
        <v>262090</v>
      </c>
    </row>
    <row r="77" spans="1:9" s="41" customFormat="1" ht="12" customHeight="1">
      <c r="A77" s="224" t="s">
        <v>339</v>
      </c>
      <c r="B77" s="110" t="s">
        <v>319</v>
      </c>
      <c r="C77" s="626"/>
      <c r="D77" s="626"/>
      <c r="E77" s="489"/>
      <c r="F77" s="489"/>
      <c r="G77" s="489"/>
      <c r="H77" s="489"/>
      <c r="I77" s="489"/>
    </row>
    <row r="78" spans="1:9" s="41" customFormat="1" ht="12" customHeight="1" thickBot="1">
      <c r="A78" s="226" t="s">
        <v>340</v>
      </c>
      <c r="B78" s="227" t="s">
        <v>320</v>
      </c>
      <c r="C78" s="626"/>
      <c r="D78" s="626"/>
      <c r="E78" s="489"/>
      <c r="F78" s="489"/>
      <c r="G78" s="489"/>
      <c r="H78" s="489"/>
      <c r="I78" s="489"/>
    </row>
    <row r="79" spans="1:9" s="41" customFormat="1" ht="12" customHeight="1" thickBot="1">
      <c r="A79" s="230" t="s">
        <v>321</v>
      </c>
      <c r="B79" s="228" t="s">
        <v>341</v>
      </c>
      <c r="C79" s="493">
        <f t="shared" ref="C79:H79" si="13">SUM(C80:C83)</f>
        <v>0</v>
      </c>
      <c r="D79" s="493">
        <f t="shared" si="13"/>
        <v>9574</v>
      </c>
      <c r="E79" s="487">
        <f t="shared" si="13"/>
        <v>0</v>
      </c>
      <c r="F79" s="487">
        <f t="shared" si="13"/>
        <v>0</v>
      </c>
      <c r="G79" s="487">
        <f t="shared" si="13"/>
        <v>0</v>
      </c>
      <c r="H79" s="487">
        <f t="shared" si="13"/>
        <v>0</v>
      </c>
      <c r="I79" s="487">
        <f>SUM(I80:I83)</f>
        <v>0</v>
      </c>
    </row>
    <row r="80" spans="1:9" s="41" customFormat="1" ht="12" customHeight="1">
      <c r="A80" s="232" t="s">
        <v>322</v>
      </c>
      <c r="B80" s="109" t="s">
        <v>323</v>
      </c>
      <c r="C80" s="626"/>
      <c r="D80" s="626">
        <v>9574</v>
      </c>
      <c r="E80" s="489"/>
      <c r="F80" s="489"/>
      <c r="G80" s="489"/>
      <c r="H80" s="489"/>
      <c r="I80" s="489"/>
    </row>
    <row r="81" spans="1:9" s="41" customFormat="1" ht="12" customHeight="1">
      <c r="A81" s="233" t="s">
        <v>324</v>
      </c>
      <c r="B81" s="110" t="s">
        <v>325</v>
      </c>
      <c r="C81" s="626"/>
      <c r="D81" s="626"/>
      <c r="E81" s="489"/>
      <c r="F81" s="489"/>
      <c r="G81" s="489"/>
      <c r="H81" s="489"/>
      <c r="I81" s="489"/>
    </row>
    <row r="82" spans="1:9" s="41" customFormat="1" ht="12" customHeight="1">
      <c r="A82" s="233" t="s">
        <v>326</v>
      </c>
      <c r="B82" s="110" t="s">
        <v>327</v>
      </c>
      <c r="C82" s="626"/>
      <c r="D82" s="626"/>
      <c r="E82" s="489"/>
      <c r="F82" s="489"/>
      <c r="G82" s="489"/>
      <c r="H82" s="489"/>
      <c r="I82" s="489"/>
    </row>
    <row r="83" spans="1:9" s="41" customFormat="1" ht="12" customHeight="1" thickBot="1">
      <c r="A83" s="234" t="s">
        <v>328</v>
      </c>
      <c r="B83" s="227" t="s">
        <v>329</v>
      </c>
      <c r="C83" s="626"/>
      <c r="D83" s="626"/>
      <c r="E83" s="489"/>
      <c r="F83" s="489"/>
      <c r="G83" s="489"/>
      <c r="H83" s="489"/>
      <c r="I83" s="489"/>
    </row>
    <row r="84" spans="1:9" s="41" customFormat="1" ht="12" customHeight="1" thickBot="1">
      <c r="A84" s="230" t="s">
        <v>330</v>
      </c>
      <c r="B84" s="228" t="s">
        <v>471</v>
      </c>
      <c r="C84" s="629"/>
      <c r="D84" s="629"/>
      <c r="E84" s="492"/>
      <c r="F84" s="492"/>
      <c r="G84" s="492"/>
      <c r="H84" s="492"/>
      <c r="I84" s="492"/>
    </row>
    <row r="85" spans="1:9" s="41" customFormat="1" ht="12" customHeight="1" thickBot="1">
      <c r="A85" s="230" t="s">
        <v>332</v>
      </c>
      <c r="B85" s="228" t="s">
        <v>331</v>
      </c>
      <c r="C85" s="629"/>
      <c r="D85" s="629"/>
      <c r="E85" s="492"/>
      <c r="F85" s="492"/>
      <c r="G85" s="492"/>
      <c r="H85" s="492"/>
      <c r="I85" s="492"/>
    </row>
    <row r="86" spans="1:9" s="41" customFormat="1" ht="12" customHeight="1" thickBot="1">
      <c r="A86" s="230" t="s">
        <v>344</v>
      </c>
      <c r="B86" s="235" t="s">
        <v>474</v>
      </c>
      <c r="C86" s="493">
        <f t="shared" ref="C86:H86" si="14">+C63+C67+C72+C75+C79+C85+C84</f>
        <v>231248110</v>
      </c>
      <c r="D86" s="493">
        <f t="shared" si="14"/>
        <v>613894287</v>
      </c>
      <c r="E86" s="487">
        <f t="shared" si="14"/>
        <v>541000000</v>
      </c>
      <c r="F86" s="487">
        <f t="shared" si="14"/>
        <v>541475499</v>
      </c>
      <c r="G86" s="487">
        <f t="shared" si="14"/>
        <v>541737589</v>
      </c>
      <c r="H86" s="487">
        <f t="shared" si="14"/>
        <v>541737589</v>
      </c>
      <c r="I86" s="487">
        <f>+I63+I67+I72+I75+I79+I85+I84</f>
        <v>541737589</v>
      </c>
    </row>
    <row r="87" spans="1:9" s="41" customFormat="1" ht="12" customHeight="1" thickBot="1">
      <c r="A87" s="236" t="s">
        <v>31</v>
      </c>
      <c r="B87" s="237" t="s">
        <v>555</v>
      </c>
      <c r="C87" s="493"/>
      <c r="D87" s="493"/>
      <c r="E87" s="487"/>
      <c r="F87" s="487"/>
      <c r="G87" s="487"/>
      <c r="H87" s="487"/>
      <c r="I87" s="487"/>
    </row>
    <row r="88" spans="1:9" s="41" customFormat="1" ht="12" customHeight="1" thickBot="1">
      <c r="A88" s="236" t="s">
        <v>32</v>
      </c>
      <c r="B88" s="237" t="s">
        <v>475</v>
      </c>
      <c r="C88" s="493">
        <f t="shared" ref="C88:H88" si="15">+C62+C86+C87</f>
        <v>1237140565</v>
      </c>
      <c r="D88" s="493">
        <f t="shared" si="15"/>
        <v>1258120086</v>
      </c>
      <c r="E88" s="493">
        <f t="shared" si="15"/>
        <v>1154843483</v>
      </c>
      <c r="F88" s="493">
        <f t="shared" si="15"/>
        <v>1162201316</v>
      </c>
      <c r="G88" s="493">
        <f t="shared" si="15"/>
        <v>1169389407</v>
      </c>
      <c r="H88" s="493">
        <f t="shared" si="15"/>
        <v>1218550399</v>
      </c>
      <c r="I88" s="493">
        <f>+I62+I86+I87</f>
        <v>1490385922</v>
      </c>
    </row>
    <row r="89" spans="1:9" s="41" customFormat="1" ht="12" customHeight="1">
      <c r="A89" s="787" t="s">
        <v>42</v>
      </c>
      <c r="B89" s="787"/>
      <c r="C89" s="787"/>
      <c r="D89" s="787"/>
    </row>
    <row r="90" spans="1:9" s="41" customFormat="1" ht="12" customHeight="1" thickBot="1">
      <c r="A90" s="788" t="s">
        <v>143</v>
      </c>
      <c r="B90" s="788"/>
      <c r="C90" s="624"/>
      <c r="D90" s="618"/>
      <c r="E90" s="484" t="s">
        <v>581</v>
      </c>
      <c r="F90" s="484" t="s">
        <v>581</v>
      </c>
      <c r="G90" s="484" t="s">
        <v>581</v>
      </c>
      <c r="H90" s="484" t="s">
        <v>581</v>
      </c>
      <c r="I90" s="484" t="s">
        <v>581</v>
      </c>
    </row>
    <row r="91" spans="1:9" s="41" customFormat="1" ht="39" thickBot="1">
      <c r="A91" s="219" t="s">
        <v>12</v>
      </c>
      <c r="B91" s="220" t="s">
        <v>43</v>
      </c>
      <c r="C91" s="220" t="str">
        <f>+C3</f>
        <v>2017. évi tény</v>
      </c>
      <c r="D91" s="220" t="str">
        <f>+D3</f>
        <v>2018. évi várható</v>
      </c>
      <c r="E91" s="485" t="s">
        <v>690</v>
      </c>
      <c r="F91" s="485" t="s">
        <v>716</v>
      </c>
      <c r="G91" s="485" t="s">
        <v>719</v>
      </c>
      <c r="H91" s="485" t="s">
        <v>729</v>
      </c>
      <c r="I91" s="485" t="s">
        <v>729</v>
      </c>
    </row>
    <row r="92" spans="1:9" s="41" customFormat="1" ht="12" customHeight="1" thickBot="1">
      <c r="A92" s="219" t="s">
        <v>483</v>
      </c>
      <c r="B92" s="220" t="s">
        <v>484</v>
      </c>
      <c r="C92" s="220" t="s">
        <v>485</v>
      </c>
      <c r="D92" s="220" t="s">
        <v>487</v>
      </c>
      <c r="E92" s="486" t="s">
        <v>486</v>
      </c>
      <c r="F92" s="486" t="s">
        <v>486</v>
      </c>
      <c r="G92" s="486" t="s">
        <v>486</v>
      </c>
      <c r="H92" s="486" t="s">
        <v>486</v>
      </c>
      <c r="I92" s="486" t="s">
        <v>486</v>
      </c>
    </row>
    <row r="93" spans="1:9" s="41" customFormat="1" ht="15" customHeight="1" thickBot="1">
      <c r="A93" s="238" t="s">
        <v>14</v>
      </c>
      <c r="B93" s="239" t="s">
        <v>630</v>
      </c>
      <c r="C93" s="630">
        <f t="shared" ref="C93:H93" si="16">C94+C95+C96+C97+C98+C111</f>
        <v>381401072</v>
      </c>
      <c r="D93" s="630">
        <f t="shared" si="16"/>
        <v>410674676</v>
      </c>
      <c r="E93" s="494">
        <f t="shared" si="16"/>
        <v>576038614</v>
      </c>
      <c r="F93" s="494">
        <f t="shared" si="16"/>
        <v>597896672</v>
      </c>
      <c r="G93" s="494">
        <f t="shared" si="16"/>
        <v>598326146</v>
      </c>
      <c r="H93" s="494">
        <f t="shared" si="16"/>
        <v>638575161</v>
      </c>
      <c r="I93" s="494">
        <f>I94+I95+I96+I97+I98+I111</f>
        <v>659941669</v>
      </c>
    </row>
    <row r="94" spans="1:9" s="41" customFormat="1" ht="12.95" customHeight="1">
      <c r="A94" s="240" t="s">
        <v>93</v>
      </c>
      <c r="B94" s="241" t="s">
        <v>44</v>
      </c>
      <c r="C94" s="631">
        <v>66404589</v>
      </c>
      <c r="D94" s="631">
        <v>64551072</v>
      </c>
      <c r="E94" s="495">
        <v>81039317</v>
      </c>
      <c r="F94" s="495">
        <f>81039317+775698+4647201-1006323</f>
        <v>85455893</v>
      </c>
      <c r="G94" s="495">
        <f>85455893+2000000</f>
        <v>87455893</v>
      </c>
      <c r="H94" s="495">
        <f>87455893+365106+1363823+280000+520000+1200000+500000+570710+1000000</f>
        <v>93255532</v>
      </c>
      <c r="I94" s="495">
        <f>87455893+365106+1363823+280000+520000+1200000+500000+570710+1000000+1000000+2100000</f>
        <v>96355532</v>
      </c>
    </row>
    <row r="95" spans="1:9" ht="16.5" customHeight="1">
      <c r="A95" s="224" t="s">
        <v>94</v>
      </c>
      <c r="B95" s="242" t="s">
        <v>172</v>
      </c>
      <c r="C95" s="498">
        <v>15844449</v>
      </c>
      <c r="D95" s="498">
        <v>13060224</v>
      </c>
      <c r="E95" s="496">
        <v>17133121</v>
      </c>
      <c r="F95" s="496">
        <f>17133121+75631+453102-98116</f>
        <v>17563738</v>
      </c>
      <c r="G95" s="496">
        <f>17563738+390000</f>
        <v>17953738</v>
      </c>
      <c r="H95" s="496">
        <f>17953738+63894+238669+49000+91000+210000+635000+87500+99876+175000</f>
        <v>19603677</v>
      </c>
      <c r="I95" s="496">
        <f>17953738+63894+238669+49000+91000+210000+635000-635000+87500+99876+175000+385100+370000</f>
        <v>19723777</v>
      </c>
    </row>
    <row r="96" spans="1:9">
      <c r="A96" s="224" t="s">
        <v>95</v>
      </c>
      <c r="B96" s="242" t="s">
        <v>131</v>
      </c>
      <c r="C96" s="632">
        <v>163734673</v>
      </c>
      <c r="D96" s="632">
        <v>194374532</v>
      </c>
      <c r="E96" s="497">
        <v>263854593</v>
      </c>
      <c r="F96" s="497">
        <f>263854593+215957-127000</f>
        <v>263943550</v>
      </c>
      <c r="G96" s="497">
        <f>263943550+5100+46000-2390000</f>
        <v>261604650</v>
      </c>
      <c r="H96" s="497">
        <f>261604650+100000+803800+205740-205740+209700+500000+70000+317500+2051050+7135000+2000000+3810000+500000+2794000</f>
        <v>281895700</v>
      </c>
      <c r="I96" s="497">
        <f>261604650+100000+803800+205740-205740+209700+500000+70000+317500+2051050+7135000+2000000+635000+3810000+500000+2794000+9125600+163200-1838000+161000+169000-496260-330000+55000-55000-1385100</f>
        <v>288100140</v>
      </c>
    </row>
    <row r="97" spans="1:9" s="41" customFormat="1" ht="12" customHeight="1">
      <c r="A97" s="224" t="s">
        <v>96</v>
      </c>
      <c r="B97" s="243" t="s">
        <v>173</v>
      </c>
      <c r="C97" s="632">
        <v>8472840</v>
      </c>
      <c r="D97" s="632">
        <v>4410102</v>
      </c>
      <c r="E97" s="497">
        <v>7330000</v>
      </c>
      <c r="F97" s="497">
        <v>7330000</v>
      </c>
      <c r="G97" s="497">
        <f>7330000+1440000</f>
        <v>8770000</v>
      </c>
      <c r="H97" s="497">
        <f>7330000+1440000</f>
        <v>8770000</v>
      </c>
      <c r="I97" s="497">
        <f>7330000+1440000+2334260</f>
        <v>11104260</v>
      </c>
    </row>
    <row r="98" spans="1:9" ht="12" customHeight="1">
      <c r="A98" s="224" t="s">
        <v>107</v>
      </c>
      <c r="B98" s="244" t="s">
        <v>174</v>
      </c>
      <c r="C98" s="497">
        <f t="shared" ref="C98:H98" si="17">C99+C100+C101+C102+C103+C104+C105+C106+C107+C108+C109+C110</f>
        <v>126944521</v>
      </c>
      <c r="D98" s="497">
        <f t="shared" si="17"/>
        <v>134278746</v>
      </c>
      <c r="E98" s="497">
        <f t="shared" si="17"/>
        <v>173511355</v>
      </c>
      <c r="F98" s="497">
        <f t="shared" si="17"/>
        <v>176463084</v>
      </c>
      <c r="G98" s="497">
        <f t="shared" si="17"/>
        <v>174478690</v>
      </c>
      <c r="H98" s="497">
        <f t="shared" si="17"/>
        <v>174328690</v>
      </c>
      <c r="I98" s="497">
        <f>I99+I100+I101+I102+I103+I104+I105+I106+I107+I108+I109+I110</f>
        <v>172087290</v>
      </c>
    </row>
    <row r="99" spans="1:9" ht="12" customHeight="1">
      <c r="A99" s="224" t="s">
        <v>97</v>
      </c>
      <c r="B99" s="242" t="s">
        <v>438</v>
      </c>
      <c r="C99" s="632"/>
      <c r="D99" s="632"/>
      <c r="E99" s="497"/>
      <c r="F99" s="497"/>
      <c r="G99" s="497"/>
      <c r="H99" s="497"/>
      <c r="I99" s="497"/>
    </row>
    <row r="100" spans="1:9" ht="12" customHeight="1">
      <c r="A100" s="224" t="s">
        <v>98</v>
      </c>
      <c r="B100" s="245" t="s">
        <v>437</v>
      </c>
      <c r="C100" s="632"/>
      <c r="D100" s="632"/>
      <c r="E100" s="497"/>
      <c r="F100" s="497"/>
      <c r="G100" s="497"/>
      <c r="H100" s="497"/>
      <c r="I100" s="497"/>
    </row>
    <row r="101" spans="1:9" ht="12" customHeight="1">
      <c r="A101" s="224" t="s">
        <v>108</v>
      </c>
      <c r="B101" s="245" t="s">
        <v>436</v>
      </c>
      <c r="C101" s="632">
        <v>532857</v>
      </c>
      <c r="D101" s="632">
        <v>109362</v>
      </c>
      <c r="E101" s="497">
        <v>1505503</v>
      </c>
      <c r="F101" s="497">
        <f>1505503+2886754+64975</f>
        <v>4457232</v>
      </c>
      <c r="G101" s="497">
        <f>1505503+2886754+64975</f>
        <v>4457232</v>
      </c>
      <c r="H101" s="497">
        <f>1505503+2886754+64975</f>
        <v>4457232</v>
      </c>
      <c r="I101" s="497">
        <f>1505503+2886754+64975</f>
        <v>4457232</v>
      </c>
    </row>
    <row r="102" spans="1:9" ht="12" customHeight="1">
      <c r="A102" s="224" t="s">
        <v>109</v>
      </c>
      <c r="B102" s="246" t="s">
        <v>347</v>
      </c>
      <c r="C102" s="632"/>
      <c r="D102" s="632"/>
      <c r="E102" s="497"/>
      <c r="F102" s="497"/>
      <c r="G102" s="497"/>
      <c r="H102" s="497"/>
      <c r="I102" s="497"/>
    </row>
    <row r="103" spans="1:9" ht="12" customHeight="1">
      <c r="A103" s="224" t="s">
        <v>110</v>
      </c>
      <c r="B103" s="247" t="s">
        <v>348</v>
      </c>
      <c r="C103" s="632"/>
      <c r="D103" s="632"/>
      <c r="E103" s="497"/>
      <c r="F103" s="497"/>
      <c r="G103" s="497"/>
      <c r="H103" s="497"/>
      <c r="I103" s="497"/>
    </row>
    <row r="104" spans="1:9" ht="12" customHeight="1">
      <c r="A104" s="224" t="s">
        <v>111</v>
      </c>
      <c r="B104" s="247" t="s">
        <v>349</v>
      </c>
      <c r="C104" s="632"/>
      <c r="D104" s="632"/>
      <c r="E104" s="497"/>
      <c r="F104" s="497"/>
      <c r="G104" s="497"/>
      <c r="H104" s="497"/>
      <c r="I104" s="497"/>
    </row>
    <row r="105" spans="1:9" ht="12" customHeight="1">
      <c r="A105" s="224" t="s">
        <v>113</v>
      </c>
      <c r="B105" s="246" t="s">
        <v>350</v>
      </c>
      <c r="C105" s="632">
        <v>91044964</v>
      </c>
      <c r="D105" s="632">
        <v>93471784</v>
      </c>
      <c r="E105" s="497">
        <v>129940852</v>
      </c>
      <c r="F105" s="497">
        <v>129940852</v>
      </c>
      <c r="G105" s="497">
        <f>129940852-1537199+917805</f>
        <v>129321458</v>
      </c>
      <c r="H105" s="497">
        <f>129940852-1537199+917805</f>
        <v>129321458</v>
      </c>
      <c r="I105" s="497">
        <f>129940852-1537199+917805</f>
        <v>129321458</v>
      </c>
    </row>
    <row r="106" spans="1:9" ht="12" customHeight="1">
      <c r="A106" s="224" t="s">
        <v>175</v>
      </c>
      <c r="B106" s="246" t="s">
        <v>351</v>
      </c>
      <c r="C106" s="632"/>
      <c r="D106" s="632"/>
      <c r="E106" s="497"/>
      <c r="F106" s="497"/>
      <c r="G106" s="497"/>
      <c r="H106" s="497"/>
      <c r="I106" s="497"/>
    </row>
    <row r="107" spans="1:9" ht="12" customHeight="1">
      <c r="A107" s="224" t="s">
        <v>345</v>
      </c>
      <c r="B107" s="247" t="s">
        <v>352</v>
      </c>
      <c r="C107" s="632"/>
      <c r="D107" s="632"/>
      <c r="E107" s="497"/>
      <c r="F107" s="497"/>
      <c r="G107" s="497"/>
      <c r="H107" s="497"/>
      <c r="I107" s="497"/>
    </row>
    <row r="108" spans="1:9" ht="12" customHeight="1">
      <c r="A108" s="248" t="s">
        <v>346</v>
      </c>
      <c r="B108" s="245" t="s">
        <v>353</v>
      </c>
      <c r="C108" s="632"/>
      <c r="D108" s="632"/>
      <c r="E108" s="497"/>
      <c r="F108" s="497"/>
      <c r="G108" s="497"/>
      <c r="H108" s="497"/>
      <c r="I108" s="497"/>
    </row>
    <row r="109" spans="1:9" ht="12" customHeight="1">
      <c r="A109" s="224" t="s">
        <v>434</v>
      </c>
      <c r="B109" s="245" t="s">
        <v>354</v>
      </c>
      <c r="C109" s="632"/>
      <c r="D109" s="632"/>
      <c r="E109" s="497"/>
      <c r="F109" s="497"/>
      <c r="G109" s="497"/>
      <c r="H109" s="497"/>
      <c r="I109" s="497"/>
    </row>
    <row r="110" spans="1:9" ht="12" customHeight="1">
      <c r="A110" s="226" t="s">
        <v>435</v>
      </c>
      <c r="B110" s="245" t="s">
        <v>355</v>
      </c>
      <c r="C110" s="632">
        <v>35366700</v>
      </c>
      <c r="D110" s="632">
        <v>40697600</v>
      </c>
      <c r="E110" s="497">
        <v>42065000</v>
      </c>
      <c r="F110" s="497">
        <v>42065000</v>
      </c>
      <c r="G110" s="497">
        <f>42065000+30000+30000+15000-1440000</f>
        <v>40700000</v>
      </c>
      <c r="H110" s="497">
        <f>42065000+30000+30000+15000-1440000-300000+150000</f>
        <v>40550000</v>
      </c>
      <c r="I110" s="497">
        <f>42065000+30000+30000+15000-1440000-300000+150000-200000-2041400</f>
        <v>38308600</v>
      </c>
    </row>
    <row r="111" spans="1:9" ht="12" customHeight="1">
      <c r="A111" s="224" t="s">
        <v>439</v>
      </c>
      <c r="B111" s="243" t="s">
        <v>45</v>
      </c>
      <c r="C111" s="498">
        <f t="shared" ref="C111:H111" si="18">C112+C114</f>
        <v>0</v>
      </c>
      <c r="D111" s="498">
        <f t="shared" si="18"/>
        <v>0</v>
      </c>
      <c r="E111" s="498">
        <f t="shared" si="18"/>
        <v>33170228</v>
      </c>
      <c r="F111" s="498">
        <f t="shared" si="18"/>
        <v>47140407</v>
      </c>
      <c r="G111" s="498">
        <f t="shared" si="18"/>
        <v>48063175</v>
      </c>
      <c r="H111" s="498">
        <f t="shared" si="18"/>
        <v>60721562</v>
      </c>
      <c r="I111" s="498">
        <f>I112+I114</f>
        <v>72570670</v>
      </c>
    </row>
    <row r="112" spans="1:9" ht="12" customHeight="1">
      <c r="A112" s="224" t="s">
        <v>440</v>
      </c>
      <c r="B112" s="242" t="s">
        <v>442</v>
      </c>
      <c r="C112" s="498"/>
      <c r="D112" s="498"/>
      <c r="E112" s="496">
        <v>4078482</v>
      </c>
      <c r="F112" s="496">
        <f>4078482+267920+344876-2631579+1600000+7313613+475499-2886754-64975</f>
        <v>8497082</v>
      </c>
      <c r="G112" s="496">
        <f>8497082+236721+335241+519000+558279+1776671+931523+1537199-2650000+363642+139498-30000-30000-15000+3337921-917805-5100-46000+725120-1368421-300000-190500+316358</f>
        <v>13721429</v>
      </c>
      <c r="H112" s="496">
        <f>13721429+25000+10000-100000-500000-70000+43500-300000-14000-22200+297821+327267-500000-100000-2762886+230000+300000+4316000+3810000+29210000-329000-2021000-7135000-5100-635000-2000000-1270000-3810000-587500-1175000-262000-1219200-2794000-508000-1000000-500000-330315-150000</f>
        <v>22190816</v>
      </c>
      <c r="I112" s="496">
        <f>22190816+390000+312781+215183-311184+287980+1510000-2470000</f>
        <v>22125576</v>
      </c>
    </row>
    <row r="113" spans="1:9" ht="12" customHeight="1">
      <c r="A113" s="226"/>
      <c r="B113" s="253" t="s">
        <v>663</v>
      </c>
      <c r="C113" s="632"/>
      <c r="D113" s="632"/>
      <c r="E113" s="497"/>
      <c r="F113" s="497"/>
      <c r="G113" s="497"/>
      <c r="H113" s="497"/>
      <c r="I113" s="497"/>
    </row>
    <row r="114" spans="1:9" ht="12" customHeight="1" thickBot="1">
      <c r="A114" s="249" t="s">
        <v>441</v>
      </c>
      <c r="B114" s="250" t="s">
        <v>443</v>
      </c>
      <c r="C114" s="633"/>
      <c r="D114" s="633"/>
      <c r="E114" s="499">
        <v>29091746</v>
      </c>
      <c r="F114" s="499">
        <f>29091746+2631579-1600000+8520000</f>
        <v>38643325</v>
      </c>
      <c r="G114" s="499">
        <f>38643325-8520000+2650000-100000+1368421+300000</f>
        <v>34341746</v>
      </c>
      <c r="H114" s="499">
        <f>34341746+4189000</f>
        <v>38530746</v>
      </c>
      <c r="I114" s="499">
        <f>34341746+4189000-85652+12000000</f>
        <v>50445094</v>
      </c>
    </row>
    <row r="115" spans="1:9" ht="12" customHeight="1" thickBot="1">
      <c r="A115" s="251" t="s">
        <v>15</v>
      </c>
      <c r="B115" s="252" t="s">
        <v>631</v>
      </c>
      <c r="C115" s="634">
        <f t="shared" ref="C115:H115" si="19">+C116+C118+C120</f>
        <v>100926591</v>
      </c>
      <c r="D115" s="634">
        <f t="shared" si="19"/>
        <v>146630054</v>
      </c>
      <c r="E115" s="500">
        <f t="shared" si="19"/>
        <v>394436461</v>
      </c>
      <c r="F115" s="500">
        <f t="shared" si="19"/>
        <v>379936236</v>
      </c>
      <c r="G115" s="500">
        <f t="shared" si="19"/>
        <v>381179236</v>
      </c>
      <c r="H115" s="500">
        <f t="shared" si="19"/>
        <v>389152468</v>
      </c>
      <c r="I115" s="500">
        <f>+I116+I118+I120</f>
        <v>639553483</v>
      </c>
    </row>
    <row r="116" spans="1:9" ht="12" customHeight="1">
      <c r="A116" s="223" t="s">
        <v>99</v>
      </c>
      <c r="B116" s="242" t="s">
        <v>217</v>
      </c>
      <c r="C116" s="635">
        <v>77599166</v>
      </c>
      <c r="D116" s="635">
        <v>62979771</v>
      </c>
      <c r="E116" s="501">
        <f>304198564</f>
        <v>304198564</v>
      </c>
      <c r="F116" s="501">
        <f>304198564-14627225+127000</f>
        <v>289698339</v>
      </c>
      <c r="G116" s="501">
        <f>304198564-14627225+127000+317500+190500</f>
        <v>290206339</v>
      </c>
      <c r="H116" s="501">
        <f>290206339+2790232+300000+14000+22200+500000+1270000+262000+508000</f>
        <v>295872771</v>
      </c>
      <c r="I116" s="501">
        <f>290206339+2790232+300000+14000+22200+500000+1270000+262000+508000+246514227+3601136+85652</f>
        <v>546073786</v>
      </c>
    </row>
    <row r="117" spans="1:9">
      <c r="A117" s="223" t="s">
        <v>100</v>
      </c>
      <c r="B117" s="253" t="s">
        <v>359</v>
      </c>
      <c r="C117" s="635"/>
      <c r="D117" s="635"/>
      <c r="E117" s="501"/>
      <c r="F117" s="501"/>
      <c r="G117" s="501"/>
      <c r="H117" s="501"/>
      <c r="I117" s="501"/>
    </row>
    <row r="118" spans="1:9" ht="12" customHeight="1">
      <c r="A118" s="223" t="s">
        <v>101</v>
      </c>
      <c r="B118" s="253" t="s">
        <v>176</v>
      </c>
      <c r="C118" s="498">
        <v>20074425</v>
      </c>
      <c r="D118" s="498">
        <v>83022283</v>
      </c>
      <c r="E118" s="496">
        <f>89587897</f>
        <v>89587897</v>
      </c>
      <c r="F118" s="496">
        <f>89587897</f>
        <v>89587897</v>
      </c>
      <c r="G118" s="496">
        <f>89587897+100000+635000</f>
        <v>90322897</v>
      </c>
      <c r="H118" s="496">
        <f>90322897-317500+100000+1219200</f>
        <v>91324597</v>
      </c>
      <c r="I118" s="496">
        <f>90322897-317500+100000+1219200</f>
        <v>91324597</v>
      </c>
    </row>
    <row r="119" spans="1:9" ht="12" customHeight="1">
      <c r="A119" s="223" t="s">
        <v>102</v>
      </c>
      <c r="B119" s="253" t="s">
        <v>360</v>
      </c>
      <c r="C119" s="498"/>
      <c r="D119" s="498"/>
      <c r="E119" s="502"/>
      <c r="F119" s="502"/>
      <c r="G119" s="502"/>
      <c r="H119" s="502"/>
      <c r="I119" s="502"/>
    </row>
    <row r="120" spans="1:9" ht="12" customHeight="1">
      <c r="A120" s="223" t="s">
        <v>103</v>
      </c>
      <c r="B120" s="227" t="s">
        <v>219</v>
      </c>
      <c r="C120" s="502">
        <f t="shared" ref="C120:H120" si="20">C121+C122+C123+C124+C125+C126+C127+C128</f>
        <v>3253000</v>
      </c>
      <c r="D120" s="502">
        <f t="shared" si="20"/>
        <v>628000</v>
      </c>
      <c r="E120" s="502">
        <f t="shared" si="20"/>
        <v>650000</v>
      </c>
      <c r="F120" s="502">
        <f t="shared" si="20"/>
        <v>650000</v>
      </c>
      <c r="G120" s="502">
        <f t="shared" si="20"/>
        <v>650000</v>
      </c>
      <c r="H120" s="502">
        <f t="shared" si="20"/>
        <v>1955100</v>
      </c>
      <c r="I120" s="502">
        <f>I121+I122+I123+I124+I125+I126+I127+I128</f>
        <v>2155100</v>
      </c>
    </row>
    <row r="121" spans="1:9" ht="12" customHeight="1">
      <c r="A121" s="223" t="s">
        <v>112</v>
      </c>
      <c r="B121" s="225" t="s">
        <v>422</v>
      </c>
      <c r="C121" s="498"/>
      <c r="D121" s="498"/>
      <c r="E121" s="502"/>
      <c r="F121" s="502"/>
      <c r="G121" s="502"/>
      <c r="H121" s="502"/>
      <c r="I121" s="502"/>
    </row>
    <row r="122" spans="1:9" ht="12" customHeight="1">
      <c r="A122" s="223" t="s">
        <v>114</v>
      </c>
      <c r="B122" s="254" t="s">
        <v>365</v>
      </c>
      <c r="C122" s="498"/>
      <c r="D122" s="498"/>
      <c r="E122" s="502"/>
      <c r="F122" s="502"/>
      <c r="G122" s="502"/>
      <c r="H122" s="502"/>
      <c r="I122" s="502"/>
    </row>
    <row r="123" spans="1:9" ht="12" customHeight="1">
      <c r="A123" s="223" t="s">
        <v>177</v>
      </c>
      <c r="B123" s="247" t="s">
        <v>349</v>
      </c>
      <c r="C123" s="498"/>
      <c r="D123" s="498"/>
      <c r="E123" s="502"/>
      <c r="F123" s="502"/>
      <c r="G123" s="502"/>
      <c r="H123" s="502"/>
      <c r="I123" s="502"/>
    </row>
    <row r="124" spans="1:9" ht="12" customHeight="1">
      <c r="A124" s="223" t="s">
        <v>178</v>
      </c>
      <c r="B124" s="247" t="s">
        <v>364</v>
      </c>
      <c r="C124" s="498"/>
      <c r="D124" s="498"/>
      <c r="E124" s="502"/>
      <c r="F124" s="502"/>
      <c r="G124" s="502"/>
      <c r="H124" s="502">
        <v>5100</v>
      </c>
      <c r="I124" s="502">
        <v>5100</v>
      </c>
    </row>
    <row r="125" spans="1:9" ht="12" customHeight="1">
      <c r="A125" s="223" t="s">
        <v>179</v>
      </c>
      <c r="B125" s="247" t="s">
        <v>363</v>
      </c>
      <c r="C125" s="498"/>
      <c r="D125" s="498"/>
      <c r="E125" s="502"/>
      <c r="F125" s="502"/>
      <c r="G125" s="502"/>
      <c r="H125" s="502"/>
      <c r="I125" s="502"/>
    </row>
    <row r="126" spans="1:9" ht="12" customHeight="1">
      <c r="A126" s="223" t="s">
        <v>356</v>
      </c>
      <c r="B126" s="247" t="s">
        <v>352</v>
      </c>
      <c r="C126" s="498"/>
      <c r="D126" s="498"/>
      <c r="E126" s="502"/>
      <c r="F126" s="502"/>
      <c r="G126" s="502"/>
      <c r="H126" s="502"/>
      <c r="I126" s="502"/>
    </row>
    <row r="127" spans="1:9" ht="12" customHeight="1">
      <c r="A127" s="223" t="s">
        <v>357</v>
      </c>
      <c r="B127" s="247" t="s">
        <v>362</v>
      </c>
      <c r="C127" s="498"/>
      <c r="D127" s="498"/>
      <c r="E127" s="502"/>
      <c r="F127" s="502"/>
      <c r="G127" s="502"/>
      <c r="H127" s="502"/>
      <c r="I127" s="502"/>
    </row>
    <row r="128" spans="1:9" ht="12" customHeight="1" thickBot="1">
      <c r="A128" s="248" t="s">
        <v>358</v>
      </c>
      <c r="B128" s="247" t="s">
        <v>361</v>
      </c>
      <c r="C128" s="632">
        <v>3253000</v>
      </c>
      <c r="D128" s="632">
        <v>628000</v>
      </c>
      <c r="E128" s="503">
        <v>650000</v>
      </c>
      <c r="F128" s="503">
        <v>650000</v>
      </c>
      <c r="G128" s="503">
        <v>650000</v>
      </c>
      <c r="H128" s="503">
        <f>650000+1000000+300000</f>
        <v>1950000</v>
      </c>
      <c r="I128" s="503">
        <f>650000+1000000+300000+200000</f>
        <v>2150000</v>
      </c>
    </row>
    <row r="129" spans="1:9" ht="12" customHeight="1" thickBot="1">
      <c r="A129" s="221" t="s">
        <v>16</v>
      </c>
      <c r="B129" s="255" t="s">
        <v>444</v>
      </c>
      <c r="C129" s="636">
        <f t="shared" ref="C129:H129" si="21">+C93+C115</f>
        <v>482327663</v>
      </c>
      <c r="D129" s="636">
        <f t="shared" si="21"/>
        <v>557304730</v>
      </c>
      <c r="E129" s="504">
        <f t="shared" si="21"/>
        <v>970475075</v>
      </c>
      <c r="F129" s="504">
        <f t="shared" si="21"/>
        <v>977832908</v>
      </c>
      <c r="G129" s="504">
        <f t="shared" si="21"/>
        <v>979505382</v>
      </c>
      <c r="H129" s="504">
        <f t="shared" si="21"/>
        <v>1027727629</v>
      </c>
      <c r="I129" s="504">
        <f>+I93+I115</f>
        <v>1299495152</v>
      </c>
    </row>
    <row r="130" spans="1:9" ht="12" customHeight="1" thickBot="1">
      <c r="A130" s="221" t="s">
        <v>17</v>
      </c>
      <c r="B130" s="255" t="s">
        <v>445</v>
      </c>
      <c r="C130" s="636">
        <f t="shared" ref="C130:H130" si="22">+C131+C132+C133</f>
        <v>0</v>
      </c>
      <c r="D130" s="636">
        <f t="shared" si="22"/>
        <v>0</v>
      </c>
      <c r="E130" s="504">
        <f t="shared" si="22"/>
        <v>0</v>
      </c>
      <c r="F130" s="504">
        <f t="shared" si="22"/>
        <v>0</v>
      </c>
      <c r="G130" s="504">
        <f t="shared" si="22"/>
        <v>0</v>
      </c>
      <c r="H130" s="504">
        <f t="shared" si="22"/>
        <v>0</v>
      </c>
      <c r="I130" s="504">
        <f>+I131+I132+I133</f>
        <v>0</v>
      </c>
    </row>
    <row r="131" spans="1:9" ht="12" customHeight="1">
      <c r="A131" s="223" t="s">
        <v>257</v>
      </c>
      <c r="B131" s="253" t="s">
        <v>452</v>
      </c>
      <c r="C131" s="498"/>
      <c r="D131" s="498"/>
      <c r="E131" s="502"/>
      <c r="F131" s="502"/>
      <c r="G131" s="502"/>
      <c r="H131" s="502"/>
      <c r="I131" s="502"/>
    </row>
    <row r="132" spans="1:9" ht="12" customHeight="1">
      <c r="A132" s="223" t="s">
        <v>260</v>
      </c>
      <c r="B132" s="253" t="s">
        <v>453</v>
      </c>
      <c r="C132" s="498"/>
      <c r="D132" s="498"/>
      <c r="E132" s="502"/>
      <c r="F132" s="502"/>
      <c r="G132" s="502"/>
      <c r="H132" s="502"/>
      <c r="I132" s="502"/>
    </row>
    <row r="133" spans="1:9" ht="12" customHeight="1" thickBot="1">
      <c r="A133" s="248" t="s">
        <v>261</v>
      </c>
      <c r="B133" s="253" t="s">
        <v>454</v>
      </c>
      <c r="C133" s="498"/>
      <c r="D133" s="498"/>
      <c r="E133" s="502"/>
      <c r="F133" s="502"/>
      <c r="G133" s="502"/>
      <c r="H133" s="502"/>
      <c r="I133" s="502"/>
    </row>
    <row r="134" spans="1:9" ht="12" customHeight="1" thickBot="1">
      <c r="A134" s="221" t="s">
        <v>18</v>
      </c>
      <c r="B134" s="255" t="s">
        <v>446</v>
      </c>
      <c r="C134" s="636">
        <f t="shared" ref="C134:H134" si="23">SUM(C135:C140)</f>
        <v>0</v>
      </c>
      <c r="D134" s="636">
        <f t="shared" si="23"/>
        <v>0</v>
      </c>
      <c r="E134" s="504">
        <f t="shared" si="23"/>
        <v>0</v>
      </c>
      <c r="F134" s="504">
        <f t="shared" si="23"/>
        <v>0</v>
      </c>
      <c r="G134" s="504">
        <f t="shared" si="23"/>
        <v>0</v>
      </c>
      <c r="H134" s="504">
        <f t="shared" si="23"/>
        <v>0</v>
      </c>
      <c r="I134" s="504">
        <f>SUM(I135:I140)</f>
        <v>0</v>
      </c>
    </row>
    <row r="135" spans="1:9" ht="12" customHeight="1">
      <c r="A135" s="223" t="s">
        <v>86</v>
      </c>
      <c r="B135" s="256" t="s">
        <v>455</v>
      </c>
      <c r="C135" s="498"/>
      <c r="D135" s="498"/>
      <c r="E135" s="502"/>
      <c r="F135" s="502"/>
      <c r="G135" s="502"/>
      <c r="H135" s="502"/>
      <c r="I135" s="502"/>
    </row>
    <row r="136" spans="1:9" ht="12" customHeight="1">
      <c r="A136" s="223" t="s">
        <v>87</v>
      </c>
      <c r="B136" s="256" t="s">
        <v>447</v>
      </c>
      <c r="C136" s="498"/>
      <c r="D136" s="498"/>
      <c r="E136" s="502"/>
      <c r="F136" s="502"/>
      <c r="G136" s="502"/>
      <c r="H136" s="502"/>
      <c r="I136" s="502"/>
    </row>
    <row r="137" spans="1:9" ht="12" customHeight="1">
      <c r="A137" s="223" t="s">
        <v>88</v>
      </c>
      <c r="B137" s="256" t="s">
        <v>448</v>
      </c>
      <c r="C137" s="498"/>
      <c r="D137" s="498"/>
      <c r="E137" s="502"/>
      <c r="F137" s="502"/>
      <c r="G137" s="502"/>
      <c r="H137" s="502"/>
      <c r="I137" s="502"/>
    </row>
    <row r="138" spans="1:9" ht="12" customHeight="1">
      <c r="A138" s="223" t="s">
        <v>164</v>
      </c>
      <c r="B138" s="256" t="s">
        <v>449</v>
      </c>
      <c r="C138" s="498"/>
      <c r="D138" s="498"/>
      <c r="E138" s="502"/>
      <c r="F138" s="502"/>
      <c r="G138" s="502"/>
      <c r="H138" s="502"/>
      <c r="I138" s="502"/>
    </row>
    <row r="139" spans="1:9" ht="12" customHeight="1">
      <c r="A139" s="223" t="s">
        <v>165</v>
      </c>
      <c r="B139" s="256" t="s">
        <v>450</v>
      </c>
      <c r="C139" s="498"/>
      <c r="D139" s="498"/>
      <c r="E139" s="502"/>
      <c r="F139" s="502"/>
      <c r="G139" s="502"/>
      <c r="H139" s="502"/>
      <c r="I139" s="502"/>
    </row>
    <row r="140" spans="1:9" ht="12" customHeight="1" thickBot="1">
      <c r="A140" s="248" t="s">
        <v>166</v>
      </c>
      <c r="B140" s="256" t="s">
        <v>451</v>
      </c>
      <c r="C140" s="498"/>
      <c r="D140" s="498"/>
      <c r="E140" s="502"/>
      <c r="F140" s="502"/>
      <c r="G140" s="502"/>
      <c r="H140" s="502"/>
      <c r="I140" s="502"/>
    </row>
    <row r="141" spans="1:9" ht="12" customHeight="1" thickBot="1">
      <c r="A141" s="221" t="s">
        <v>19</v>
      </c>
      <c r="B141" s="255" t="s">
        <v>459</v>
      </c>
      <c r="C141" s="637">
        <f t="shared" ref="C141:H141" si="24">+C142+C143+C144+C145</f>
        <v>8090229</v>
      </c>
      <c r="D141" s="637">
        <f t="shared" si="24"/>
        <v>8033142</v>
      </c>
      <c r="E141" s="505">
        <f t="shared" si="24"/>
        <v>8107720</v>
      </c>
      <c r="F141" s="505">
        <f t="shared" si="24"/>
        <v>8107720</v>
      </c>
      <c r="G141" s="505">
        <f t="shared" si="24"/>
        <v>8369810</v>
      </c>
      <c r="H141" s="505">
        <f t="shared" si="24"/>
        <v>8369810</v>
      </c>
      <c r="I141" s="505">
        <f>+I142+I143+I144+I145</f>
        <v>8369810</v>
      </c>
    </row>
    <row r="142" spans="1:9" ht="12" customHeight="1">
      <c r="A142" s="223" t="s">
        <v>89</v>
      </c>
      <c r="B142" s="256" t="s">
        <v>366</v>
      </c>
      <c r="C142" s="498"/>
      <c r="D142" s="498"/>
      <c r="E142" s="502"/>
      <c r="F142" s="502"/>
      <c r="G142" s="502"/>
      <c r="H142" s="502"/>
      <c r="I142" s="502"/>
    </row>
    <row r="143" spans="1:9" ht="12" customHeight="1">
      <c r="A143" s="223" t="s">
        <v>90</v>
      </c>
      <c r="B143" s="256" t="s">
        <v>367</v>
      </c>
      <c r="C143" s="498">
        <v>8090229</v>
      </c>
      <c r="D143" s="498">
        <v>8033142</v>
      </c>
      <c r="E143" s="502">
        <v>8107720</v>
      </c>
      <c r="F143" s="502">
        <v>8107720</v>
      </c>
      <c r="G143" s="502">
        <f>8107720+262090</f>
        <v>8369810</v>
      </c>
      <c r="H143" s="502">
        <f>8107720+262090</f>
        <v>8369810</v>
      </c>
      <c r="I143" s="502">
        <f>8107720+262090</f>
        <v>8369810</v>
      </c>
    </row>
    <row r="144" spans="1:9" ht="12" customHeight="1">
      <c r="A144" s="223" t="s">
        <v>281</v>
      </c>
      <c r="B144" s="256" t="s">
        <v>460</v>
      </c>
      <c r="C144" s="498"/>
      <c r="D144" s="498"/>
      <c r="E144" s="502"/>
      <c r="F144" s="502"/>
      <c r="G144" s="502"/>
      <c r="H144" s="502"/>
      <c r="I144" s="502"/>
    </row>
    <row r="145" spans="1:9" ht="12" customHeight="1" thickBot="1">
      <c r="A145" s="248" t="s">
        <v>282</v>
      </c>
      <c r="B145" s="257" t="s">
        <v>386</v>
      </c>
      <c r="C145" s="498"/>
      <c r="D145" s="498"/>
      <c r="E145" s="502"/>
      <c r="F145" s="502"/>
      <c r="G145" s="502"/>
      <c r="H145" s="502"/>
      <c r="I145" s="502"/>
    </row>
    <row r="146" spans="1:9" ht="12" customHeight="1" thickBot="1">
      <c r="A146" s="221" t="s">
        <v>20</v>
      </c>
      <c r="B146" s="255" t="s">
        <v>461</v>
      </c>
      <c r="C146" s="638">
        <f t="shared" ref="C146:H146" si="25">SUM(C147:C151)</f>
        <v>0</v>
      </c>
      <c r="D146" s="638">
        <f t="shared" si="25"/>
        <v>0</v>
      </c>
      <c r="E146" s="506">
        <f t="shared" si="25"/>
        <v>0</v>
      </c>
      <c r="F146" s="506">
        <f t="shared" si="25"/>
        <v>0</v>
      </c>
      <c r="G146" s="506">
        <f t="shared" si="25"/>
        <v>0</v>
      </c>
      <c r="H146" s="506">
        <f t="shared" si="25"/>
        <v>0</v>
      </c>
      <c r="I146" s="506">
        <f>SUM(I147:I151)</f>
        <v>0</v>
      </c>
    </row>
    <row r="147" spans="1:9" ht="12" customHeight="1">
      <c r="A147" s="223" t="s">
        <v>91</v>
      </c>
      <c r="B147" s="256" t="s">
        <v>456</v>
      </c>
      <c r="C147" s="498"/>
      <c r="D147" s="498"/>
      <c r="E147" s="502"/>
      <c r="F147" s="502"/>
      <c r="G147" s="502"/>
      <c r="H147" s="502"/>
      <c r="I147" s="502"/>
    </row>
    <row r="148" spans="1:9" ht="12" customHeight="1">
      <c r="A148" s="223" t="s">
        <v>92</v>
      </c>
      <c r="B148" s="256" t="s">
        <v>463</v>
      </c>
      <c r="C148" s="498"/>
      <c r="D148" s="498"/>
      <c r="E148" s="502"/>
      <c r="F148" s="502"/>
      <c r="G148" s="502"/>
      <c r="H148" s="502"/>
      <c r="I148" s="502"/>
    </row>
    <row r="149" spans="1:9" ht="12" customHeight="1">
      <c r="A149" s="223" t="s">
        <v>293</v>
      </c>
      <c r="B149" s="256" t="s">
        <v>458</v>
      </c>
      <c r="C149" s="498"/>
      <c r="D149" s="498"/>
      <c r="E149" s="502"/>
      <c r="F149" s="502"/>
      <c r="G149" s="502"/>
      <c r="H149" s="502"/>
      <c r="I149" s="502"/>
    </row>
    <row r="150" spans="1:9" ht="12" customHeight="1">
      <c r="A150" s="223" t="s">
        <v>294</v>
      </c>
      <c r="B150" s="256" t="s">
        <v>464</v>
      </c>
      <c r="C150" s="498"/>
      <c r="D150" s="498"/>
      <c r="E150" s="502"/>
      <c r="F150" s="502"/>
      <c r="G150" s="502"/>
      <c r="H150" s="502"/>
      <c r="I150" s="502"/>
    </row>
    <row r="151" spans="1:9" ht="12" customHeight="1" thickBot="1">
      <c r="A151" s="223" t="s">
        <v>462</v>
      </c>
      <c r="B151" s="256" t="s">
        <v>465</v>
      </c>
      <c r="C151" s="498"/>
      <c r="D151" s="498"/>
      <c r="E151" s="502"/>
      <c r="F151" s="502"/>
      <c r="G151" s="502"/>
      <c r="H151" s="502"/>
      <c r="I151" s="502"/>
    </row>
    <row r="152" spans="1:9" ht="12" customHeight="1" thickBot="1">
      <c r="A152" s="221" t="s">
        <v>21</v>
      </c>
      <c r="B152" s="255" t="s">
        <v>466</v>
      </c>
      <c r="C152" s="639"/>
      <c r="D152" s="639"/>
      <c r="E152" s="507"/>
      <c r="F152" s="507"/>
      <c r="G152" s="507"/>
      <c r="H152" s="507"/>
      <c r="I152" s="507"/>
    </row>
    <row r="153" spans="1:9" ht="12" customHeight="1" thickBot="1">
      <c r="A153" s="221" t="s">
        <v>22</v>
      </c>
      <c r="B153" s="255" t="s">
        <v>573</v>
      </c>
      <c r="C153" s="639">
        <v>141018244</v>
      </c>
      <c r="D153" s="639">
        <v>147311106</v>
      </c>
      <c r="E153" s="507">
        <v>176260688</v>
      </c>
      <c r="F153" s="507">
        <v>176260688</v>
      </c>
      <c r="G153" s="507">
        <f>176260688-558279+5811806</f>
        <v>181514215</v>
      </c>
      <c r="H153" s="507">
        <f>176260688-558279+5811806-25000-10000+350000+623745</f>
        <v>182452960</v>
      </c>
      <c r="I153" s="507">
        <f>176260688-558279+5811806-25000-10000+350000+623745+458000-390000</f>
        <v>182520960</v>
      </c>
    </row>
    <row r="154" spans="1:9" ht="15" customHeight="1" thickBot="1">
      <c r="A154" s="221" t="s">
        <v>23</v>
      </c>
      <c r="B154" s="255" t="s">
        <v>469</v>
      </c>
      <c r="C154" s="509">
        <f t="shared" ref="C154:H154" si="26">+C130+C134+C141+C146+C152+C153</f>
        <v>149108473</v>
      </c>
      <c r="D154" s="509">
        <f t="shared" si="26"/>
        <v>155344248</v>
      </c>
      <c r="E154" s="508">
        <f t="shared" si="26"/>
        <v>184368408</v>
      </c>
      <c r="F154" s="508">
        <f t="shared" si="26"/>
        <v>184368408</v>
      </c>
      <c r="G154" s="508">
        <f t="shared" si="26"/>
        <v>189884025</v>
      </c>
      <c r="H154" s="508">
        <f t="shared" si="26"/>
        <v>190822770</v>
      </c>
      <c r="I154" s="508">
        <f>+I130+I134+I141+I146+I152+I153</f>
        <v>190890770</v>
      </c>
    </row>
    <row r="155" spans="1:9" ht="15" customHeight="1" thickBot="1">
      <c r="A155" s="251" t="s">
        <v>24</v>
      </c>
      <c r="B155" s="258" t="s">
        <v>556</v>
      </c>
      <c r="C155" s="509"/>
      <c r="D155" s="509"/>
      <c r="E155" s="508"/>
      <c r="F155" s="508"/>
      <c r="G155" s="508"/>
      <c r="H155" s="508"/>
      <c r="I155" s="508"/>
    </row>
    <row r="156" spans="1:9" s="41" customFormat="1" ht="12.95" customHeight="1" thickBot="1">
      <c r="A156" s="259" t="s">
        <v>25</v>
      </c>
      <c r="B156" s="260" t="s">
        <v>468</v>
      </c>
      <c r="C156" s="509">
        <f t="shared" ref="C156:H156" si="27">+C129+C154+C155</f>
        <v>631436136</v>
      </c>
      <c r="D156" s="509">
        <f t="shared" si="27"/>
        <v>712648978</v>
      </c>
      <c r="E156" s="509">
        <f t="shared" si="27"/>
        <v>1154843483</v>
      </c>
      <c r="F156" s="509">
        <f t="shared" si="27"/>
        <v>1162201316</v>
      </c>
      <c r="G156" s="509">
        <f t="shared" si="27"/>
        <v>1169389407</v>
      </c>
      <c r="H156" s="509">
        <f t="shared" si="27"/>
        <v>1218550399</v>
      </c>
      <c r="I156" s="509">
        <f>+I129+I154+I155</f>
        <v>1490385922</v>
      </c>
    </row>
    <row r="157" spans="1:9">
      <c r="C157" s="422"/>
    </row>
    <row r="158" spans="1:9">
      <c r="C158" s="785"/>
      <c r="D158" s="785"/>
      <c r="E158" s="785">
        <f>E88-E156</f>
        <v>0</v>
      </c>
      <c r="F158" s="785">
        <f>F88-F156</f>
        <v>0</v>
      </c>
      <c r="G158" s="785">
        <f>G88-G156</f>
        <v>0</v>
      </c>
      <c r="H158" s="785">
        <f>H88-H156</f>
        <v>0</v>
      </c>
      <c r="I158" s="785">
        <f>I88-I156</f>
        <v>0</v>
      </c>
    </row>
    <row r="159" spans="1:9">
      <c r="C159" s="422"/>
      <c r="D159" s="785"/>
    </row>
    <row r="160" spans="1:9" ht="16.5" customHeight="1">
      <c r="C160" s="785"/>
      <c r="D160" s="785"/>
    </row>
    <row r="161" spans="3:4">
      <c r="C161" s="422"/>
      <c r="D161" s="785"/>
    </row>
    <row r="162" spans="3:4">
      <c r="C162" s="422"/>
      <c r="D162" s="785"/>
    </row>
    <row r="163" spans="3:4">
      <c r="C163" s="422"/>
    </row>
    <row r="164" spans="3:4">
      <c r="C164" s="422"/>
    </row>
    <row r="165" spans="3:4">
      <c r="C165" s="422"/>
    </row>
    <row r="166" spans="3:4">
      <c r="C166" s="422"/>
    </row>
    <row r="167" spans="3:4">
      <c r="C167" s="422"/>
    </row>
    <row r="168" spans="3:4">
      <c r="C168" s="422"/>
    </row>
    <row r="169" spans="3:4">
      <c r="C169" s="422"/>
    </row>
  </sheetData>
  <mergeCells count="4">
    <mergeCell ref="A1:D1"/>
    <mergeCell ref="A89:D89"/>
    <mergeCell ref="A90:B90"/>
    <mergeCell ref="A2:B2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71" fitToWidth="3" fitToHeight="2" orientation="landscape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  <rowBreaks count="4" manualBreakCount="4">
    <brk id="34" max="8" man="1"/>
    <brk id="62" max="8" man="1"/>
    <brk id="88" max="8" man="1"/>
    <brk id="129" max="8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9">
    <tabColor rgb="FFFFFF00"/>
  </sheetPr>
  <dimension ref="A1:I18"/>
  <sheetViews>
    <sheetView zoomScaleNormal="100" workbookViewId="0">
      <selection activeCell="B12" sqref="B12"/>
    </sheetView>
  </sheetViews>
  <sheetFormatPr defaultRowHeight="12.75"/>
  <cols>
    <col min="1" max="1" width="6.83203125" style="754" customWidth="1"/>
    <col min="2" max="2" width="49.6640625" style="752" customWidth="1"/>
    <col min="3" max="3" width="12.83203125" style="752" customWidth="1"/>
    <col min="4" max="4" width="13.33203125" style="752" bestFit="1" customWidth="1"/>
    <col min="5" max="8" width="12.83203125" style="752" customWidth="1"/>
    <col min="9" max="9" width="14.33203125" style="752" customWidth="1"/>
    <col min="10" max="16384" width="9.33203125" style="752"/>
  </cols>
  <sheetData>
    <row r="1" spans="1:9" ht="27.75" customHeight="1">
      <c r="A1" s="839" t="s">
        <v>2</v>
      </c>
      <c r="B1" s="839"/>
      <c r="C1" s="839"/>
      <c r="D1" s="839"/>
      <c r="E1" s="839"/>
      <c r="F1" s="839"/>
      <c r="G1" s="839"/>
      <c r="H1" s="839"/>
      <c r="I1" s="839"/>
    </row>
    <row r="2" spans="1:9" ht="20.25" customHeight="1" thickBot="1">
      <c r="I2" s="290" t="s">
        <v>581</v>
      </c>
    </row>
    <row r="3" spans="1:9" s="291" customFormat="1" ht="26.25" customHeight="1">
      <c r="A3" s="792" t="s">
        <v>64</v>
      </c>
      <c r="B3" s="842" t="s">
        <v>80</v>
      </c>
      <c r="C3" s="792" t="s">
        <v>81</v>
      </c>
      <c r="D3" s="792" t="s">
        <v>680</v>
      </c>
      <c r="E3" s="844" t="s">
        <v>63</v>
      </c>
      <c r="F3" s="845"/>
      <c r="G3" s="845"/>
      <c r="H3" s="846"/>
      <c r="I3" s="842" t="s">
        <v>46</v>
      </c>
    </row>
    <row r="4" spans="1:9" s="294" customFormat="1" ht="32.25" customHeight="1" thickBot="1">
      <c r="A4" s="793"/>
      <c r="B4" s="843"/>
      <c r="C4" s="843"/>
      <c r="D4" s="793"/>
      <c r="E4" s="292" t="s">
        <v>588</v>
      </c>
      <c r="F4" s="292" t="s">
        <v>595</v>
      </c>
      <c r="G4" s="292" t="s">
        <v>596</v>
      </c>
      <c r="H4" s="293" t="s">
        <v>681</v>
      </c>
      <c r="I4" s="843"/>
    </row>
    <row r="5" spans="1:9" s="298" customFormat="1" ht="12.95" customHeight="1" thickBot="1">
      <c r="A5" s="295" t="s">
        <v>483</v>
      </c>
      <c r="B5" s="165" t="s">
        <v>484</v>
      </c>
      <c r="C5" s="296" t="s">
        <v>485</v>
      </c>
      <c r="D5" s="165" t="s">
        <v>487</v>
      </c>
      <c r="E5" s="295" t="s">
        <v>486</v>
      </c>
      <c r="F5" s="296" t="s">
        <v>488</v>
      </c>
      <c r="G5" s="296" t="s">
        <v>490</v>
      </c>
      <c r="H5" s="167" t="s">
        <v>491</v>
      </c>
      <c r="I5" s="297" t="s">
        <v>492</v>
      </c>
    </row>
    <row r="6" spans="1:9" ht="24.75" customHeight="1" thickBot="1">
      <c r="A6" s="166" t="s">
        <v>14</v>
      </c>
      <c r="B6" s="299" t="s">
        <v>3</v>
      </c>
      <c r="C6" s="300"/>
      <c r="D6" s="301">
        <f>+D7+D8</f>
        <v>0</v>
      </c>
      <c r="E6" s="302">
        <f>+E7+E8</f>
        <v>0</v>
      </c>
      <c r="F6" s="303">
        <f>+F7+F8</f>
        <v>0</v>
      </c>
      <c r="G6" s="303">
        <f>+G7+G8</f>
        <v>0</v>
      </c>
      <c r="H6" s="304">
        <f>+H7+H8</f>
        <v>0</v>
      </c>
      <c r="I6" s="301">
        <f t="shared" ref="I6:I17" si="0">SUM(D6:H6)</f>
        <v>0</v>
      </c>
    </row>
    <row r="7" spans="1:9" ht="20.100000000000001" customHeight="1">
      <c r="A7" s="305" t="s">
        <v>15</v>
      </c>
      <c r="B7" s="306" t="s">
        <v>65</v>
      </c>
      <c r="C7" s="763"/>
      <c r="D7" s="307"/>
      <c r="E7" s="308"/>
      <c r="F7" s="309"/>
      <c r="G7" s="309"/>
      <c r="H7" s="310"/>
      <c r="I7" s="311">
        <f t="shared" si="0"/>
        <v>0</v>
      </c>
    </row>
    <row r="8" spans="1:9" ht="20.100000000000001" customHeight="1" thickBot="1">
      <c r="A8" s="305" t="s">
        <v>16</v>
      </c>
      <c r="B8" s="306" t="s">
        <v>65</v>
      </c>
      <c r="C8" s="763"/>
      <c r="D8" s="307"/>
      <c r="E8" s="308"/>
      <c r="F8" s="309"/>
      <c r="G8" s="309"/>
      <c r="H8" s="310"/>
      <c r="I8" s="311">
        <f t="shared" si="0"/>
        <v>0</v>
      </c>
    </row>
    <row r="9" spans="1:9" ht="26.1" customHeight="1" thickBot="1">
      <c r="A9" s="166" t="s">
        <v>17</v>
      </c>
      <c r="B9" s="299" t="s">
        <v>4</v>
      </c>
      <c r="C9" s="779"/>
      <c r="D9" s="301">
        <f>+D10+D11</f>
        <v>0</v>
      </c>
      <c r="E9" s="302">
        <f>+E10+E11</f>
        <v>0</v>
      </c>
      <c r="F9" s="303">
        <f>+F10+F11</f>
        <v>0</v>
      </c>
      <c r="G9" s="303">
        <f>+G10+G11</f>
        <v>0</v>
      </c>
      <c r="H9" s="304">
        <f>+H10+H11</f>
        <v>0</v>
      </c>
      <c r="I9" s="780">
        <f t="shared" si="0"/>
        <v>0</v>
      </c>
    </row>
    <row r="10" spans="1:9" ht="20.100000000000001" customHeight="1">
      <c r="A10" s="305" t="s">
        <v>18</v>
      </c>
      <c r="B10" s="306" t="s">
        <v>65</v>
      </c>
      <c r="C10" s="763"/>
      <c r="D10" s="307"/>
      <c r="E10" s="308"/>
      <c r="F10" s="309"/>
      <c r="G10" s="309"/>
      <c r="H10" s="310"/>
      <c r="I10" s="311">
        <f t="shared" si="0"/>
        <v>0</v>
      </c>
    </row>
    <row r="11" spans="1:9" ht="20.100000000000001" customHeight="1" thickBot="1">
      <c r="A11" s="305" t="s">
        <v>19</v>
      </c>
      <c r="B11" s="306" t="s">
        <v>65</v>
      </c>
      <c r="C11" s="763"/>
      <c r="D11" s="307"/>
      <c r="E11" s="308"/>
      <c r="F11" s="309"/>
      <c r="G11" s="309"/>
      <c r="H11" s="310"/>
      <c r="I11" s="311">
        <f t="shared" si="0"/>
        <v>0</v>
      </c>
    </row>
    <row r="12" spans="1:9" ht="20.100000000000001" customHeight="1" thickBot="1">
      <c r="A12" s="166" t="s">
        <v>20</v>
      </c>
      <c r="B12" s="299" t="s">
        <v>195</v>
      </c>
      <c r="C12" s="779"/>
      <c r="D12" s="301">
        <f>+D13</f>
        <v>0</v>
      </c>
      <c r="E12" s="302">
        <f>+E13</f>
        <v>0</v>
      </c>
      <c r="F12" s="303">
        <f>+F13</f>
        <v>0</v>
      </c>
      <c r="G12" s="303">
        <f>+G13</f>
        <v>0</v>
      </c>
      <c r="H12" s="304">
        <f>+H13</f>
        <v>0</v>
      </c>
      <c r="I12" s="301">
        <f t="shared" si="0"/>
        <v>0</v>
      </c>
    </row>
    <row r="13" spans="1:9" ht="20.100000000000001" customHeight="1" thickBot="1">
      <c r="A13" s="305" t="s">
        <v>21</v>
      </c>
      <c r="B13" s="306" t="s">
        <v>65</v>
      </c>
      <c r="C13" s="763"/>
      <c r="D13" s="307"/>
      <c r="E13" s="308"/>
      <c r="F13" s="309"/>
      <c r="G13" s="309"/>
      <c r="H13" s="310"/>
      <c r="I13" s="311">
        <f t="shared" si="0"/>
        <v>0</v>
      </c>
    </row>
    <row r="14" spans="1:9" ht="20.100000000000001" customHeight="1" thickBot="1">
      <c r="A14" s="166" t="s">
        <v>22</v>
      </c>
      <c r="B14" s="299" t="s">
        <v>196</v>
      </c>
      <c r="C14" s="779"/>
      <c r="D14" s="301">
        <f>+D15</f>
        <v>0</v>
      </c>
      <c r="E14" s="302">
        <f>+E15</f>
        <v>0</v>
      </c>
      <c r="F14" s="303">
        <f>+F15</f>
        <v>0</v>
      </c>
      <c r="G14" s="303">
        <f>+G15</f>
        <v>0</v>
      </c>
      <c r="H14" s="304">
        <f>+H15</f>
        <v>0</v>
      </c>
      <c r="I14" s="301">
        <f t="shared" si="0"/>
        <v>0</v>
      </c>
    </row>
    <row r="15" spans="1:9" ht="20.100000000000001" customHeight="1" thickBot="1">
      <c r="A15" s="312" t="s">
        <v>23</v>
      </c>
      <c r="B15" s="313" t="s">
        <v>65</v>
      </c>
      <c r="C15" s="768"/>
      <c r="D15" s="314"/>
      <c r="E15" s="315"/>
      <c r="F15" s="316"/>
      <c r="G15" s="316"/>
      <c r="H15" s="317"/>
      <c r="I15" s="318">
        <f t="shared" si="0"/>
        <v>0</v>
      </c>
    </row>
    <row r="16" spans="1:9" ht="20.100000000000001" customHeight="1" thickBot="1">
      <c r="A16" s="166" t="s">
        <v>24</v>
      </c>
      <c r="B16" s="299" t="s">
        <v>197</v>
      </c>
      <c r="C16" s="779"/>
      <c r="D16" s="301">
        <f>+D17</f>
        <v>0</v>
      </c>
      <c r="E16" s="302">
        <f>+E17</f>
        <v>0</v>
      </c>
      <c r="F16" s="303">
        <f>+F17</f>
        <v>0</v>
      </c>
      <c r="G16" s="303">
        <f>+G17</f>
        <v>0</v>
      </c>
      <c r="H16" s="304">
        <f>+H17</f>
        <v>0</v>
      </c>
      <c r="I16" s="301">
        <f t="shared" si="0"/>
        <v>0</v>
      </c>
    </row>
    <row r="17" spans="1:9" ht="20.100000000000001" customHeight="1" thickBot="1">
      <c r="A17" s="319" t="s">
        <v>25</v>
      </c>
      <c r="B17" s="320" t="s">
        <v>65</v>
      </c>
      <c r="C17" s="781"/>
      <c r="D17" s="321"/>
      <c r="E17" s="322"/>
      <c r="F17" s="323"/>
      <c r="G17" s="323"/>
      <c r="H17" s="324"/>
      <c r="I17" s="325">
        <f t="shared" si="0"/>
        <v>0</v>
      </c>
    </row>
    <row r="18" spans="1:9" ht="20.100000000000001" customHeight="1" thickBot="1">
      <c r="A18" s="840" t="s">
        <v>137</v>
      </c>
      <c r="B18" s="841"/>
      <c r="C18" s="782"/>
      <c r="D18" s="301">
        <f t="shared" ref="D18:I18" si="1">+D6+D9+D12+D14+D16</f>
        <v>0</v>
      </c>
      <c r="E18" s="302">
        <f t="shared" si="1"/>
        <v>0</v>
      </c>
      <c r="F18" s="303">
        <f t="shared" si="1"/>
        <v>0</v>
      </c>
      <c r="G18" s="303">
        <f t="shared" si="1"/>
        <v>0</v>
      </c>
      <c r="H18" s="304">
        <f t="shared" si="1"/>
        <v>0</v>
      </c>
      <c r="I18" s="301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6" bottom="0.98425196850393704" header="0.78740157480314965" footer="0.78740157480314965"/>
  <pageSetup paperSize="9" scale="64" orientation="portrait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FFC000"/>
  </sheetPr>
  <dimension ref="A1:G159"/>
  <sheetViews>
    <sheetView view="pageLayout" topLeftCell="A84" zoomScaleNormal="100" zoomScaleSheetLayoutView="100" workbookViewId="0">
      <selection activeCell="B93" sqref="B92:B93"/>
    </sheetView>
  </sheetViews>
  <sheetFormatPr defaultRowHeight="12.75"/>
  <cols>
    <col min="1" max="1" width="7.1640625" style="114" bestFit="1" customWidth="1"/>
    <col min="2" max="2" width="67.1640625" style="115" bestFit="1" customWidth="1"/>
    <col min="3" max="7" width="21.33203125" style="617" customWidth="1"/>
    <col min="8" max="16384" width="9.33203125" style="115"/>
  </cols>
  <sheetData>
    <row r="1" spans="1:7" s="657" customFormat="1" ht="15.75">
      <c r="B1" s="364" t="s">
        <v>644</v>
      </c>
      <c r="C1" s="770"/>
      <c r="D1" s="770"/>
      <c r="E1" s="770"/>
      <c r="F1" s="770"/>
      <c r="G1" s="770"/>
    </row>
    <row r="2" spans="1:7" s="657" customFormat="1" ht="15.75">
      <c r="B2" s="364" t="s">
        <v>672</v>
      </c>
      <c r="C2" s="770"/>
      <c r="D2" s="770"/>
      <c r="E2" s="770"/>
      <c r="F2" s="770"/>
      <c r="G2" s="770"/>
    </row>
    <row r="3" spans="1:7" s="657" customFormat="1" ht="15.75">
      <c r="B3" s="367" t="s">
        <v>646</v>
      </c>
      <c r="C3" s="770"/>
      <c r="D3" s="770"/>
      <c r="E3" s="770"/>
      <c r="F3" s="770"/>
      <c r="G3" s="770"/>
    </row>
    <row r="6" spans="1:7" s="657" customFormat="1" ht="15.95" customHeight="1">
      <c r="A6" s="789" t="s">
        <v>577</v>
      </c>
      <c r="B6" s="789"/>
    </row>
    <row r="7" spans="1:7" s="657" customFormat="1" ht="15.95" customHeight="1" thickBot="1">
      <c r="A7" s="790" t="s">
        <v>142</v>
      </c>
      <c r="B7" s="790"/>
      <c r="C7" s="613" t="s">
        <v>581</v>
      </c>
      <c r="D7" s="613" t="s">
        <v>581</v>
      </c>
      <c r="E7" s="613" t="s">
        <v>581</v>
      </c>
      <c r="F7" s="613" t="s">
        <v>581</v>
      </c>
      <c r="G7" s="613" t="s">
        <v>581</v>
      </c>
    </row>
    <row r="8" spans="1:7" s="657" customFormat="1" ht="38.1" customHeight="1" thickBot="1">
      <c r="A8" s="33" t="s">
        <v>64</v>
      </c>
      <c r="B8" s="34" t="s">
        <v>13</v>
      </c>
      <c r="C8" s="569" t="s">
        <v>690</v>
      </c>
      <c r="D8" s="569" t="s">
        <v>716</v>
      </c>
      <c r="E8" s="569" t="s">
        <v>719</v>
      </c>
      <c r="F8" s="569" t="s">
        <v>729</v>
      </c>
      <c r="G8" s="569" t="s">
        <v>750</v>
      </c>
    </row>
    <row r="9" spans="1:7" s="37" customFormat="1" ht="12" customHeight="1" thickBot="1">
      <c r="A9" s="35" t="s">
        <v>483</v>
      </c>
      <c r="B9" s="36" t="s">
        <v>484</v>
      </c>
      <c r="C9" s="536" t="s">
        <v>485</v>
      </c>
      <c r="D9" s="536" t="s">
        <v>485</v>
      </c>
      <c r="E9" s="536" t="s">
        <v>485</v>
      </c>
      <c r="F9" s="536" t="s">
        <v>485</v>
      </c>
      <c r="G9" s="536" t="s">
        <v>485</v>
      </c>
    </row>
    <row r="10" spans="1:7" s="41" customFormat="1" ht="12" customHeight="1" thickBot="1">
      <c r="A10" s="38" t="s">
        <v>14</v>
      </c>
      <c r="B10" s="39" t="s">
        <v>241</v>
      </c>
      <c r="C10" s="504">
        <f>+C11+C12+C13+C14+C15+C16</f>
        <v>0</v>
      </c>
      <c r="D10" s="504">
        <f>+D11+D12+D13+D14+D15+D16</f>
        <v>0</v>
      </c>
      <c r="E10" s="504">
        <f>+E11+E12+E13+E14+E15+E16</f>
        <v>0</v>
      </c>
      <c r="F10" s="504">
        <f>+F11+F12+F13+F14+F15+F16</f>
        <v>0</v>
      </c>
      <c r="G10" s="504">
        <f>+G11+G12+G13+G14+G15+G16</f>
        <v>0</v>
      </c>
    </row>
    <row r="11" spans="1:7" s="41" customFormat="1" ht="12" customHeight="1">
      <c r="A11" s="42" t="s">
        <v>93</v>
      </c>
      <c r="B11" s="43" t="s">
        <v>242</v>
      </c>
      <c r="C11" s="501"/>
      <c r="D11" s="501"/>
      <c r="E11" s="501"/>
      <c r="F11" s="501"/>
      <c r="G11" s="501"/>
    </row>
    <row r="12" spans="1:7" s="41" customFormat="1" ht="12" customHeight="1">
      <c r="A12" s="45" t="s">
        <v>94</v>
      </c>
      <c r="B12" s="46" t="s">
        <v>243</v>
      </c>
      <c r="C12" s="496"/>
      <c r="D12" s="496"/>
      <c r="E12" s="496"/>
      <c r="F12" s="496"/>
      <c r="G12" s="496"/>
    </row>
    <row r="13" spans="1:7" s="41" customFormat="1" ht="12" customHeight="1">
      <c r="A13" s="45" t="s">
        <v>95</v>
      </c>
      <c r="B13" s="46" t="s">
        <v>244</v>
      </c>
      <c r="C13" s="496"/>
      <c r="D13" s="496"/>
      <c r="E13" s="496"/>
      <c r="F13" s="496"/>
      <c r="G13" s="496"/>
    </row>
    <row r="14" spans="1:7" s="41" customFormat="1" ht="12" customHeight="1">
      <c r="A14" s="45" t="s">
        <v>96</v>
      </c>
      <c r="B14" s="46" t="s">
        <v>245</v>
      </c>
      <c r="C14" s="496"/>
      <c r="D14" s="496"/>
      <c r="E14" s="496"/>
      <c r="F14" s="496"/>
      <c r="G14" s="496"/>
    </row>
    <row r="15" spans="1:7" s="41" customFormat="1" ht="12" customHeight="1">
      <c r="A15" s="45" t="s">
        <v>139</v>
      </c>
      <c r="B15" s="48" t="s">
        <v>426</v>
      </c>
      <c r="C15" s="496"/>
      <c r="D15" s="496"/>
      <c r="E15" s="496"/>
      <c r="F15" s="496"/>
      <c r="G15" s="496"/>
    </row>
    <row r="16" spans="1:7" s="41" customFormat="1" ht="12" customHeight="1" thickBot="1">
      <c r="A16" s="49" t="s">
        <v>97</v>
      </c>
      <c r="B16" s="50" t="s">
        <v>427</v>
      </c>
      <c r="C16" s="496"/>
      <c r="D16" s="496"/>
      <c r="E16" s="496"/>
      <c r="F16" s="496"/>
      <c r="G16" s="496"/>
    </row>
    <row r="17" spans="1:7" s="41" customFormat="1" ht="12" customHeight="1" thickBot="1">
      <c r="A17" s="38" t="s">
        <v>15</v>
      </c>
      <c r="B17" s="51" t="s">
        <v>246</v>
      </c>
      <c r="C17" s="504">
        <f>+C18+C19+C20+C21+C22</f>
        <v>0</v>
      </c>
      <c r="D17" s="504">
        <f>+D18+D19+D20+D21+D22</f>
        <v>0</v>
      </c>
      <c r="E17" s="504">
        <f>+E18+E19+E20+E21+E22</f>
        <v>0</v>
      </c>
      <c r="F17" s="504">
        <f>+F18+F19+F20+F21+F22</f>
        <v>0</v>
      </c>
      <c r="G17" s="504">
        <f>+G18+G19+G20+G21+G22</f>
        <v>0</v>
      </c>
    </row>
    <row r="18" spans="1:7" s="41" customFormat="1" ht="12" customHeight="1">
      <c r="A18" s="42" t="s">
        <v>99</v>
      </c>
      <c r="B18" s="43" t="s">
        <v>247</v>
      </c>
      <c r="C18" s="501"/>
      <c r="D18" s="501"/>
      <c r="E18" s="501"/>
      <c r="F18" s="501"/>
      <c r="G18" s="501"/>
    </row>
    <row r="19" spans="1:7" s="41" customFormat="1" ht="12" customHeight="1">
      <c r="A19" s="45" t="s">
        <v>100</v>
      </c>
      <c r="B19" s="46" t="s">
        <v>248</v>
      </c>
      <c r="C19" s="496"/>
      <c r="D19" s="496"/>
      <c r="E19" s="496"/>
      <c r="F19" s="496"/>
      <c r="G19" s="496"/>
    </row>
    <row r="20" spans="1:7" s="41" customFormat="1" ht="12" customHeight="1">
      <c r="A20" s="45" t="s">
        <v>101</v>
      </c>
      <c r="B20" s="46" t="s">
        <v>416</v>
      </c>
      <c r="C20" s="496"/>
      <c r="D20" s="496"/>
      <c r="E20" s="496"/>
      <c r="F20" s="496"/>
      <c r="G20" s="496"/>
    </row>
    <row r="21" spans="1:7" s="41" customFormat="1" ht="12" customHeight="1">
      <c r="A21" s="45" t="s">
        <v>102</v>
      </c>
      <c r="B21" s="46" t="s">
        <v>417</v>
      </c>
      <c r="C21" s="496"/>
      <c r="D21" s="496"/>
      <c r="E21" s="496"/>
      <c r="F21" s="496"/>
      <c r="G21" s="496"/>
    </row>
    <row r="22" spans="1:7" s="41" customFormat="1" ht="12" customHeight="1">
      <c r="A22" s="45" t="s">
        <v>103</v>
      </c>
      <c r="B22" s="46" t="s">
        <v>249</v>
      </c>
      <c r="C22" s="496"/>
      <c r="D22" s="496"/>
      <c r="E22" s="496"/>
      <c r="F22" s="496"/>
      <c r="G22" s="496"/>
    </row>
    <row r="23" spans="1:7" s="41" customFormat="1" ht="12" customHeight="1" thickBot="1">
      <c r="A23" s="49" t="s">
        <v>112</v>
      </c>
      <c r="B23" s="50" t="s">
        <v>250</v>
      </c>
      <c r="C23" s="497"/>
      <c r="D23" s="497"/>
      <c r="E23" s="497"/>
      <c r="F23" s="497"/>
      <c r="G23" s="497"/>
    </row>
    <row r="24" spans="1:7" s="41" customFormat="1" ht="12" customHeight="1" thickBot="1">
      <c r="A24" s="38" t="s">
        <v>16</v>
      </c>
      <c r="B24" s="39" t="s">
        <v>251</v>
      </c>
      <c r="C24" s="504">
        <f>+C25+C26+C27+C28+C29</f>
        <v>0</v>
      </c>
      <c r="D24" s="504">
        <f>+D25+D26+D27+D28+D29</f>
        <v>0</v>
      </c>
      <c r="E24" s="504">
        <f>+E25+E26+E27+E28+E29</f>
        <v>0</v>
      </c>
      <c r="F24" s="504">
        <f>+F25+F26+F27+F28+F29</f>
        <v>0</v>
      </c>
      <c r="G24" s="504">
        <f>+G25+G26+G27+G28+G29</f>
        <v>0</v>
      </c>
    </row>
    <row r="25" spans="1:7" s="41" customFormat="1" ht="12" customHeight="1">
      <c r="A25" s="42" t="s">
        <v>82</v>
      </c>
      <c r="B25" s="43" t="s">
        <v>252</v>
      </c>
      <c r="C25" s="501"/>
      <c r="D25" s="501"/>
      <c r="E25" s="501"/>
      <c r="F25" s="501"/>
      <c r="G25" s="501"/>
    </row>
    <row r="26" spans="1:7" s="41" customFormat="1" ht="12" customHeight="1">
      <c r="A26" s="45" t="s">
        <v>83</v>
      </c>
      <c r="B26" s="46" t="s">
        <v>253</v>
      </c>
      <c r="C26" s="496"/>
      <c r="D26" s="496"/>
      <c r="E26" s="496"/>
      <c r="F26" s="496"/>
      <c r="G26" s="496"/>
    </row>
    <row r="27" spans="1:7" s="41" customFormat="1" ht="12" customHeight="1">
      <c r="A27" s="45" t="s">
        <v>84</v>
      </c>
      <c r="B27" s="46" t="s">
        <v>418</v>
      </c>
      <c r="C27" s="496"/>
      <c r="D27" s="496"/>
      <c r="E27" s="496"/>
      <c r="F27" s="496"/>
      <c r="G27" s="496"/>
    </row>
    <row r="28" spans="1:7" s="41" customFormat="1" ht="12" customHeight="1">
      <c r="A28" s="45" t="s">
        <v>85</v>
      </c>
      <c r="B28" s="46" t="s">
        <v>419</v>
      </c>
      <c r="C28" s="496"/>
      <c r="D28" s="496"/>
      <c r="E28" s="496"/>
      <c r="F28" s="496"/>
      <c r="G28" s="496"/>
    </row>
    <row r="29" spans="1:7" s="41" customFormat="1" ht="12" customHeight="1">
      <c r="A29" s="45" t="s">
        <v>160</v>
      </c>
      <c r="B29" s="46" t="s">
        <v>254</v>
      </c>
      <c r="C29" s="496"/>
      <c r="D29" s="496"/>
      <c r="E29" s="496"/>
      <c r="F29" s="496"/>
      <c r="G29" s="496"/>
    </row>
    <row r="30" spans="1:7" s="41" customFormat="1" ht="12" customHeight="1" thickBot="1">
      <c r="A30" s="49" t="s">
        <v>161</v>
      </c>
      <c r="B30" s="53" t="s">
        <v>255</v>
      </c>
      <c r="C30" s="497"/>
      <c r="D30" s="497"/>
      <c r="E30" s="497"/>
      <c r="F30" s="497"/>
      <c r="G30" s="497"/>
    </row>
    <row r="31" spans="1:7" s="41" customFormat="1" ht="12" customHeight="1" thickBot="1">
      <c r="A31" s="38" t="s">
        <v>162</v>
      </c>
      <c r="B31" s="39" t="s">
        <v>256</v>
      </c>
      <c r="C31" s="505">
        <f>+C32+C36+C37+C38</f>
        <v>0</v>
      </c>
      <c r="D31" s="505">
        <f>+D32+D36+D37+D38</f>
        <v>0</v>
      </c>
      <c r="E31" s="505">
        <f>+E32+E36+E37+E38</f>
        <v>0</v>
      </c>
      <c r="F31" s="505">
        <f>+F32+F36+F37+F38</f>
        <v>0</v>
      </c>
      <c r="G31" s="505">
        <f>+G32+G36+G37+G38</f>
        <v>0</v>
      </c>
    </row>
    <row r="32" spans="1:7" s="41" customFormat="1" ht="12" customHeight="1">
      <c r="A32" s="42" t="s">
        <v>257</v>
      </c>
      <c r="B32" s="109" t="s">
        <v>433</v>
      </c>
      <c r="C32" s="531">
        <f>C33+C34+C35</f>
        <v>0</v>
      </c>
      <c r="D32" s="531">
        <f>D33+D34+D35</f>
        <v>0</v>
      </c>
      <c r="E32" s="531">
        <f>E33+E34+E35</f>
        <v>0</v>
      </c>
      <c r="F32" s="531">
        <f>F33+F34+F35</f>
        <v>0</v>
      </c>
      <c r="G32" s="531">
        <f>G33+G34+G35</f>
        <v>0</v>
      </c>
    </row>
    <row r="33" spans="1:7" s="41" customFormat="1" ht="12" customHeight="1">
      <c r="A33" s="45" t="s">
        <v>258</v>
      </c>
      <c r="B33" s="110" t="s">
        <v>593</v>
      </c>
      <c r="C33" s="496"/>
      <c r="D33" s="496"/>
      <c r="E33" s="496"/>
      <c r="F33" s="496"/>
      <c r="G33" s="496"/>
    </row>
    <row r="34" spans="1:7" s="41" customFormat="1" ht="12" customHeight="1">
      <c r="A34" s="45" t="s">
        <v>259</v>
      </c>
      <c r="B34" s="110" t="s">
        <v>594</v>
      </c>
      <c r="C34" s="496"/>
      <c r="D34" s="496"/>
      <c r="E34" s="496"/>
      <c r="F34" s="496"/>
      <c r="G34" s="496"/>
    </row>
    <row r="35" spans="1:7" s="41" customFormat="1" ht="12" customHeight="1">
      <c r="A35" s="45" t="s">
        <v>431</v>
      </c>
      <c r="B35" s="111" t="s">
        <v>432</v>
      </c>
      <c r="C35" s="496"/>
      <c r="D35" s="496"/>
      <c r="E35" s="496"/>
      <c r="F35" s="496"/>
      <c r="G35" s="496"/>
    </row>
    <row r="36" spans="1:7" s="41" customFormat="1" ht="12" customHeight="1">
      <c r="A36" s="45" t="s">
        <v>260</v>
      </c>
      <c r="B36" s="110" t="s">
        <v>265</v>
      </c>
      <c r="C36" s="496"/>
      <c r="D36" s="496"/>
      <c r="E36" s="496"/>
      <c r="F36" s="496"/>
      <c r="G36" s="496"/>
    </row>
    <row r="37" spans="1:7" s="41" customFormat="1" ht="12" customHeight="1">
      <c r="A37" s="45" t="s">
        <v>261</v>
      </c>
      <c r="B37" s="110" t="s">
        <v>575</v>
      </c>
      <c r="C37" s="496"/>
      <c r="D37" s="496"/>
      <c r="E37" s="496"/>
      <c r="F37" s="496"/>
      <c r="G37" s="496"/>
    </row>
    <row r="38" spans="1:7" s="41" customFormat="1" ht="12" customHeight="1" thickBot="1">
      <c r="A38" s="49" t="s">
        <v>262</v>
      </c>
      <c r="B38" s="112" t="s">
        <v>267</v>
      </c>
      <c r="C38" s="497"/>
      <c r="D38" s="497"/>
      <c r="E38" s="497"/>
      <c r="F38" s="497"/>
      <c r="G38" s="497"/>
    </row>
    <row r="39" spans="1:7" s="41" customFormat="1" ht="12" customHeight="1" thickBot="1">
      <c r="A39" s="38" t="s">
        <v>18</v>
      </c>
      <c r="B39" s="39" t="s">
        <v>428</v>
      </c>
      <c r="C39" s="504">
        <f>SUM(C40:C50)</f>
        <v>118146829</v>
      </c>
      <c r="D39" s="504">
        <f>SUM(D40:D50)</f>
        <v>115922890</v>
      </c>
      <c r="E39" s="504">
        <f>SUM(E40:E50)</f>
        <v>115922890</v>
      </c>
      <c r="F39" s="504">
        <f>SUM(F40:F50)</f>
        <v>136975436</v>
      </c>
      <c r="G39" s="504">
        <f>SUM(G40:G50)</f>
        <v>136615886</v>
      </c>
    </row>
    <row r="40" spans="1:7" s="41" customFormat="1" ht="12" customHeight="1">
      <c r="A40" s="42" t="s">
        <v>86</v>
      </c>
      <c r="B40" s="43" t="s">
        <v>270</v>
      </c>
      <c r="C40" s="501"/>
      <c r="D40" s="501"/>
      <c r="E40" s="501"/>
      <c r="F40" s="501"/>
      <c r="G40" s="501"/>
    </row>
    <row r="41" spans="1:7" s="41" customFormat="1" ht="12" customHeight="1">
      <c r="A41" s="45" t="s">
        <v>87</v>
      </c>
      <c r="B41" s="46" t="s">
        <v>271</v>
      </c>
      <c r="C41" s="496">
        <f>92359314</f>
        <v>92359314</v>
      </c>
      <c r="D41" s="496">
        <f>90608180</f>
        <v>90608180</v>
      </c>
      <c r="E41" s="496">
        <f>90092180</f>
        <v>90092180</v>
      </c>
      <c r="F41" s="496">
        <v>102684872</v>
      </c>
      <c r="G41" s="496">
        <v>102378872</v>
      </c>
    </row>
    <row r="42" spans="1:7" s="41" customFormat="1" ht="12" customHeight="1">
      <c r="A42" s="45" t="s">
        <v>88</v>
      </c>
      <c r="B42" s="46" t="s">
        <v>272</v>
      </c>
      <c r="C42" s="496"/>
      <c r="D42" s="496"/>
      <c r="E42" s="496"/>
      <c r="F42" s="496"/>
      <c r="G42" s="496"/>
    </row>
    <row r="43" spans="1:7" s="41" customFormat="1" ht="12" customHeight="1">
      <c r="A43" s="45" t="s">
        <v>164</v>
      </c>
      <c r="B43" s="46" t="s">
        <v>273</v>
      </c>
      <c r="C43" s="496"/>
      <c r="D43" s="496"/>
      <c r="E43" s="496"/>
      <c r="F43" s="496"/>
      <c r="G43" s="496"/>
    </row>
    <row r="44" spans="1:7" s="41" customFormat="1" ht="12" customHeight="1">
      <c r="A44" s="45" t="s">
        <v>165</v>
      </c>
      <c r="B44" s="46" t="s">
        <v>274</v>
      </c>
      <c r="C44" s="496"/>
      <c r="D44" s="496"/>
      <c r="E44" s="496"/>
      <c r="F44" s="496"/>
      <c r="G44" s="496"/>
    </row>
    <row r="45" spans="1:7" s="41" customFormat="1" ht="12" customHeight="1">
      <c r="A45" s="45" t="s">
        <v>166</v>
      </c>
      <c r="B45" s="46" t="s">
        <v>275</v>
      </c>
      <c r="C45" s="496">
        <f>25787515</f>
        <v>25787515</v>
      </c>
      <c r="D45" s="496">
        <f>25314710</f>
        <v>25314710</v>
      </c>
      <c r="E45" s="496">
        <f>25314710</f>
        <v>25314710</v>
      </c>
      <c r="F45" s="496">
        <v>33774564</v>
      </c>
      <c r="G45" s="496">
        <v>33721014</v>
      </c>
    </row>
    <row r="46" spans="1:7" s="41" customFormat="1" ht="12" customHeight="1">
      <c r="A46" s="45" t="s">
        <v>167</v>
      </c>
      <c r="B46" s="46" t="s">
        <v>276</v>
      </c>
      <c r="C46" s="496"/>
      <c r="D46" s="496"/>
      <c r="E46" s="496"/>
      <c r="F46" s="496"/>
      <c r="G46" s="496"/>
    </row>
    <row r="47" spans="1:7" s="41" customFormat="1" ht="12" customHeight="1">
      <c r="A47" s="45" t="s">
        <v>168</v>
      </c>
      <c r="B47" s="46" t="s">
        <v>277</v>
      </c>
      <c r="C47" s="614"/>
      <c r="D47" s="614"/>
      <c r="E47" s="614"/>
      <c r="F47" s="614"/>
      <c r="G47" s="614"/>
    </row>
    <row r="48" spans="1:7" s="41" customFormat="1" ht="12" customHeight="1">
      <c r="A48" s="45" t="s">
        <v>268</v>
      </c>
      <c r="B48" s="46" t="s">
        <v>278</v>
      </c>
      <c r="C48" s="614"/>
      <c r="D48" s="614"/>
      <c r="E48" s="614"/>
      <c r="F48" s="614"/>
      <c r="G48" s="614"/>
    </row>
    <row r="49" spans="1:7" s="41" customFormat="1" ht="12" customHeight="1">
      <c r="A49" s="49" t="s">
        <v>269</v>
      </c>
      <c r="B49" s="53" t="s">
        <v>430</v>
      </c>
      <c r="C49" s="615"/>
      <c r="D49" s="615"/>
      <c r="E49" s="615"/>
      <c r="F49" s="615"/>
      <c r="G49" s="615"/>
    </row>
    <row r="50" spans="1:7" s="41" customFormat="1" ht="12" customHeight="1" thickBot="1">
      <c r="A50" s="49" t="s">
        <v>429</v>
      </c>
      <c r="B50" s="50" t="s">
        <v>279</v>
      </c>
      <c r="C50" s="615"/>
      <c r="D50" s="615"/>
      <c r="E50" s="615">
        <f>516000</f>
        <v>516000</v>
      </c>
      <c r="F50" s="615">
        <f>516000</f>
        <v>516000</v>
      </c>
      <c r="G50" s="615">
        <f>516000</f>
        <v>516000</v>
      </c>
    </row>
    <row r="51" spans="1:7" s="41" customFormat="1" ht="12" customHeight="1" thickBot="1">
      <c r="A51" s="38" t="s">
        <v>19</v>
      </c>
      <c r="B51" s="39" t="s">
        <v>280</v>
      </c>
      <c r="C51" s="504">
        <f>SUM(C52:C56)</f>
        <v>7000000</v>
      </c>
      <c r="D51" s="504">
        <f>SUM(D52:D56)</f>
        <v>7000000</v>
      </c>
      <c r="E51" s="504">
        <f>SUM(E52:E56)</f>
        <v>7000000</v>
      </c>
      <c r="F51" s="504">
        <f>SUM(F52:F56)</f>
        <v>7000000</v>
      </c>
      <c r="G51" s="504">
        <f>SUM(G52:G56)</f>
        <v>7000000</v>
      </c>
    </row>
    <row r="52" spans="1:7" s="41" customFormat="1" ht="12" customHeight="1">
      <c r="A52" s="42" t="s">
        <v>89</v>
      </c>
      <c r="B52" s="43" t="s">
        <v>284</v>
      </c>
      <c r="C52" s="616"/>
      <c r="D52" s="616"/>
      <c r="E52" s="616"/>
      <c r="F52" s="616"/>
      <c r="G52" s="616"/>
    </row>
    <row r="53" spans="1:7" s="41" customFormat="1" ht="12" customHeight="1">
      <c r="A53" s="45" t="s">
        <v>90</v>
      </c>
      <c r="B53" s="46" t="s">
        <v>285</v>
      </c>
      <c r="C53" s="614">
        <v>7000000</v>
      </c>
      <c r="D53" s="614">
        <v>7000000</v>
      </c>
      <c r="E53" s="614">
        <v>7000000</v>
      </c>
      <c r="F53" s="614">
        <v>7000000</v>
      </c>
      <c r="G53" s="614">
        <v>7000000</v>
      </c>
    </row>
    <row r="54" spans="1:7" s="41" customFormat="1" ht="12" customHeight="1">
      <c r="A54" s="45" t="s">
        <v>281</v>
      </c>
      <c r="B54" s="46" t="s">
        <v>286</v>
      </c>
      <c r="C54" s="614"/>
      <c r="D54" s="614"/>
      <c r="E54" s="614"/>
      <c r="F54" s="614"/>
      <c r="G54" s="614"/>
    </row>
    <row r="55" spans="1:7" s="41" customFormat="1" ht="12" customHeight="1">
      <c r="A55" s="45" t="s">
        <v>282</v>
      </c>
      <c r="B55" s="46" t="s">
        <v>287</v>
      </c>
      <c r="C55" s="614"/>
      <c r="D55" s="614"/>
      <c r="E55" s="614"/>
      <c r="F55" s="614"/>
      <c r="G55" s="614"/>
    </row>
    <row r="56" spans="1:7" s="41" customFormat="1" ht="12" customHeight="1" thickBot="1">
      <c r="A56" s="49" t="s">
        <v>283</v>
      </c>
      <c r="B56" s="50" t="s">
        <v>288</v>
      </c>
      <c r="C56" s="615"/>
      <c r="D56" s="615"/>
      <c r="E56" s="615"/>
      <c r="F56" s="615"/>
      <c r="G56" s="615"/>
    </row>
    <row r="57" spans="1:7" s="41" customFormat="1" ht="12" customHeight="1" thickBot="1">
      <c r="A57" s="38" t="s">
        <v>169</v>
      </c>
      <c r="B57" s="39" t="s">
        <v>289</v>
      </c>
      <c r="C57" s="504">
        <f>SUM(C58:C60)</f>
        <v>0</v>
      </c>
      <c r="D57" s="504">
        <f>SUM(D58:D60)</f>
        <v>0</v>
      </c>
      <c r="E57" s="504">
        <f>SUM(E58:E60)</f>
        <v>0</v>
      </c>
      <c r="F57" s="504">
        <f>SUM(F58:F60)</f>
        <v>0</v>
      </c>
      <c r="G57" s="504">
        <f>SUM(G58:G60)</f>
        <v>0</v>
      </c>
    </row>
    <row r="58" spans="1:7" s="41" customFormat="1" ht="12" customHeight="1">
      <c r="A58" s="42" t="s">
        <v>91</v>
      </c>
      <c r="B58" s="43" t="s">
        <v>290</v>
      </c>
      <c r="C58" s="501"/>
      <c r="D58" s="501"/>
      <c r="E58" s="501"/>
      <c r="F58" s="501"/>
      <c r="G58" s="501"/>
    </row>
    <row r="59" spans="1:7" s="41" customFormat="1" ht="12" customHeight="1">
      <c r="A59" s="45" t="s">
        <v>92</v>
      </c>
      <c r="B59" s="46" t="s">
        <v>420</v>
      </c>
      <c r="C59" s="496"/>
      <c r="D59" s="496"/>
      <c r="E59" s="496"/>
      <c r="F59" s="496"/>
      <c r="G59" s="496"/>
    </row>
    <row r="60" spans="1:7" s="41" customFormat="1" ht="12" customHeight="1">
      <c r="A60" s="45" t="s">
        <v>293</v>
      </c>
      <c r="B60" s="46" t="s">
        <v>291</v>
      </c>
      <c r="C60" s="496"/>
      <c r="D60" s="496"/>
      <c r="E60" s="496"/>
      <c r="F60" s="496"/>
      <c r="G60" s="496"/>
    </row>
    <row r="61" spans="1:7" s="41" customFormat="1" ht="12" customHeight="1" thickBot="1">
      <c r="A61" s="49" t="s">
        <v>294</v>
      </c>
      <c r="B61" s="50" t="s">
        <v>292</v>
      </c>
      <c r="C61" s="497"/>
      <c r="D61" s="497"/>
      <c r="E61" s="497"/>
      <c r="F61" s="497"/>
      <c r="G61" s="497"/>
    </row>
    <row r="62" spans="1:7" s="41" customFormat="1" ht="12" customHeight="1" thickBot="1">
      <c r="A62" s="38" t="s">
        <v>21</v>
      </c>
      <c r="B62" s="51" t="s">
        <v>295</v>
      </c>
      <c r="C62" s="504">
        <f>SUM(C63:C65)</f>
        <v>100000</v>
      </c>
      <c r="D62" s="504">
        <f>SUM(D63:D65)</f>
        <v>100000</v>
      </c>
      <c r="E62" s="504">
        <f>SUM(E63:E65)</f>
        <v>417500</v>
      </c>
      <c r="F62" s="504">
        <f>SUM(F63:F65)</f>
        <v>417500</v>
      </c>
      <c r="G62" s="504">
        <f>SUM(G63:G65)</f>
        <v>417500</v>
      </c>
    </row>
    <row r="63" spans="1:7" s="41" customFormat="1" ht="12" customHeight="1">
      <c r="A63" s="42" t="s">
        <v>170</v>
      </c>
      <c r="B63" s="43" t="s">
        <v>297</v>
      </c>
      <c r="C63" s="614"/>
      <c r="D63" s="614"/>
      <c r="E63" s="614"/>
      <c r="F63" s="614"/>
      <c r="G63" s="614"/>
    </row>
    <row r="64" spans="1:7" s="41" customFormat="1" ht="12" customHeight="1">
      <c r="A64" s="45" t="s">
        <v>171</v>
      </c>
      <c r="B64" s="46" t="s">
        <v>421</v>
      </c>
      <c r="C64" s="614">
        <v>100000</v>
      </c>
      <c r="D64" s="614">
        <v>100000</v>
      </c>
      <c r="E64" s="614">
        <v>100000</v>
      </c>
      <c r="F64" s="614">
        <v>100000</v>
      </c>
      <c r="G64" s="614">
        <v>100000</v>
      </c>
    </row>
    <row r="65" spans="1:7" s="41" customFormat="1" ht="12" customHeight="1">
      <c r="A65" s="45" t="s">
        <v>218</v>
      </c>
      <c r="B65" s="46" t="s">
        <v>298</v>
      </c>
      <c r="C65" s="614"/>
      <c r="D65" s="614"/>
      <c r="E65" s="614">
        <f>317500</f>
        <v>317500</v>
      </c>
      <c r="F65" s="614">
        <f>317500</f>
        <v>317500</v>
      </c>
      <c r="G65" s="614">
        <f>317500</f>
        <v>317500</v>
      </c>
    </row>
    <row r="66" spans="1:7" s="41" customFormat="1" ht="12" customHeight="1" thickBot="1">
      <c r="A66" s="49" t="s">
        <v>296</v>
      </c>
      <c r="B66" s="50" t="s">
        <v>299</v>
      </c>
      <c r="C66" s="614"/>
      <c r="D66" s="614"/>
      <c r="E66" s="614"/>
      <c r="F66" s="614"/>
      <c r="G66" s="614"/>
    </row>
    <row r="67" spans="1:7" s="41" customFormat="1" ht="12" customHeight="1" thickBot="1">
      <c r="A67" s="60" t="s">
        <v>472</v>
      </c>
      <c r="B67" s="39" t="s">
        <v>300</v>
      </c>
      <c r="C67" s="505">
        <f>+C10+C17+C24+C31+C39+C51+C57+C62</f>
        <v>125246829</v>
      </c>
      <c r="D67" s="505">
        <f>+D10+D17+D24+D31+D39+D51+D57+D62</f>
        <v>123022890</v>
      </c>
      <c r="E67" s="505">
        <f>+E10+E17+E24+E31+E39+E51+E57+E62</f>
        <v>123340390</v>
      </c>
      <c r="F67" s="505">
        <f>+F10+F17+F24+F31+F39+F51+F57+F62</f>
        <v>144392936</v>
      </c>
      <c r="G67" s="505">
        <f>+G10+G17+G24+G31+G39+G51+G57+G62</f>
        <v>144033386</v>
      </c>
    </row>
    <row r="68" spans="1:7" s="41" customFormat="1" ht="12" customHeight="1" thickBot="1">
      <c r="A68" s="61" t="s">
        <v>301</v>
      </c>
      <c r="B68" s="51" t="s">
        <v>302</v>
      </c>
      <c r="C68" s="504">
        <f>SUM(C69:C71)</f>
        <v>0</v>
      </c>
      <c r="D68" s="504">
        <f>SUM(D69:D71)</f>
        <v>0</v>
      </c>
      <c r="E68" s="504">
        <f>SUM(E69:E71)</f>
        <v>0</v>
      </c>
      <c r="F68" s="504">
        <f>SUM(F69:F71)</f>
        <v>0</v>
      </c>
      <c r="G68" s="504">
        <f>SUM(G69:G71)</f>
        <v>0</v>
      </c>
    </row>
    <row r="69" spans="1:7" s="41" customFormat="1" ht="12" customHeight="1">
      <c r="A69" s="42" t="s">
        <v>333</v>
      </c>
      <c r="B69" s="43" t="s">
        <v>303</v>
      </c>
      <c r="C69" s="614"/>
      <c r="D69" s="614"/>
      <c r="E69" s="614"/>
      <c r="F69" s="614"/>
      <c r="G69" s="614"/>
    </row>
    <row r="70" spans="1:7" s="41" customFormat="1" ht="12" customHeight="1">
      <c r="A70" s="45" t="s">
        <v>342</v>
      </c>
      <c r="B70" s="46" t="s">
        <v>304</v>
      </c>
      <c r="C70" s="614"/>
      <c r="D70" s="614"/>
      <c r="E70" s="614"/>
      <c r="F70" s="614"/>
      <c r="G70" s="614"/>
    </row>
    <row r="71" spans="1:7" s="41" customFormat="1" ht="12" customHeight="1" thickBot="1">
      <c r="A71" s="49" t="s">
        <v>343</v>
      </c>
      <c r="B71" s="62" t="s">
        <v>457</v>
      </c>
      <c r="C71" s="614"/>
      <c r="D71" s="614"/>
      <c r="E71" s="614"/>
      <c r="F71" s="614"/>
      <c r="G71" s="614"/>
    </row>
    <row r="72" spans="1:7" s="41" customFormat="1" ht="12" customHeight="1" thickBot="1">
      <c r="A72" s="61" t="s">
        <v>306</v>
      </c>
      <c r="B72" s="51" t="s">
        <v>307</v>
      </c>
      <c r="C72" s="504">
        <f>SUM(C73:C76)</f>
        <v>0</v>
      </c>
      <c r="D72" s="504">
        <f>SUM(D73:D76)</f>
        <v>0</v>
      </c>
      <c r="E72" s="504">
        <f>SUM(E73:E76)</f>
        <v>0</v>
      </c>
      <c r="F72" s="504">
        <f>SUM(F73:F76)</f>
        <v>0</v>
      </c>
      <c r="G72" s="504">
        <f>SUM(G73:G76)</f>
        <v>0</v>
      </c>
    </row>
    <row r="73" spans="1:7" s="41" customFormat="1" ht="12" customHeight="1">
      <c r="A73" s="42" t="s">
        <v>140</v>
      </c>
      <c r="B73" s="43" t="s">
        <v>308</v>
      </c>
      <c r="C73" s="614"/>
      <c r="D73" s="614"/>
      <c r="E73" s="614"/>
      <c r="F73" s="614"/>
      <c r="G73" s="614"/>
    </row>
    <row r="74" spans="1:7" s="41" customFormat="1" ht="12" customHeight="1">
      <c r="A74" s="45" t="s">
        <v>141</v>
      </c>
      <c r="B74" s="46" t="s">
        <v>309</v>
      </c>
      <c r="C74" s="614"/>
      <c r="D74" s="614"/>
      <c r="E74" s="614"/>
      <c r="F74" s="614"/>
      <c r="G74" s="614"/>
    </row>
    <row r="75" spans="1:7" s="41" customFormat="1" ht="12" customHeight="1">
      <c r="A75" s="45" t="s">
        <v>334</v>
      </c>
      <c r="B75" s="46" t="s">
        <v>310</v>
      </c>
      <c r="C75" s="614"/>
      <c r="D75" s="614"/>
      <c r="E75" s="614"/>
      <c r="F75" s="614"/>
      <c r="G75" s="614"/>
    </row>
    <row r="76" spans="1:7" s="41" customFormat="1" ht="12" customHeight="1" thickBot="1">
      <c r="A76" s="49" t="s">
        <v>335</v>
      </c>
      <c r="B76" s="50" t="s">
        <v>311</v>
      </c>
      <c r="C76" s="614"/>
      <c r="D76" s="614"/>
      <c r="E76" s="614"/>
      <c r="F76" s="614"/>
      <c r="G76" s="614"/>
    </row>
    <row r="77" spans="1:7" s="41" customFormat="1" ht="12" customHeight="1" thickBot="1">
      <c r="A77" s="61" t="s">
        <v>312</v>
      </c>
      <c r="B77" s="51" t="s">
        <v>313</v>
      </c>
      <c r="C77" s="504">
        <f>SUM(C78:C79)</f>
        <v>0</v>
      </c>
      <c r="D77" s="504">
        <f>SUM(D78:D79)</f>
        <v>0</v>
      </c>
      <c r="E77" s="504">
        <f>SUM(E78:E79)</f>
        <v>0</v>
      </c>
      <c r="F77" s="504">
        <f>SUM(F78:F79)</f>
        <v>0</v>
      </c>
      <c r="G77" s="504">
        <f>SUM(G78:G79)</f>
        <v>0</v>
      </c>
    </row>
    <row r="78" spans="1:7" s="41" customFormat="1" ht="12" customHeight="1">
      <c r="A78" s="42" t="s">
        <v>336</v>
      </c>
      <c r="B78" s="43" t="s">
        <v>314</v>
      </c>
      <c r="C78" s="614"/>
      <c r="D78" s="614"/>
      <c r="E78" s="614"/>
      <c r="F78" s="614"/>
      <c r="G78" s="614"/>
    </row>
    <row r="79" spans="1:7" s="41" customFormat="1" ht="12" customHeight="1" thickBot="1">
      <c r="A79" s="49" t="s">
        <v>337</v>
      </c>
      <c r="B79" s="50" t="s">
        <v>315</v>
      </c>
      <c r="C79" s="614"/>
      <c r="D79" s="614"/>
      <c r="E79" s="614"/>
      <c r="F79" s="614"/>
      <c r="G79" s="614"/>
    </row>
    <row r="80" spans="1:7" s="41" customFormat="1" ht="12" customHeight="1" thickBot="1">
      <c r="A80" s="61" t="s">
        <v>316</v>
      </c>
      <c r="B80" s="51" t="s">
        <v>317</v>
      </c>
      <c r="C80" s="504">
        <f>SUM(C81:C83)</f>
        <v>0</v>
      </c>
      <c r="D80" s="504">
        <f>SUM(D81:D83)</f>
        <v>0</v>
      </c>
      <c r="E80" s="504">
        <f>SUM(E81:E83)</f>
        <v>0</v>
      </c>
      <c r="F80" s="504">
        <f>SUM(F81:F83)</f>
        <v>0</v>
      </c>
      <c r="G80" s="504">
        <f>SUM(G81:G83)</f>
        <v>0</v>
      </c>
    </row>
    <row r="81" spans="1:7" s="41" customFormat="1" ht="12" customHeight="1">
      <c r="A81" s="42" t="s">
        <v>338</v>
      </c>
      <c r="B81" s="43" t="s">
        <v>318</v>
      </c>
      <c r="C81" s="614"/>
      <c r="D81" s="614"/>
      <c r="E81" s="614"/>
      <c r="F81" s="614"/>
      <c r="G81" s="614"/>
    </row>
    <row r="82" spans="1:7" s="41" customFormat="1" ht="12" customHeight="1">
      <c r="A82" s="45" t="s">
        <v>339</v>
      </c>
      <c r="B82" s="46" t="s">
        <v>319</v>
      </c>
      <c r="C82" s="614"/>
      <c r="D82" s="614"/>
      <c r="E82" s="614"/>
      <c r="F82" s="614"/>
      <c r="G82" s="614"/>
    </row>
    <row r="83" spans="1:7" s="41" customFormat="1" ht="12" customHeight="1" thickBot="1">
      <c r="A83" s="49" t="s">
        <v>340</v>
      </c>
      <c r="B83" s="50" t="s">
        <v>320</v>
      </c>
      <c r="C83" s="614"/>
      <c r="D83" s="614"/>
      <c r="E83" s="614"/>
      <c r="F83" s="614"/>
      <c r="G83" s="614"/>
    </row>
    <row r="84" spans="1:7" s="41" customFormat="1" ht="12" customHeight="1" thickBot="1">
      <c r="A84" s="61" t="s">
        <v>321</v>
      </c>
      <c r="B84" s="51" t="s">
        <v>341</v>
      </c>
      <c r="C84" s="504">
        <f>SUM(C85:C88)</f>
        <v>0</v>
      </c>
      <c r="D84" s="504">
        <f>SUM(D85:D88)</f>
        <v>0</v>
      </c>
      <c r="E84" s="504">
        <f>SUM(E85:E88)</f>
        <v>0</v>
      </c>
      <c r="F84" s="504">
        <f>SUM(F85:F88)</f>
        <v>0</v>
      </c>
      <c r="G84" s="504">
        <f>SUM(G85:G88)</f>
        <v>0</v>
      </c>
    </row>
    <row r="85" spans="1:7" s="41" customFormat="1" ht="12" customHeight="1">
      <c r="A85" s="63" t="s">
        <v>322</v>
      </c>
      <c r="B85" s="43" t="s">
        <v>323</v>
      </c>
      <c r="C85" s="614"/>
      <c r="D85" s="614"/>
      <c r="E85" s="614"/>
      <c r="F85" s="614"/>
      <c r="G85" s="614"/>
    </row>
    <row r="86" spans="1:7" s="41" customFormat="1" ht="12" customHeight="1">
      <c r="A86" s="64" t="s">
        <v>324</v>
      </c>
      <c r="B86" s="46" t="s">
        <v>325</v>
      </c>
      <c r="C86" s="614"/>
      <c r="D86" s="614"/>
      <c r="E86" s="614"/>
      <c r="F86" s="614"/>
      <c r="G86" s="614"/>
    </row>
    <row r="87" spans="1:7" s="41" customFormat="1" ht="12" customHeight="1">
      <c r="A87" s="64" t="s">
        <v>326</v>
      </c>
      <c r="B87" s="46" t="s">
        <v>327</v>
      </c>
      <c r="C87" s="614"/>
      <c r="D87" s="614"/>
      <c r="E87" s="614"/>
      <c r="F87" s="614"/>
      <c r="G87" s="614"/>
    </row>
    <row r="88" spans="1:7" s="41" customFormat="1" ht="12" customHeight="1" thickBot="1">
      <c r="A88" s="65" t="s">
        <v>328</v>
      </c>
      <c r="B88" s="50" t="s">
        <v>329</v>
      </c>
      <c r="C88" s="614"/>
      <c r="D88" s="614"/>
      <c r="E88" s="614"/>
      <c r="F88" s="614"/>
      <c r="G88" s="614"/>
    </row>
    <row r="89" spans="1:7" s="41" customFormat="1" ht="12" customHeight="1" thickBot="1">
      <c r="A89" s="61" t="s">
        <v>330</v>
      </c>
      <c r="B89" s="51" t="s">
        <v>471</v>
      </c>
      <c r="C89" s="532"/>
      <c r="D89" s="532"/>
      <c r="E89" s="532"/>
      <c r="F89" s="532"/>
      <c r="G89" s="532"/>
    </row>
    <row r="90" spans="1:7" s="41" customFormat="1" ht="13.5" customHeight="1" thickBot="1">
      <c r="A90" s="61" t="s">
        <v>332</v>
      </c>
      <c r="B90" s="51" t="s">
        <v>331</v>
      </c>
      <c r="C90" s="532"/>
      <c r="D90" s="532"/>
      <c r="E90" s="532"/>
      <c r="F90" s="532"/>
      <c r="G90" s="532"/>
    </row>
    <row r="91" spans="1:7" s="41" customFormat="1" ht="15.75" customHeight="1" thickBot="1">
      <c r="A91" s="61" t="s">
        <v>344</v>
      </c>
      <c r="B91" s="67" t="s">
        <v>474</v>
      </c>
      <c r="C91" s="505">
        <f>+C68+C72+C77+C80+C84+C90+C89</f>
        <v>0</v>
      </c>
      <c r="D91" s="505">
        <f>+D68+D72+D77+D80+D84+D90+D89</f>
        <v>0</v>
      </c>
      <c r="E91" s="505">
        <f>+E68+E72+E77+E80+E84+E90+E89</f>
        <v>0</v>
      </c>
      <c r="F91" s="505">
        <f>+F68+F72+F77+F80+F84+F90+F89</f>
        <v>0</v>
      </c>
      <c r="G91" s="505">
        <f>+G68+G72+G77+G80+G84+G90+G89</f>
        <v>0</v>
      </c>
    </row>
    <row r="92" spans="1:7" s="41" customFormat="1" ht="16.5" customHeight="1" thickBot="1">
      <c r="A92" s="68" t="s">
        <v>473</v>
      </c>
      <c r="B92" s="69" t="s">
        <v>475</v>
      </c>
      <c r="C92" s="505">
        <f>+C67+C91</f>
        <v>125246829</v>
      </c>
      <c r="D92" s="505">
        <f>+D67+D91</f>
        <v>123022890</v>
      </c>
      <c r="E92" s="505">
        <f>+E67+E91</f>
        <v>123340390</v>
      </c>
      <c r="F92" s="505">
        <f>+F67+F91</f>
        <v>144392936</v>
      </c>
      <c r="G92" s="505">
        <f>+G67+G91</f>
        <v>144033386</v>
      </c>
    </row>
    <row r="93" spans="1:7" s="41" customFormat="1" ht="83.25" customHeight="1">
      <c r="A93" s="70"/>
      <c r="B93" s="71"/>
      <c r="C93" s="533"/>
      <c r="D93" s="533"/>
      <c r="E93" s="533"/>
      <c r="F93" s="533"/>
      <c r="G93" s="533"/>
    </row>
    <row r="94" spans="1:7" s="657" customFormat="1" ht="16.5" customHeight="1">
      <c r="A94" s="789" t="s">
        <v>42</v>
      </c>
      <c r="B94" s="789"/>
      <c r="C94" s="422"/>
      <c r="D94" s="422"/>
      <c r="E94" s="422"/>
      <c r="F94" s="422"/>
      <c r="G94" s="422"/>
    </row>
    <row r="95" spans="1:7" s="657" customFormat="1" ht="16.5" customHeight="1" thickBot="1">
      <c r="A95" s="791" t="s">
        <v>143</v>
      </c>
      <c r="B95" s="791"/>
      <c r="C95" s="534"/>
      <c r="D95" s="534"/>
      <c r="E95" s="534"/>
      <c r="F95" s="534"/>
      <c r="G95" s="534"/>
    </row>
    <row r="96" spans="1:7" s="657" customFormat="1" ht="38.1" customHeight="1" thickBot="1">
      <c r="A96" s="33" t="s">
        <v>64</v>
      </c>
      <c r="B96" s="34" t="s">
        <v>43</v>
      </c>
      <c r="C96" s="485" t="s">
        <v>690</v>
      </c>
      <c r="D96" s="569" t="s">
        <v>716</v>
      </c>
      <c r="E96" s="569" t="s">
        <v>719</v>
      </c>
      <c r="F96" s="569" t="s">
        <v>729</v>
      </c>
      <c r="G96" s="569" t="s">
        <v>729</v>
      </c>
    </row>
    <row r="97" spans="1:7" s="37" customFormat="1" ht="12" customHeight="1" thickBot="1">
      <c r="A97" s="72" t="s">
        <v>483</v>
      </c>
      <c r="B97" s="73" t="s">
        <v>484</v>
      </c>
      <c r="C97" s="535" t="s">
        <v>485</v>
      </c>
      <c r="D97" s="535" t="s">
        <v>485</v>
      </c>
      <c r="E97" s="535" t="s">
        <v>485</v>
      </c>
      <c r="F97" s="535" t="s">
        <v>485</v>
      </c>
      <c r="G97" s="535" t="s">
        <v>485</v>
      </c>
    </row>
    <row r="98" spans="1:7" s="657" customFormat="1" ht="12" customHeight="1" thickBot="1">
      <c r="A98" s="74" t="s">
        <v>14</v>
      </c>
      <c r="B98" s="75" t="s">
        <v>624</v>
      </c>
      <c r="C98" s="494">
        <f>C99+C100+C101+C102+C103+C116</f>
        <v>100723129</v>
      </c>
      <c r="D98" s="494">
        <f>D99+D100+D101+D102+D103+D116</f>
        <v>98499190</v>
      </c>
      <c r="E98" s="494">
        <f>E99+E100+E101+E102+E103+E116</f>
        <v>98499190</v>
      </c>
      <c r="F98" s="494">
        <f>F99+F100+F101+F102+F103+F116</f>
        <v>117659182</v>
      </c>
      <c r="G98" s="494">
        <f>G99+G100+G101+G102+G103+G116</f>
        <v>117299632</v>
      </c>
    </row>
    <row r="99" spans="1:7" s="657" customFormat="1" ht="12" customHeight="1">
      <c r="A99" s="77" t="s">
        <v>93</v>
      </c>
      <c r="B99" s="15" t="s">
        <v>44</v>
      </c>
      <c r="C99" s="495">
        <v>13754400</v>
      </c>
      <c r="D99" s="495">
        <f>12648077</f>
        <v>12648077</v>
      </c>
      <c r="E99" s="495">
        <f>14648077</f>
        <v>14648077</v>
      </c>
      <c r="F99" s="495">
        <v>19511900</v>
      </c>
      <c r="G99" s="495">
        <v>19205900</v>
      </c>
    </row>
    <row r="100" spans="1:7" s="657" customFormat="1" ht="12" customHeight="1">
      <c r="A100" s="45" t="s">
        <v>94</v>
      </c>
      <c r="B100" s="16" t="s">
        <v>172</v>
      </c>
      <c r="C100" s="496">
        <v>2831544</v>
      </c>
      <c r="D100" s="496">
        <f>2713928</f>
        <v>2713928</v>
      </c>
      <c r="E100" s="496">
        <f>3103928</f>
        <v>3103928</v>
      </c>
      <c r="F100" s="496">
        <v>3955097</v>
      </c>
      <c r="G100" s="496">
        <v>3901547</v>
      </c>
    </row>
    <row r="101" spans="1:7" s="657" customFormat="1" ht="12" customHeight="1">
      <c r="A101" s="45" t="s">
        <v>95</v>
      </c>
      <c r="B101" s="16" t="s">
        <v>131</v>
      </c>
      <c r="C101" s="497">
        <v>84137185</v>
      </c>
      <c r="D101" s="497">
        <f>83137185</f>
        <v>83137185</v>
      </c>
      <c r="E101" s="497">
        <f>80747185</f>
        <v>80747185</v>
      </c>
      <c r="F101" s="497">
        <v>94192185</v>
      </c>
      <c r="G101" s="497">
        <v>94192185</v>
      </c>
    </row>
    <row r="102" spans="1:7" s="657" customFormat="1" ht="12" customHeight="1">
      <c r="A102" s="45" t="s">
        <v>96</v>
      </c>
      <c r="B102" s="79" t="s">
        <v>173</v>
      </c>
      <c r="C102" s="497"/>
      <c r="D102" s="497"/>
      <c r="E102" s="497"/>
      <c r="F102" s="497"/>
      <c r="G102" s="497"/>
    </row>
    <row r="103" spans="1:7" s="657" customFormat="1" ht="12" customHeight="1">
      <c r="A103" s="45" t="s">
        <v>107</v>
      </c>
      <c r="B103" s="80" t="s">
        <v>174</v>
      </c>
      <c r="C103" s="497">
        <f>C104+C105+C106+C107+C108+C110+C111+C112+C113+C114+C115</f>
        <v>0</v>
      </c>
      <c r="D103" s="497">
        <f>D104+D105+D106+D107+D108+D110+D111+D112+D113+D114+D115</f>
        <v>0</v>
      </c>
      <c r="E103" s="497">
        <f>E104+E105+E106+E107+E108+E110+E111+E112+E113+E114+E115</f>
        <v>0</v>
      </c>
      <c r="F103" s="497">
        <f>F104+F105+F106+F107+F108+F110+F111+F112+F113+F114+F115</f>
        <v>0</v>
      </c>
      <c r="G103" s="497">
        <f>G104+G105+G106+G107+G108+G110+G111+G112+G113+G114+G115</f>
        <v>0</v>
      </c>
    </row>
    <row r="104" spans="1:7" s="657" customFormat="1" ht="12" customHeight="1">
      <c r="A104" s="45" t="s">
        <v>97</v>
      </c>
      <c r="B104" s="16" t="s">
        <v>438</v>
      </c>
      <c r="C104" s="497"/>
      <c r="D104" s="497"/>
      <c r="E104" s="497"/>
      <c r="F104" s="497"/>
      <c r="G104" s="497"/>
    </row>
    <row r="105" spans="1:7" s="657" customFormat="1" ht="12" customHeight="1">
      <c r="A105" s="45" t="s">
        <v>98</v>
      </c>
      <c r="B105" s="81" t="s">
        <v>437</v>
      </c>
      <c r="C105" s="497"/>
      <c r="D105" s="497"/>
      <c r="E105" s="497"/>
      <c r="F105" s="497"/>
      <c r="G105" s="497"/>
    </row>
    <row r="106" spans="1:7" s="657" customFormat="1" ht="12" customHeight="1">
      <c r="A106" s="45" t="s">
        <v>108</v>
      </c>
      <c r="B106" s="81" t="s">
        <v>436</v>
      </c>
      <c r="C106" s="497"/>
      <c r="D106" s="497"/>
      <c r="E106" s="497"/>
      <c r="F106" s="497"/>
      <c r="G106" s="497"/>
    </row>
    <row r="107" spans="1:7" s="657" customFormat="1" ht="12" customHeight="1">
      <c r="A107" s="45" t="s">
        <v>109</v>
      </c>
      <c r="B107" s="82" t="s">
        <v>347</v>
      </c>
      <c r="C107" s="497"/>
      <c r="D107" s="497"/>
      <c r="E107" s="497"/>
      <c r="F107" s="497"/>
      <c r="G107" s="497"/>
    </row>
    <row r="108" spans="1:7" s="657" customFormat="1" ht="12" customHeight="1">
      <c r="A108" s="45" t="s">
        <v>110</v>
      </c>
      <c r="B108" s="83" t="s">
        <v>348</v>
      </c>
      <c r="C108" s="497"/>
      <c r="D108" s="497"/>
      <c r="E108" s="497"/>
      <c r="F108" s="497"/>
      <c r="G108" s="497"/>
    </row>
    <row r="109" spans="1:7" s="657" customFormat="1" ht="12" customHeight="1">
      <c r="A109" s="45" t="s">
        <v>111</v>
      </c>
      <c r="B109" s="83" t="s">
        <v>349</v>
      </c>
      <c r="C109" s="497"/>
      <c r="D109" s="497"/>
      <c r="E109" s="497"/>
      <c r="F109" s="497"/>
      <c r="G109" s="497"/>
    </row>
    <row r="110" spans="1:7" s="657" customFormat="1" ht="12" customHeight="1">
      <c r="A110" s="45" t="s">
        <v>113</v>
      </c>
      <c r="B110" s="82" t="s">
        <v>350</v>
      </c>
      <c r="C110" s="497"/>
      <c r="D110" s="497"/>
      <c r="E110" s="497"/>
      <c r="F110" s="497"/>
      <c r="G110" s="497"/>
    </row>
    <row r="111" spans="1:7" s="657" customFormat="1" ht="12" customHeight="1">
      <c r="A111" s="45" t="s">
        <v>175</v>
      </c>
      <c r="B111" s="82" t="s">
        <v>351</v>
      </c>
      <c r="C111" s="497"/>
      <c r="D111" s="497"/>
      <c r="E111" s="497"/>
      <c r="F111" s="497"/>
      <c r="G111" s="497"/>
    </row>
    <row r="112" spans="1:7" s="657" customFormat="1" ht="12" customHeight="1">
      <c r="A112" s="45" t="s">
        <v>345</v>
      </c>
      <c r="B112" s="83" t="s">
        <v>352</v>
      </c>
      <c r="C112" s="497"/>
      <c r="D112" s="497"/>
      <c r="E112" s="497"/>
      <c r="F112" s="497"/>
      <c r="G112" s="497"/>
    </row>
    <row r="113" spans="1:7" s="657" customFormat="1" ht="12" customHeight="1">
      <c r="A113" s="84" t="s">
        <v>346</v>
      </c>
      <c r="B113" s="81" t="s">
        <v>353</v>
      </c>
      <c r="C113" s="497"/>
      <c r="D113" s="497"/>
      <c r="E113" s="497"/>
      <c r="F113" s="497"/>
      <c r="G113" s="497"/>
    </row>
    <row r="114" spans="1:7" s="657" customFormat="1" ht="12" customHeight="1">
      <c r="A114" s="45" t="s">
        <v>434</v>
      </c>
      <c r="B114" s="81" t="s">
        <v>354</v>
      </c>
      <c r="C114" s="497"/>
      <c r="D114" s="497"/>
      <c r="E114" s="497"/>
      <c r="F114" s="497"/>
      <c r="G114" s="497"/>
    </row>
    <row r="115" spans="1:7" s="657" customFormat="1" ht="12" customHeight="1">
      <c r="A115" s="49" t="s">
        <v>435</v>
      </c>
      <c r="B115" s="81" t="s">
        <v>355</v>
      </c>
      <c r="C115" s="497"/>
      <c r="D115" s="497"/>
      <c r="E115" s="497"/>
      <c r="F115" s="497"/>
      <c r="G115" s="497"/>
    </row>
    <row r="116" spans="1:7" s="657" customFormat="1" ht="12" customHeight="1">
      <c r="A116" s="45" t="s">
        <v>439</v>
      </c>
      <c r="B116" s="79" t="s">
        <v>45</v>
      </c>
      <c r="C116" s="496">
        <f>C117+C118</f>
        <v>0</v>
      </c>
      <c r="D116" s="496">
        <f>D117+D118</f>
        <v>0</v>
      </c>
      <c r="E116" s="496">
        <f>E117+E118</f>
        <v>0</v>
      </c>
      <c r="F116" s="496">
        <f>F117+F118</f>
        <v>0</v>
      </c>
      <c r="G116" s="496">
        <f>G117+G118</f>
        <v>0</v>
      </c>
    </row>
    <row r="117" spans="1:7" s="657" customFormat="1" ht="12" customHeight="1">
      <c r="A117" s="45" t="s">
        <v>440</v>
      </c>
      <c r="B117" s="16" t="s">
        <v>442</v>
      </c>
      <c r="C117" s="496"/>
      <c r="D117" s="496"/>
      <c r="E117" s="496"/>
      <c r="F117" s="496"/>
      <c r="G117" s="496"/>
    </row>
    <row r="118" spans="1:7" s="657" customFormat="1" ht="12" customHeight="1">
      <c r="A118" s="45" t="s">
        <v>441</v>
      </c>
      <c r="B118" s="113" t="s">
        <v>443</v>
      </c>
      <c r="C118" s="496"/>
      <c r="D118" s="496"/>
      <c r="E118" s="496"/>
      <c r="F118" s="496"/>
      <c r="G118" s="496"/>
    </row>
    <row r="119" spans="1:7" s="657" customFormat="1" ht="12" customHeight="1" thickBot="1">
      <c r="A119" s="88" t="s">
        <v>15</v>
      </c>
      <c r="B119" s="89" t="s">
        <v>625</v>
      </c>
      <c r="C119" s="500">
        <f>+C120+C122+C124</f>
        <v>24523700</v>
      </c>
      <c r="D119" s="500">
        <f>+D120+D122+D124</f>
        <v>24523700</v>
      </c>
      <c r="E119" s="500">
        <f>+E120+E122+E124</f>
        <v>24841200</v>
      </c>
      <c r="F119" s="500">
        <f>+F120+F122+F124</f>
        <v>26733754</v>
      </c>
      <c r="G119" s="500">
        <f>+G120+G122+G124</f>
        <v>26733754</v>
      </c>
    </row>
    <row r="120" spans="1:7" s="657" customFormat="1" ht="12" customHeight="1">
      <c r="A120" s="42" t="s">
        <v>99</v>
      </c>
      <c r="B120" s="16" t="s">
        <v>217</v>
      </c>
      <c r="C120" s="501">
        <v>18097500</v>
      </c>
      <c r="D120" s="501">
        <v>18097500</v>
      </c>
      <c r="E120" s="501">
        <f>18415000</f>
        <v>18415000</v>
      </c>
      <c r="F120" s="501">
        <f>20307554</f>
        <v>20307554</v>
      </c>
      <c r="G120" s="501">
        <f>20307554</f>
        <v>20307554</v>
      </c>
    </row>
    <row r="121" spans="1:7" s="657" customFormat="1" ht="12" customHeight="1">
      <c r="A121" s="42" t="s">
        <v>100</v>
      </c>
      <c r="B121" s="90" t="s">
        <v>359</v>
      </c>
      <c r="C121" s="501"/>
      <c r="D121" s="501"/>
      <c r="E121" s="501"/>
      <c r="F121" s="501"/>
      <c r="G121" s="501"/>
    </row>
    <row r="122" spans="1:7" s="657" customFormat="1" ht="12" customHeight="1">
      <c r="A122" s="42" t="s">
        <v>101</v>
      </c>
      <c r="B122" s="90" t="s">
        <v>176</v>
      </c>
      <c r="C122" s="496">
        <v>6426200</v>
      </c>
      <c r="D122" s="496">
        <v>6426200</v>
      </c>
      <c r="E122" s="496">
        <v>6426200</v>
      </c>
      <c r="F122" s="496">
        <v>6426200</v>
      </c>
      <c r="G122" s="496">
        <v>6426200</v>
      </c>
    </row>
    <row r="123" spans="1:7" s="657" customFormat="1" ht="12" customHeight="1">
      <c r="A123" s="42" t="s">
        <v>102</v>
      </c>
      <c r="B123" s="90" t="s">
        <v>360</v>
      </c>
      <c r="C123" s="502"/>
      <c r="D123" s="502"/>
      <c r="E123" s="502"/>
      <c r="F123" s="502"/>
      <c r="G123" s="502"/>
    </row>
    <row r="124" spans="1:7" s="657" customFormat="1" ht="12" customHeight="1">
      <c r="A124" s="42" t="s">
        <v>103</v>
      </c>
      <c r="B124" s="50" t="s">
        <v>219</v>
      </c>
      <c r="C124" s="502">
        <f>C125+C126+C127+C128+C129+C130+C131+C132</f>
        <v>0</v>
      </c>
      <c r="D124" s="502">
        <f>D125+D126+D127+D128+D129+D130+D131+D132</f>
        <v>0</v>
      </c>
      <c r="E124" s="502">
        <f>E125+E126+E127+E128+E129+E130+E131+E132</f>
        <v>0</v>
      </c>
      <c r="F124" s="502">
        <f>F125+F126+F127+F128+F129+F130+F131+F132</f>
        <v>0</v>
      </c>
      <c r="G124" s="502">
        <f>G125+G126+G127+G128+G129+G130+G131+G132</f>
        <v>0</v>
      </c>
    </row>
    <row r="125" spans="1:7" s="657" customFormat="1" ht="12" customHeight="1">
      <c r="A125" s="42" t="s">
        <v>112</v>
      </c>
      <c r="B125" s="48" t="s">
        <v>422</v>
      </c>
      <c r="C125" s="502"/>
      <c r="D125" s="502"/>
      <c r="E125" s="502"/>
      <c r="F125" s="502"/>
      <c r="G125" s="502"/>
    </row>
    <row r="126" spans="1:7" s="657" customFormat="1" ht="12" customHeight="1">
      <c r="A126" s="42" t="s">
        <v>114</v>
      </c>
      <c r="B126" s="92" t="s">
        <v>365</v>
      </c>
      <c r="C126" s="502"/>
      <c r="D126" s="502"/>
      <c r="E126" s="502"/>
      <c r="F126" s="502"/>
      <c r="G126" s="502"/>
    </row>
    <row r="127" spans="1:7" s="657" customFormat="1" ht="15.75">
      <c r="A127" s="42" t="s">
        <v>177</v>
      </c>
      <c r="B127" s="83" t="s">
        <v>349</v>
      </c>
      <c r="C127" s="502"/>
      <c r="D127" s="502"/>
      <c r="E127" s="502"/>
      <c r="F127" s="502"/>
      <c r="G127" s="502"/>
    </row>
    <row r="128" spans="1:7" s="657" customFormat="1" ht="12" customHeight="1">
      <c r="A128" s="42" t="s">
        <v>178</v>
      </c>
      <c r="B128" s="83" t="s">
        <v>364</v>
      </c>
      <c r="C128" s="502"/>
      <c r="D128" s="502"/>
      <c r="E128" s="502"/>
      <c r="F128" s="502"/>
      <c r="G128" s="502"/>
    </row>
    <row r="129" spans="1:7" s="657" customFormat="1" ht="12" customHeight="1">
      <c r="A129" s="42" t="s">
        <v>179</v>
      </c>
      <c r="B129" s="83" t="s">
        <v>363</v>
      </c>
      <c r="C129" s="502"/>
      <c r="D129" s="502"/>
      <c r="E129" s="502"/>
      <c r="F129" s="502"/>
      <c r="G129" s="502"/>
    </row>
    <row r="130" spans="1:7" s="657" customFormat="1" ht="12" customHeight="1">
      <c r="A130" s="42" t="s">
        <v>356</v>
      </c>
      <c r="B130" s="83" t="s">
        <v>352</v>
      </c>
      <c r="C130" s="502"/>
      <c r="D130" s="502"/>
      <c r="E130" s="502"/>
      <c r="F130" s="502"/>
      <c r="G130" s="502"/>
    </row>
    <row r="131" spans="1:7" s="657" customFormat="1" ht="12" customHeight="1">
      <c r="A131" s="42" t="s">
        <v>357</v>
      </c>
      <c r="B131" s="83" t="s">
        <v>362</v>
      </c>
      <c r="C131" s="502"/>
      <c r="D131" s="502"/>
      <c r="E131" s="502"/>
      <c r="F131" s="502"/>
      <c r="G131" s="502"/>
    </row>
    <row r="132" spans="1:7" s="657" customFormat="1" ht="16.5" thickBot="1">
      <c r="A132" s="84" t="s">
        <v>358</v>
      </c>
      <c r="B132" s="83" t="s">
        <v>361</v>
      </c>
      <c r="C132" s="503"/>
      <c r="D132" s="503"/>
      <c r="E132" s="503"/>
      <c r="F132" s="503"/>
      <c r="G132" s="503"/>
    </row>
    <row r="133" spans="1:7" s="657" customFormat="1" ht="12" customHeight="1" thickBot="1">
      <c r="A133" s="38" t="s">
        <v>16</v>
      </c>
      <c r="B133" s="19" t="s">
        <v>444</v>
      </c>
      <c r="C133" s="504">
        <f>+C98+C119</f>
        <v>125246829</v>
      </c>
      <c r="D133" s="504">
        <f>+D98+D119</f>
        <v>123022890</v>
      </c>
      <c r="E133" s="504">
        <f>+E98+E119</f>
        <v>123340390</v>
      </c>
      <c r="F133" s="504">
        <f>+F98+F119</f>
        <v>144392936</v>
      </c>
      <c r="G133" s="504">
        <f>+G98+G119</f>
        <v>144033386</v>
      </c>
    </row>
    <row r="134" spans="1:7" s="657" customFormat="1" ht="12" customHeight="1" thickBot="1">
      <c r="A134" s="38" t="s">
        <v>17</v>
      </c>
      <c r="B134" s="19" t="s">
        <v>445</v>
      </c>
      <c r="C134" s="504">
        <f>+C135+C136+C137</f>
        <v>0</v>
      </c>
      <c r="D134" s="504">
        <f>+D135+D136+D137</f>
        <v>0</v>
      </c>
      <c r="E134" s="504">
        <f>+E135+E136+E137</f>
        <v>0</v>
      </c>
      <c r="F134" s="504">
        <f>+F135+F136+F137</f>
        <v>0</v>
      </c>
      <c r="G134" s="504">
        <f>+G135+G136+G137</f>
        <v>0</v>
      </c>
    </row>
    <row r="135" spans="1:7" s="657" customFormat="1" ht="12" customHeight="1">
      <c r="A135" s="42" t="s">
        <v>257</v>
      </c>
      <c r="B135" s="90" t="s">
        <v>452</v>
      </c>
      <c r="C135" s="502"/>
      <c r="D135" s="502"/>
      <c r="E135" s="502"/>
      <c r="F135" s="502"/>
      <c r="G135" s="502"/>
    </row>
    <row r="136" spans="1:7" s="657" customFormat="1" ht="12" customHeight="1">
      <c r="A136" s="42" t="s">
        <v>260</v>
      </c>
      <c r="B136" s="90" t="s">
        <v>453</v>
      </c>
      <c r="C136" s="502"/>
      <c r="D136" s="502"/>
      <c r="E136" s="502"/>
      <c r="F136" s="502"/>
      <c r="G136" s="502"/>
    </row>
    <row r="137" spans="1:7" s="657" customFormat="1" ht="12" customHeight="1" thickBot="1">
      <c r="A137" s="84" t="s">
        <v>261</v>
      </c>
      <c r="B137" s="90" t="s">
        <v>454</v>
      </c>
      <c r="C137" s="502"/>
      <c r="D137" s="502"/>
      <c r="E137" s="502"/>
      <c r="F137" s="502"/>
      <c r="G137" s="502"/>
    </row>
    <row r="138" spans="1:7" s="657" customFormat="1" ht="12" customHeight="1" thickBot="1">
      <c r="A138" s="38" t="s">
        <v>18</v>
      </c>
      <c r="B138" s="19" t="s">
        <v>446</v>
      </c>
      <c r="C138" s="504">
        <f>SUM(C139:C144)</f>
        <v>0</v>
      </c>
      <c r="D138" s="504">
        <f>SUM(D139:D144)</f>
        <v>0</v>
      </c>
      <c r="E138" s="504">
        <f>SUM(E139:E144)</f>
        <v>0</v>
      </c>
      <c r="F138" s="504">
        <f>SUM(F139:F144)</f>
        <v>0</v>
      </c>
      <c r="G138" s="504">
        <f>SUM(G139:G144)</f>
        <v>0</v>
      </c>
    </row>
    <row r="139" spans="1:7" s="657" customFormat="1" ht="12" customHeight="1">
      <c r="A139" s="42" t="s">
        <v>86</v>
      </c>
      <c r="B139" s="18" t="s">
        <v>455</v>
      </c>
      <c r="C139" s="502"/>
      <c r="D139" s="502"/>
      <c r="E139" s="502"/>
      <c r="F139" s="502"/>
      <c r="G139" s="502"/>
    </row>
    <row r="140" spans="1:7" s="657" customFormat="1" ht="12" customHeight="1">
      <c r="A140" s="42" t="s">
        <v>87</v>
      </c>
      <c r="B140" s="18" t="s">
        <v>447</v>
      </c>
      <c r="C140" s="502"/>
      <c r="D140" s="502"/>
      <c r="E140" s="502"/>
      <c r="F140" s="502"/>
      <c r="G140" s="502"/>
    </row>
    <row r="141" spans="1:7" s="657" customFormat="1" ht="12" customHeight="1">
      <c r="A141" s="42" t="s">
        <v>88</v>
      </c>
      <c r="B141" s="18" t="s">
        <v>448</v>
      </c>
      <c r="C141" s="502"/>
      <c r="D141" s="502"/>
      <c r="E141" s="502"/>
      <c r="F141" s="502"/>
      <c r="G141" s="502"/>
    </row>
    <row r="142" spans="1:7" s="657" customFormat="1" ht="12" customHeight="1">
      <c r="A142" s="42" t="s">
        <v>164</v>
      </c>
      <c r="B142" s="18" t="s">
        <v>449</v>
      </c>
      <c r="C142" s="502"/>
      <c r="D142" s="502"/>
      <c r="E142" s="502"/>
      <c r="F142" s="502"/>
      <c r="G142" s="502"/>
    </row>
    <row r="143" spans="1:7" s="657" customFormat="1" ht="12" customHeight="1">
      <c r="A143" s="42" t="s">
        <v>165</v>
      </c>
      <c r="B143" s="18" t="s">
        <v>450</v>
      </c>
      <c r="C143" s="502"/>
      <c r="D143" s="502"/>
      <c r="E143" s="502"/>
      <c r="F143" s="502"/>
      <c r="G143" s="502"/>
    </row>
    <row r="144" spans="1:7" s="657" customFormat="1" ht="12" customHeight="1" thickBot="1">
      <c r="A144" s="84" t="s">
        <v>166</v>
      </c>
      <c r="B144" s="18" t="s">
        <v>451</v>
      </c>
      <c r="C144" s="502"/>
      <c r="D144" s="502"/>
      <c r="E144" s="502"/>
      <c r="F144" s="502"/>
      <c r="G144" s="502"/>
    </row>
    <row r="145" spans="1:7" s="657" customFormat="1" ht="12" customHeight="1" thickBot="1">
      <c r="A145" s="38" t="s">
        <v>19</v>
      </c>
      <c r="B145" s="19" t="s">
        <v>459</v>
      </c>
      <c r="C145" s="505">
        <f>+C146+C147+C148+C149</f>
        <v>0</v>
      </c>
      <c r="D145" s="505">
        <f>+D146+D147+D148+D149</f>
        <v>0</v>
      </c>
      <c r="E145" s="505">
        <f>+E146+E147+E148+E149</f>
        <v>0</v>
      </c>
      <c r="F145" s="505">
        <f>+F146+F147+F148+F149</f>
        <v>0</v>
      </c>
      <c r="G145" s="505">
        <f>+G146+G147+G148+G149</f>
        <v>0</v>
      </c>
    </row>
    <row r="146" spans="1:7" s="657" customFormat="1" ht="12" customHeight="1">
      <c r="A146" s="42" t="s">
        <v>89</v>
      </c>
      <c r="B146" s="18" t="s">
        <v>366</v>
      </c>
      <c r="C146" s="502"/>
      <c r="D146" s="502"/>
      <c r="E146" s="502"/>
      <c r="F146" s="502"/>
      <c r="G146" s="502"/>
    </row>
    <row r="147" spans="1:7" s="657" customFormat="1" ht="12" customHeight="1">
      <c r="A147" s="42" t="s">
        <v>90</v>
      </c>
      <c r="B147" s="18" t="s">
        <v>367</v>
      </c>
      <c r="C147" s="502"/>
      <c r="D147" s="502"/>
      <c r="E147" s="502"/>
      <c r="F147" s="502"/>
      <c r="G147" s="502"/>
    </row>
    <row r="148" spans="1:7" s="657" customFormat="1" ht="12" customHeight="1">
      <c r="A148" s="42" t="s">
        <v>281</v>
      </c>
      <c r="B148" s="18" t="s">
        <v>460</v>
      </c>
      <c r="C148" s="502"/>
      <c r="D148" s="502"/>
      <c r="E148" s="502"/>
      <c r="F148" s="502"/>
      <c r="G148" s="502"/>
    </row>
    <row r="149" spans="1:7" s="657" customFormat="1" ht="12" customHeight="1" thickBot="1">
      <c r="A149" s="84" t="s">
        <v>282</v>
      </c>
      <c r="B149" s="17" t="s">
        <v>386</v>
      </c>
      <c r="C149" s="502"/>
      <c r="D149" s="502"/>
      <c r="E149" s="502"/>
      <c r="F149" s="502"/>
      <c r="G149" s="502"/>
    </row>
    <row r="150" spans="1:7" s="657" customFormat="1" ht="12" customHeight="1" thickBot="1">
      <c r="A150" s="38" t="s">
        <v>20</v>
      </c>
      <c r="B150" s="19" t="s">
        <v>461</v>
      </c>
      <c r="C150" s="506">
        <f>SUM(C151:C155)</f>
        <v>0</v>
      </c>
      <c r="D150" s="506">
        <f>SUM(D151:D155)</f>
        <v>0</v>
      </c>
      <c r="E150" s="506">
        <f>SUM(E151:E155)</f>
        <v>0</v>
      </c>
      <c r="F150" s="506">
        <f>SUM(F151:F155)</f>
        <v>0</v>
      </c>
      <c r="G150" s="506">
        <f>SUM(G151:G155)</f>
        <v>0</v>
      </c>
    </row>
    <row r="151" spans="1:7" s="657" customFormat="1" ht="12" customHeight="1">
      <c r="A151" s="42" t="s">
        <v>91</v>
      </c>
      <c r="B151" s="18" t="s">
        <v>456</v>
      </c>
      <c r="C151" s="502"/>
      <c r="D151" s="502"/>
      <c r="E151" s="502"/>
      <c r="F151" s="502"/>
      <c r="G151" s="502"/>
    </row>
    <row r="152" spans="1:7" s="657" customFormat="1" ht="12" customHeight="1">
      <c r="A152" s="42" t="s">
        <v>92</v>
      </c>
      <c r="B152" s="18" t="s">
        <v>463</v>
      </c>
      <c r="C152" s="502"/>
      <c r="D152" s="502"/>
      <c r="E152" s="502"/>
      <c r="F152" s="502"/>
      <c r="G152" s="502"/>
    </row>
    <row r="153" spans="1:7" s="657" customFormat="1" ht="12" customHeight="1">
      <c r="A153" s="42" t="s">
        <v>293</v>
      </c>
      <c r="B153" s="18" t="s">
        <v>458</v>
      </c>
      <c r="C153" s="502"/>
      <c r="D153" s="502"/>
      <c r="E153" s="502"/>
      <c r="F153" s="502"/>
      <c r="G153" s="502"/>
    </row>
    <row r="154" spans="1:7" s="657" customFormat="1" ht="12" customHeight="1">
      <c r="A154" s="42" t="s">
        <v>294</v>
      </c>
      <c r="B154" s="18" t="s">
        <v>464</v>
      </c>
      <c r="C154" s="502"/>
      <c r="D154" s="502"/>
      <c r="E154" s="502"/>
      <c r="F154" s="502"/>
      <c r="G154" s="502"/>
    </row>
    <row r="155" spans="1:7" s="657" customFormat="1" ht="12" customHeight="1" thickBot="1">
      <c r="A155" s="42" t="s">
        <v>462</v>
      </c>
      <c r="B155" s="18" t="s">
        <v>465</v>
      </c>
      <c r="C155" s="502"/>
      <c r="D155" s="502"/>
      <c r="E155" s="502"/>
      <c r="F155" s="502"/>
      <c r="G155" s="502"/>
    </row>
    <row r="156" spans="1:7" s="657" customFormat="1" ht="12" customHeight="1" thickBot="1">
      <c r="A156" s="38" t="s">
        <v>21</v>
      </c>
      <c r="B156" s="19" t="s">
        <v>466</v>
      </c>
      <c r="C156" s="507"/>
      <c r="D156" s="507"/>
      <c r="E156" s="507"/>
      <c r="F156" s="507"/>
      <c r="G156" s="507"/>
    </row>
    <row r="157" spans="1:7" s="657" customFormat="1" ht="12" customHeight="1" thickBot="1">
      <c r="A157" s="38" t="s">
        <v>22</v>
      </c>
      <c r="B157" s="19" t="s">
        <v>467</v>
      </c>
      <c r="C157" s="507"/>
      <c r="D157" s="507"/>
      <c r="E157" s="507"/>
      <c r="F157" s="507"/>
      <c r="G157" s="507"/>
    </row>
    <row r="158" spans="1:7" s="657" customFormat="1" ht="15" customHeight="1" thickBot="1">
      <c r="A158" s="38" t="s">
        <v>23</v>
      </c>
      <c r="B158" s="19" t="s">
        <v>469</v>
      </c>
      <c r="C158" s="508">
        <f>+C134+C138+C145+C150+C156+C157</f>
        <v>0</v>
      </c>
      <c r="D158" s="508">
        <f>+D134+D138+D145+D150+D156+D157</f>
        <v>0</v>
      </c>
      <c r="E158" s="508">
        <f>+E134+E138+E145+E150+E156+E157</f>
        <v>0</v>
      </c>
      <c r="F158" s="508">
        <f>+F134+F138+F145+F150+F156+F157</f>
        <v>0</v>
      </c>
      <c r="G158" s="508">
        <f>+G134+G138+G145+G150+G156+G157</f>
        <v>0</v>
      </c>
    </row>
    <row r="159" spans="1:7" s="41" customFormat="1" ht="12.95" customHeight="1" thickBot="1">
      <c r="A159" s="97" t="s">
        <v>24</v>
      </c>
      <c r="B159" s="98" t="s">
        <v>468</v>
      </c>
      <c r="C159" s="508">
        <f>+C133+C158</f>
        <v>125246829</v>
      </c>
      <c r="D159" s="508">
        <f>+D133+D158</f>
        <v>123022890</v>
      </c>
      <c r="E159" s="508">
        <f>+E133+E158</f>
        <v>123340390</v>
      </c>
      <c r="F159" s="508">
        <f>+F133+F158</f>
        <v>144392936</v>
      </c>
      <c r="G159" s="508">
        <f>+G133+G158</f>
        <v>144033386</v>
      </c>
    </row>
  </sheetData>
  <mergeCells count="4">
    <mergeCell ref="A6:B6"/>
    <mergeCell ref="A7:B7"/>
    <mergeCell ref="A94:B94"/>
    <mergeCell ref="A95:B95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89" fitToHeight="2" orientation="landscape" r:id="rId1"/>
  <headerFooter alignWithMargins="0">
    <oddHeader>&amp;R&amp;"Times New Roman CE,Félkövér dőlt"&amp;11 1.1. melléklet a 19/2019. (XII.20.) önkormányzati rendelethez</oddHeader>
    <oddFooter>&amp;P. oldal, összesen: &amp;N</oddFooter>
  </headerFooter>
  <rowBreaks count="5" manualBreakCount="5">
    <brk id="30" max="6" man="1"/>
    <brk id="67" max="6" man="1"/>
    <brk id="92" max="6" man="1"/>
    <brk id="118" max="6" man="1"/>
    <brk id="133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30">
    <tabColor rgb="FFFFFF00"/>
  </sheetPr>
  <dimension ref="A1:D31"/>
  <sheetViews>
    <sheetView zoomScaleNormal="100" workbookViewId="0">
      <selection activeCell="G8" sqref="G8"/>
    </sheetView>
  </sheetViews>
  <sheetFormatPr defaultRowHeight="12.75"/>
  <cols>
    <col min="1" max="1" width="5.83203125" style="777" customWidth="1"/>
    <col min="2" max="2" width="54.83203125" style="773" customWidth="1"/>
    <col min="3" max="4" width="17.6640625" style="773" customWidth="1"/>
    <col min="5" max="16384" width="9.33203125" style="773"/>
  </cols>
  <sheetData>
    <row r="1" spans="1:4" ht="31.5" customHeight="1">
      <c r="B1" s="848" t="s">
        <v>5</v>
      </c>
      <c r="C1" s="848"/>
      <c r="D1" s="848"/>
    </row>
    <row r="2" spans="1:4" s="338" customFormat="1" ht="16.5" thickBot="1">
      <c r="A2" s="337"/>
      <c r="B2" s="336"/>
      <c r="D2" s="339" t="s">
        <v>581</v>
      </c>
    </row>
    <row r="3" spans="1:4" s="343" customFormat="1" ht="48" customHeight="1" thickBot="1">
      <c r="A3" s="340" t="s">
        <v>12</v>
      </c>
      <c r="B3" s="341" t="s">
        <v>13</v>
      </c>
      <c r="C3" s="341" t="s">
        <v>66</v>
      </c>
      <c r="D3" s="342" t="s">
        <v>67</v>
      </c>
    </row>
    <row r="4" spans="1:4" s="343" customFormat="1" ht="14.1" customHeight="1" thickBot="1">
      <c r="A4" s="10" t="s">
        <v>483</v>
      </c>
      <c r="B4" s="11" t="s">
        <v>484</v>
      </c>
      <c r="C4" s="11" t="s">
        <v>485</v>
      </c>
      <c r="D4" s="12" t="s">
        <v>487</v>
      </c>
    </row>
    <row r="5" spans="1:4" ht="18" customHeight="1">
      <c r="A5" s="344" t="s">
        <v>14</v>
      </c>
      <c r="B5" s="345" t="s">
        <v>156</v>
      </c>
      <c r="C5" s="346"/>
      <c r="D5" s="20"/>
    </row>
    <row r="6" spans="1:4" ht="18" customHeight="1">
      <c r="A6" s="347" t="s">
        <v>15</v>
      </c>
      <c r="B6" s="348" t="s">
        <v>157</v>
      </c>
      <c r="C6" s="349"/>
      <c r="D6" s="27"/>
    </row>
    <row r="7" spans="1:4" ht="18" customHeight="1">
      <c r="A7" s="347" t="s">
        <v>16</v>
      </c>
      <c r="B7" s="348" t="s">
        <v>115</v>
      </c>
      <c r="C7" s="349"/>
      <c r="D7" s="27"/>
    </row>
    <row r="8" spans="1:4" ht="18" customHeight="1">
      <c r="A8" s="347" t="s">
        <v>17</v>
      </c>
      <c r="B8" s="348" t="s">
        <v>116</v>
      </c>
      <c r="C8" s="349"/>
      <c r="D8" s="27"/>
    </row>
    <row r="9" spans="1:4" ht="18" customHeight="1">
      <c r="A9" s="347" t="s">
        <v>18</v>
      </c>
      <c r="B9" s="348" t="s">
        <v>149</v>
      </c>
      <c r="C9" s="349"/>
      <c r="D9" s="27"/>
    </row>
    <row r="10" spans="1:4" ht="18" customHeight="1">
      <c r="A10" s="347" t="s">
        <v>19</v>
      </c>
      <c r="B10" s="348" t="s">
        <v>150</v>
      </c>
      <c r="C10" s="349"/>
      <c r="D10" s="27"/>
    </row>
    <row r="11" spans="1:4" ht="18" customHeight="1">
      <c r="A11" s="347" t="s">
        <v>20</v>
      </c>
      <c r="B11" s="350" t="s">
        <v>151</v>
      </c>
      <c r="C11" s="349"/>
      <c r="D11" s="27"/>
    </row>
    <row r="12" spans="1:4" ht="18" customHeight="1">
      <c r="A12" s="347" t="s">
        <v>22</v>
      </c>
      <c r="B12" s="350" t="s">
        <v>152</v>
      </c>
      <c r="C12" s="349"/>
      <c r="D12" s="27"/>
    </row>
    <row r="13" spans="1:4" ht="18" customHeight="1">
      <c r="A13" s="347" t="s">
        <v>23</v>
      </c>
      <c r="B13" s="350" t="s">
        <v>153</v>
      </c>
      <c r="C13" s="349"/>
      <c r="D13" s="27"/>
    </row>
    <row r="14" spans="1:4" ht="18" customHeight="1">
      <c r="A14" s="347" t="s">
        <v>24</v>
      </c>
      <c r="B14" s="350" t="s">
        <v>154</v>
      </c>
      <c r="C14" s="349"/>
      <c r="D14" s="27"/>
    </row>
    <row r="15" spans="1:4" ht="22.5" customHeight="1">
      <c r="A15" s="347" t="s">
        <v>25</v>
      </c>
      <c r="B15" s="350" t="s">
        <v>155</v>
      </c>
      <c r="C15" s="349"/>
      <c r="D15" s="27"/>
    </row>
    <row r="16" spans="1:4" ht="18" customHeight="1">
      <c r="A16" s="347" t="s">
        <v>26</v>
      </c>
      <c r="B16" s="348" t="s">
        <v>117</v>
      </c>
      <c r="C16" s="349"/>
      <c r="D16" s="27"/>
    </row>
    <row r="17" spans="1:4" ht="18" customHeight="1">
      <c r="A17" s="347" t="s">
        <v>27</v>
      </c>
      <c r="B17" s="348" t="s">
        <v>7</v>
      </c>
      <c r="C17" s="349"/>
      <c r="D17" s="27"/>
    </row>
    <row r="18" spans="1:4" ht="18" customHeight="1">
      <c r="A18" s="347" t="s">
        <v>28</v>
      </c>
      <c r="B18" s="348" t="s">
        <v>6</v>
      </c>
      <c r="C18" s="349"/>
      <c r="D18" s="27"/>
    </row>
    <row r="19" spans="1:4" ht="18" customHeight="1">
      <c r="A19" s="347" t="s">
        <v>29</v>
      </c>
      <c r="B19" s="348" t="s">
        <v>118</v>
      </c>
      <c r="C19" s="349"/>
      <c r="D19" s="27"/>
    </row>
    <row r="20" spans="1:4" ht="18" customHeight="1">
      <c r="A20" s="347" t="s">
        <v>30</v>
      </c>
      <c r="B20" s="348" t="s">
        <v>119</v>
      </c>
      <c r="C20" s="349"/>
      <c r="D20" s="27"/>
    </row>
    <row r="21" spans="1:4" ht="18" customHeight="1">
      <c r="A21" s="347" t="s">
        <v>31</v>
      </c>
      <c r="B21" s="351"/>
      <c r="C21" s="170"/>
      <c r="D21" s="27"/>
    </row>
    <row r="22" spans="1:4" ht="18" customHeight="1">
      <c r="A22" s="347" t="s">
        <v>32</v>
      </c>
      <c r="B22" s="352"/>
      <c r="C22" s="170"/>
      <c r="D22" s="27"/>
    </row>
    <row r="23" spans="1:4" ht="18" customHeight="1">
      <c r="A23" s="347" t="s">
        <v>33</v>
      </c>
      <c r="B23" s="352"/>
      <c r="C23" s="170"/>
      <c r="D23" s="27"/>
    </row>
    <row r="24" spans="1:4" ht="18" customHeight="1">
      <c r="A24" s="347" t="s">
        <v>34</v>
      </c>
      <c r="B24" s="352"/>
      <c r="C24" s="170"/>
      <c r="D24" s="27"/>
    </row>
    <row r="25" spans="1:4" ht="18" customHeight="1">
      <c r="A25" s="347" t="s">
        <v>35</v>
      </c>
      <c r="B25" s="352"/>
      <c r="C25" s="170"/>
      <c r="D25" s="27"/>
    </row>
    <row r="26" spans="1:4" ht="18" customHeight="1">
      <c r="A26" s="347" t="s">
        <v>36</v>
      </c>
      <c r="B26" s="352"/>
      <c r="C26" s="170"/>
      <c r="D26" s="27"/>
    </row>
    <row r="27" spans="1:4" ht="18" customHeight="1">
      <c r="A27" s="347" t="s">
        <v>37</v>
      </c>
      <c r="B27" s="352"/>
      <c r="C27" s="170"/>
      <c r="D27" s="27"/>
    </row>
    <row r="28" spans="1:4" ht="18" customHeight="1">
      <c r="A28" s="347" t="s">
        <v>38</v>
      </c>
      <c r="B28" s="352"/>
      <c r="C28" s="170"/>
      <c r="D28" s="27"/>
    </row>
    <row r="29" spans="1:4" ht="18" customHeight="1" thickBot="1">
      <c r="A29" s="353" t="s">
        <v>39</v>
      </c>
      <c r="B29" s="354"/>
      <c r="C29" s="355"/>
      <c r="D29" s="21"/>
    </row>
    <row r="30" spans="1:4" ht="18" customHeight="1" thickBot="1">
      <c r="A30" s="356" t="s">
        <v>40</v>
      </c>
      <c r="B30" s="357" t="s">
        <v>48</v>
      </c>
      <c r="C30" s="358">
        <f>+C5+C6+C7+C8+C9+C16+C17+C18+C19+C20+C21+C22+C23+C24+C25+C26+C27+C28+C29</f>
        <v>0</v>
      </c>
      <c r="D30" s="359">
        <f>+D5+D6+D7+D8+D9+D16+D17+D18+D19+D20+D21+D22+D23+D24+D25+D26+D27+D28+D29</f>
        <v>0</v>
      </c>
    </row>
    <row r="31" spans="1:4" ht="8.25" customHeight="1">
      <c r="A31" s="778"/>
      <c r="B31" s="847"/>
      <c r="C31" s="847"/>
      <c r="D31" s="847"/>
    </row>
  </sheetData>
  <mergeCells count="2">
    <mergeCell ref="B31:D31"/>
    <mergeCell ref="B1:D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9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1">
    <tabColor rgb="FFFFFF00"/>
  </sheetPr>
  <dimension ref="A1:O181"/>
  <sheetViews>
    <sheetView topLeftCell="F164" zoomScaleNormal="100" workbookViewId="0">
      <selection activeCell="N174" sqref="N174"/>
    </sheetView>
  </sheetViews>
  <sheetFormatPr defaultRowHeight="15.75"/>
  <cols>
    <col min="1" max="1" width="6.6640625" style="391" bestFit="1" customWidth="1"/>
    <col min="2" max="2" width="66.1640625" style="392" bestFit="1" customWidth="1"/>
    <col min="3" max="3" width="16.33203125" style="392" bestFit="1" customWidth="1"/>
    <col min="4" max="4" width="15.6640625" style="392" bestFit="1" customWidth="1"/>
    <col min="5" max="5" width="16.33203125" style="392" bestFit="1" customWidth="1"/>
    <col min="6" max="6" width="15.6640625" style="392" bestFit="1" customWidth="1"/>
    <col min="7" max="9" width="16.33203125" style="392" bestFit="1" customWidth="1"/>
    <col min="10" max="10" width="16" style="392" bestFit="1" customWidth="1"/>
    <col min="11" max="11" width="14.6640625" style="392" bestFit="1" customWidth="1"/>
    <col min="12" max="14" width="15.6640625" style="392" bestFit="1" customWidth="1"/>
    <col min="15" max="15" width="18.1640625" style="393" bestFit="1" customWidth="1"/>
    <col min="16" max="16384" width="9.33203125" style="392"/>
  </cols>
  <sheetData>
    <row r="1" spans="1:15">
      <c r="B1" s="392" t="s">
        <v>536</v>
      </c>
      <c r="L1" s="857" t="s">
        <v>659</v>
      </c>
      <c r="M1" s="857"/>
      <c r="N1" s="857"/>
    </row>
    <row r="4" spans="1:15" ht="20.25" customHeight="1">
      <c r="A4" s="852" t="s">
        <v>687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</row>
    <row r="5" spans="1:15" ht="21" customHeight="1">
      <c r="A5" s="852" t="s">
        <v>688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</row>
    <row r="6" spans="1:15" ht="21" customHeight="1">
      <c r="A6" s="458"/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</row>
    <row r="7" spans="1:15" ht="16.5" thickBot="1">
      <c r="O7" s="449" t="s">
        <v>581</v>
      </c>
    </row>
    <row r="8" spans="1:15" s="391" customFormat="1" ht="31.5" customHeight="1" thickBot="1">
      <c r="A8" s="459" t="s">
        <v>12</v>
      </c>
      <c r="B8" s="460" t="s">
        <v>56</v>
      </c>
      <c r="C8" s="460" t="s">
        <v>68</v>
      </c>
      <c r="D8" s="460" t="s">
        <v>69</v>
      </c>
      <c r="E8" s="460" t="s">
        <v>70</v>
      </c>
      <c r="F8" s="460" t="s">
        <v>71</v>
      </c>
      <c r="G8" s="460" t="s">
        <v>72</v>
      </c>
      <c r="H8" s="460" t="s">
        <v>73</v>
      </c>
      <c r="I8" s="460" t="s">
        <v>74</v>
      </c>
      <c r="J8" s="460" t="s">
        <v>75</v>
      </c>
      <c r="K8" s="460" t="s">
        <v>76</v>
      </c>
      <c r="L8" s="460" t="s">
        <v>77</v>
      </c>
      <c r="M8" s="460" t="s">
        <v>78</v>
      </c>
      <c r="N8" s="460" t="s">
        <v>79</v>
      </c>
      <c r="O8" s="461" t="s">
        <v>46</v>
      </c>
    </row>
    <row r="9" spans="1:15" s="463" customFormat="1" ht="15" customHeight="1" thickBot="1">
      <c r="A9" s="462"/>
      <c r="B9" s="849" t="s">
        <v>51</v>
      </c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1"/>
    </row>
    <row r="10" spans="1:15" s="468" customFormat="1" ht="22.5" customHeight="1">
      <c r="A10" s="464" t="s">
        <v>14</v>
      </c>
      <c r="B10" s="465" t="s">
        <v>369</v>
      </c>
      <c r="C10" s="466">
        <f>223966276/12</f>
        <v>18663856.333333332</v>
      </c>
      <c r="D10" s="466">
        <f t="shared" ref="D10:N10" si="0">223966276/12</f>
        <v>18663856.333333332</v>
      </c>
      <c r="E10" s="466">
        <f t="shared" si="0"/>
        <v>18663856.333333332</v>
      </c>
      <c r="F10" s="466">
        <f t="shared" si="0"/>
        <v>18663856.333333332</v>
      </c>
      <c r="G10" s="466">
        <f t="shared" si="0"/>
        <v>18663856.333333332</v>
      </c>
      <c r="H10" s="466">
        <f t="shared" si="0"/>
        <v>18663856.333333332</v>
      </c>
      <c r="I10" s="466">
        <f t="shared" si="0"/>
        <v>18663856.333333332</v>
      </c>
      <c r="J10" s="466">
        <f t="shared" si="0"/>
        <v>18663856.333333332</v>
      </c>
      <c r="K10" s="466">
        <f t="shared" si="0"/>
        <v>18663856.333333332</v>
      </c>
      <c r="L10" s="466">
        <f t="shared" si="0"/>
        <v>18663856.333333332</v>
      </c>
      <c r="M10" s="466">
        <f t="shared" si="0"/>
        <v>18663856.333333332</v>
      </c>
      <c r="N10" s="466">
        <f t="shared" si="0"/>
        <v>18663856.333333332</v>
      </c>
      <c r="O10" s="467">
        <f t="shared" ref="O10:O19" si="1">SUM(C10:N10)</f>
        <v>223966276.00000003</v>
      </c>
    </row>
    <row r="11" spans="1:15" s="468" customFormat="1" ht="22.5" customHeight="1">
      <c r="A11" s="464" t="s">
        <v>15</v>
      </c>
      <c r="B11" s="465" t="s">
        <v>591</v>
      </c>
      <c r="C11" s="466">
        <f>89479+505300+227619-2</f>
        <v>822396</v>
      </c>
      <c r="D11" s="466">
        <f>89479+505300+306000</f>
        <v>900779</v>
      </c>
      <c r="E11" s="466">
        <f>4269996+38640+150535+505300</f>
        <v>4964471</v>
      </c>
      <c r="F11" s="466">
        <f>4269996+38640+150535+505300</f>
        <v>4964471</v>
      </c>
      <c r="G11" s="466">
        <f>4269996+38640+150535+505300</f>
        <v>4964471</v>
      </c>
      <c r="H11" s="466">
        <f>4269996+38640+505300</f>
        <v>4813936</v>
      </c>
      <c r="I11" s="466">
        <f>4269996+38640+505300</f>
        <v>4813936</v>
      </c>
      <c r="J11" s="466">
        <f>4269996+38640+505300+23000000</f>
        <v>27813936</v>
      </c>
      <c r="K11" s="466">
        <f>4269996+38640+505300+1639729+112502</f>
        <v>6566167</v>
      </c>
      <c r="L11" s="466">
        <f>4269996+38640+505300</f>
        <v>4813936</v>
      </c>
      <c r="M11" s="466">
        <f>4269996+38640+505300</f>
        <v>4813936</v>
      </c>
      <c r="N11" s="466">
        <f>4269996+38640+505300</f>
        <v>4813936</v>
      </c>
      <c r="O11" s="467">
        <f t="shared" si="1"/>
        <v>75066371</v>
      </c>
    </row>
    <row r="12" spans="1:15" s="468" customFormat="1" ht="22.5" customHeight="1">
      <c r="A12" s="464" t="s">
        <v>16</v>
      </c>
      <c r="B12" s="465" t="s">
        <v>590</v>
      </c>
      <c r="C12" s="466"/>
      <c r="D12" s="466"/>
      <c r="E12" s="466"/>
      <c r="F12" s="466"/>
      <c r="G12" s="466"/>
      <c r="H12" s="466"/>
      <c r="I12" s="466"/>
      <c r="J12" s="466"/>
      <c r="K12" s="466">
        <f>39844721</f>
        <v>39844721</v>
      </c>
      <c r="L12" s="466"/>
      <c r="M12" s="466"/>
      <c r="N12" s="466"/>
      <c r="O12" s="467">
        <f t="shared" si="1"/>
        <v>39844721</v>
      </c>
    </row>
    <row r="13" spans="1:15" s="468" customFormat="1" ht="22.5" customHeight="1">
      <c r="A13" s="464" t="s">
        <v>17</v>
      </c>
      <c r="B13" s="465" t="s">
        <v>163</v>
      </c>
      <c r="C13" s="466">
        <f>136700000/12</f>
        <v>11391666.666666666</v>
      </c>
      <c r="D13" s="466">
        <f t="shared" ref="D13:N13" si="2">136700000/12</f>
        <v>11391666.666666666</v>
      </c>
      <c r="E13" s="466">
        <f t="shared" si="2"/>
        <v>11391666.666666666</v>
      </c>
      <c r="F13" s="466">
        <f t="shared" si="2"/>
        <v>11391666.666666666</v>
      </c>
      <c r="G13" s="466">
        <f t="shared" si="2"/>
        <v>11391666.666666666</v>
      </c>
      <c r="H13" s="466">
        <f t="shared" si="2"/>
        <v>11391666.666666666</v>
      </c>
      <c r="I13" s="466">
        <f t="shared" si="2"/>
        <v>11391666.666666666</v>
      </c>
      <c r="J13" s="466">
        <f t="shared" si="2"/>
        <v>11391666.666666666</v>
      </c>
      <c r="K13" s="466">
        <f t="shared" si="2"/>
        <v>11391666.666666666</v>
      </c>
      <c r="L13" s="466">
        <f t="shared" si="2"/>
        <v>11391666.666666666</v>
      </c>
      <c r="M13" s="466">
        <f t="shared" si="2"/>
        <v>11391666.666666666</v>
      </c>
      <c r="N13" s="466">
        <f t="shared" si="2"/>
        <v>11391666.666666666</v>
      </c>
      <c r="O13" s="467">
        <f t="shared" si="1"/>
        <v>136700000.00000003</v>
      </c>
    </row>
    <row r="14" spans="1:15" s="468" customFormat="1" ht="22.5" customHeight="1">
      <c r="A14" s="464" t="s">
        <v>18</v>
      </c>
      <c r="B14" s="465" t="s">
        <v>415</v>
      </c>
      <c r="C14" s="466">
        <f>125000+15875+21167+444500+174625+1000</f>
        <v>782167</v>
      </c>
      <c r="D14" s="466">
        <f>125000+15875+21167+174625+1000</f>
        <v>337667</v>
      </c>
      <c r="E14" s="466">
        <f>125000+250+15875+21167+174625+1000</f>
        <v>337917</v>
      </c>
      <c r="F14" s="466">
        <f>125000+2928874+6400+15875+21167+174625+1000</f>
        <v>3272941</v>
      </c>
      <c r="G14" s="466">
        <f>125000+15875+21167+174625+1000</f>
        <v>337667</v>
      </c>
      <c r="H14" s="466">
        <f>125000+250+470000+15875+21167+174625+1000+7601204+3829304+404897</f>
        <v>12643322</v>
      </c>
      <c r="I14" s="466">
        <f>125000+15875+21167+49530000+174625+1000</f>
        <v>49867667</v>
      </c>
      <c r="J14" s="466">
        <f>125000+15875+21167+49530000+11864429+174625+1000</f>
        <v>61732096</v>
      </c>
      <c r="K14" s="466">
        <f>125000+250+15875+21167+174625+1000</f>
        <v>337917</v>
      </c>
      <c r="L14" s="466">
        <f>125000+15875+21167+174625+1000</f>
        <v>337667</v>
      </c>
      <c r="M14" s="466">
        <f>125000+15875+21167+174625</f>
        <v>336667</v>
      </c>
      <c r="N14" s="466">
        <f>125000+250+15875+21167+174625</f>
        <v>336917</v>
      </c>
      <c r="O14" s="467">
        <f t="shared" si="1"/>
        <v>130660612</v>
      </c>
    </row>
    <row r="15" spans="1:15" s="468" customFormat="1" ht="22.5" customHeight="1">
      <c r="A15" s="464" t="s">
        <v>19</v>
      </c>
      <c r="B15" s="465" t="s">
        <v>8</v>
      </c>
      <c r="C15" s="466">
        <f>10000</f>
        <v>10000</v>
      </c>
      <c r="D15" s="466">
        <f>10000</f>
        <v>10000</v>
      </c>
      <c r="E15" s="466">
        <f>10000</f>
        <v>10000</v>
      </c>
      <c r="F15" s="466">
        <f>10000</f>
        <v>10000</v>
      </c>
      <c r="G15" s="466">
        <f>10000</f>
        <v>10000</v>
      </c>
      <c r="H15" s="466">
        <f>10000+7000000</f>
        <v>7010000</v>
      </c>
      <c r="I15" s="466">
        <f>10000</f>
        <v>10000</v>
      </c>
      <c r="J15" s="466">
        <f>10000</f>
        <v>10000</v>
      </c>
      <c r="K15" s="466">
        <f>10000</f>
        <v>10000</v>
      </c>
      <c r="L15" s="466">
        <f>10000</f>
        <v>10000</v>
      </c>
      <c r="M15" s="466"/>
      <c r="N15" s="466"/>
      <c r="O15" s="467">
        <f t="shared" si="1"/>
        <v>7100000</v>
      </c>
    </row>
    <row r="16" spans="1:15" s="468" customFormat="1" ht="22.5" customHeight="1">
      <c r="A16" s="464" t="s">
        <v>20</v>
      </c>
      <c r="B16" s="465" t="s">
        <v>371</v>
      </c>
      <c r="C16" s="466"/>
      <c r="D16" s="466">
        <v>505503</v>
      </c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7">
        <f t="shared" si="1"/>
        <v>505503</v>
      </c>
    </row>
    <row r="17" spans="1:15" s="468" customFormat="1" ht="22.5" customHeight="1">
      <c r="A17" s="464" t="s">
        <v>21</v>
      </c>
      <c r="B17" s="465" t="s">
        <v>403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7">
        <f t="shared" si="1"/>
        <v>0</v>
      </c>
    </row>
    <row r="18" spans="1:15" s="468" customFormat="1" ht="22.5" customHeight="1" thickBot="1">
      <c r="A18" s="464" t="s">
        <v>22</v>
      </c>
      <c r="B18" s="465" t="s">
        <v>9</v>
      </c>
      <c r="C18" s="466">
        <v>541000000</v>
      </c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7">
        <f t="shared" si="1"/>
        <v>541000000</v>
      </c>
    </row>
    <row r="19" spans="1:15" s="473" customFormat="1" ht="15.95" customHeight="1" thickBot="1">
      <c r="A19" s="469"/>
      <c r="B19" s="470" t="s">
        <v>104</v>
      </c>
      <c r="C19" s="471">
        <f t="shared" ref="C19:N19" si="3">SUM(C10:C18)</f>
        <v>572670086</v>
      </c>
      <c r="D19" s="471">
        <f t="shared" si="3"/>
        <v>31809472</v>
      </c>
      <c r="E19" s="471">
        <f t="shared" si="3"/>
        <v>35367911</v>
      </c>
      <c r="F19" s="471">
        <f t="shared" si="3"/>
        <v>38302935</v>
      </c>
      <c r="G19" s="471">
        <f t="shared" si="3"/>
        <v>35367661</v>
      </c>
      <c r="H19" s="471">
        <f t="shared" si="3"/>
        <v>54522781</v>
      </c>
      <c r="I19" s="471">
        <f t="shared" si="3"/>
        <v>84747126</v>
      </c>
      <c r="J19" s="471">
        <f t="shared" si="3"/>
        <v>119611555</v>
      </c>
      <c r="K19" s="471">
        <f t="shared" si="3"/>
        <v>76814328</v>
      </c>
      <c r="L19" s="471">
        <f t="shared" si="3"/>
        <v>35217126</v>
      </c>
      <c r="M19" s="471">
        <f t="shared" si="3"/>
        <v>35206126</v>
      </c>
      <c r="N19" s="471">
        <f t="shared" si="3"/>
        <v>35206376</v>
      </c>
      <c r="O19" s="472">
        <f t="shared" si="1"/>
        <v>1154843483</v>
      </c>
    </row>
    <row r="20" spans="1:15" s="473" customFormat="1" ht="15.95" customHeight="1">
      <c r="A20" s="474"/>
      <c r="B20" s="475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</row>
    <row r="21" spans="1:15" s="473" customFormat="1" ht="15.95" customHeight="1">
      <c r="A21" s="477"/>
      <c r="B21" s="478"/>
      <c r="C21" s="479"/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</row>
    <row r="22" spans="1:15" s="463" customFormat="1" ht="15" customHeight="1" thickBot="1">
      <c r="A22" s="480"/>
      <c r="B22" s="854" t="s">
        <v>52</v>
      </c>
      <c r="C22" s="855"/>
      <c r="D22" s="855"/>
      <c r="E22" s="855"/>
      <c r="F22" s="855"/>
      <c r="G22" s="855"/>
      <c r="H22" s="855"/>
      <c r="I22" s="855"/>
      <c r="J22" s="855"/>
      <c r="K22" s="855"/>
      <c r="L22" s="855"/>
      <c r="M22" s="855"/>
      <c r="N22" s="855"/>
      <c r="O22" s="856"/>
    </row>
    <row r="23" spans="1:15" s="468" customFormat="1" ht="22.5" customHeight="1">
      <c r="A23" s="464" t="s">
        <v>14</v>
      </c>
      <c r="B23" s="465" t="s">
        <v>57</v>
      </c>
      <c r="C23" s="466">
        <f>289590+5296811+5</f>
        <v>5586406</v>
      </c>
      <c r="D23" s="466">
        <f>289590+5296811</f>
        <v>5586401</v>
      </c>
      <c r="E23" s="466">
        <f>5296811</f>
        <v>5296811</v>
      </c>
      <c r="F23" s="466">
        <f>5296811</f>
        <v>5296811</v>
      </c>
      <c r="G23" s="466">
        <f>5296811</f>
        <v>5296811</v>
      </c>
      <c r="H23" s="466">
        <f>5296811</f>
        <v>5296811</v>
      </c>
      <c r="I23" s="466">
        <f>6877200+5296811</f>
        <v>12174011</v>
      </c>
      <c r="J23" s="466">
        <f>6877200+5296811</f>
        <v>12174011</v>
      </c>
      <c r="K23" s="466">
        <f>5296811</f>
        <v>5296811</v>
      </c>
      <c r="L23" s="466">
        <f>5296811</f>
        <v>5296811</v>
      </c>
      <c r="M23" s="466">
        <f>3144000+5296811</f>
        <v>8440811</v>
      </c>
      <c r="N23" s="466">
        <f>5296811</f>
        <v>5296811</v>
      </c>
      <c r="O23" s="467">
        <f>SUM(C23:N23)</f>
        <v>81039317</v>
      </c>
    </row>
    <row r="24" spans="1:15" s="468" customFormat="1" ht="22.5" customHeight="1">
      <c r="A24" s="464" t="s">
        <v>15</v>
      </c>
      <c r="B24" s="465" t="s">
        <v>172</v>
      </c>
      <c r="C24" s="466">
        <f>23847+1136734-5</f>
        <v>1160576</v>
      </c>
      <c r="D24" s="466">
        <f>23847+1136734</f>
        <v>1160581</v>
      </c>
      <c r="E24" s="466">
        <f>1136734</f>
        <v>1136734</v>
      </c>
      <c r="F24" s="466">
        <f>1136734</f>
        <v>1136734</v>
      </c>
      <c r="G24" s="466">
        <f>1136734</f>
        <v>1136734</v>
      </c>
      <c r="H24" s="466">
        <f>1136734</f>
        <v>1136734</v>
      </c>
      <c r="I24" s="466">
        <f>1415772+1136734</f>
        <v>2552506</v>
      </c>
      <c r="J24" s="466">
        <f>1415772+1136734</f>
        <v>2552506</v>
      </c>
      <c r="K24" s="466">
        <f>1136734</f>
        <v>1136734</v>
      </c>
      <c r="L24" s="466">
        <f>1136734</f>
        <v>1136734</v>
      </c>
      <c r="M24" s="466">
        <f>613080+1136734</f>
        <v>1749814</v>
      </c>
      <c r="N24" s="466">
        <f>1136734</f>
        <v>1136734</v>
      </c>
      <c r="O24" s="467">
        <f>SUM(C24:N24)</f>
        <v>17133121</v>
      </c>
    </row>
    <row r="25" spans="1:15" s="468" customFormat="1" ht="22.5" customHeight="1">
      <c r="A25" s="464" t="s">
        <v>16</v>
      </c>
      <c r="B25" s="465" t="s">
        <v>131</v>
      </c>
      <c r="C25" s="466">
        <f>17138605+3295558-2</f>
        <v>20434161</v>
      </c>
      <c r="D25" s="466">
        <f>17138605+1056000+1270000+3295558</f>
        <v>22760163</v>
      </c>
      <c r="E25" s="466">
        <f>17138605+900000+7600000+700000+2625000+3295558+32345</f>
        <v>32291508</v>
      </c>
      <c r="F25" s="466">
        <f>9566169+17138605+3295558</f>
        <v>30000332</v>
      </c>
      <c r="G25" s="466">
        <f>9566169+17138605+3295558+650000</f>
        <v>30650332</v>
      </c>
      <c r="H25" s="466">
        <f>17138605+29379062+3295558</f>
        <v>49813225</v>
      </c>
      <c r="I25" s="466">
        <f>150000+533400+29379062+3295558</f>
        <v>33358020</v>
      </c>
      <c r="J25" s="466">
        <f>150000+29379062+3295558-4000000</f>
        <v>28824620</v>
      </c>
      <c r="K25" s="466">
        <f>3295558</f>
        <v>3295558</v>
      </c>
      <c r="L25" s="466">
        <f>3295558</f>
        <v>3295558</v>
      </c>
      <c r="M25" s="466">
        <f>3295558</f>
        <v>3295558</v>
      </c>
      <c r="N25" s="466">
        <f>2540000+3295558</f>
        <v>5835558</v>
      </c>
      <c r="O25" s="467">
        <f>SUM(C25:N25)</f>
        <v>263854593</v>
      </c>
    </row>
    <row r="26" spans="1:15" s="468" customFormat="1" ht="22.5" customHeight="1">
      <c r="A26" s="464" t="s">
        <v>17</v>
      </c>
      <c r="B26" s="465" t="s">
        <v>173</v>
      </c>
      <c r="C26" s="466">
        <f t="shared" ref="C26:I26" si="4">352500</f>
        <v>352500</v>
      </c>
      <c r="D26" s="466">
        <f t="shared" si="4"/>
        <v>352500</v>
      </c>
      <c r="E26" s="466">
        <f t="shared" si="4"/>
        <v>352500</v>
      </c>
      <c r="F26" s="466">
        <f t="shared" si="4"/>
        <v>352500</v>
      </c>
      <c r="G26" s="466">
        <f t="shared" si="4"/>
        <v>352500</v>
      </c>
      <c r="H26" s="466">
        <f t="shared" si="4"/>
        <v>352500</v>
      </c>
      <c r="I26" s="466">
        <f t="shared" si="4"/>
        <v>352500</v>
      </c>
      <c r="J26" s="466">
        <f>50000+900000+352500</f>
        <v>1302500</v>
      </c>
      <c r="K26" s="466">
        <f>900000+352500</f>
        <v>1252500</v>
      </c>
      <c r="L26" s="466">
        <f>1200000+352500</f>
        <v>1552500</v>
      </c>
      <c r="M26" s="466">
        <f>50000+352500</f>
        <v>402500</v>
      </c>
      <c r="N26" s="466">
        <f>352500</f>
        <v>352500</v>
      </c>
      <c r="O26" s="467">
        <f>SUM(C26:N26)</f>
        <v>7330000</v>
      </c>
    </row>
    <row r="27" spans="1:15" s="468" customFormat="1" ht="22.5" customHeight="1">
      <c r="A27" s="464" t="s">
        <v>18</v>
      </c>
      <c r="B27" s="465" t="s">
        <v>623</v>
      </c>
      <c r="C27" s="466">
        <f>500000</f>
        <v>500000</v>
      </c>
      <c r="D27" s="466">
        <v>505503</v>
      </c>
      <c r="E27" s="466"/>
      <c r="F27" s="466"/>
      <c r="G27" s="466"/>
      <c r="H27" s="466">
        <f>500000</f>
        <v>500000</v>
      </c>
      <c r="I27" s="466"/>
      <c r="J27" s="466"/>
      <c r="K27" s="466"/>
      <c r="L27" s="466"/>
      <c r="M27" s="466"/>
      <c r="N27" s="466"/>
      <c r="O27" s="467">
        <f>SUM(C27:N27)</f>
        <v>1505503</v>
      </c>
    </row>
    <row r="28" spans="1:15" s="468" customFormat="1" ht="22.5" customHeight="1">
      <c r="A28" s="464" t="s">
        <v>19</v>
      </c>
      <c r="B28" s="465" t="s">
        <v>591</v>
      </c>
      <c r="C28" s="466">
        <f>525000+10259988-4</f>
        <v>10784984</v>
      </c>
      <c r="D28" s="466">
        <f>10259988</f>
        <v>10259988</v>
      </c>
      <c r="E28" s="466">
        <f>1840500+595000+10259988-700000</f>
        <v>11995488</v>
      </c>
      <c r="F28" s="466">
        <f>10259988</f>
        <v>10259988</v>
      </c>
      <c r="G28" s="466">
        <f>10259988</f>
        <v>10259988</v>
      </c>
      <c r="H28" s="466">
        <f>100000+10259988</f>
        <v>10359988</v>
      </c>
      <c r="I28" s="466">
        <f>1500000+10259988</f>
        <v>11759988</v>
      </c>
      <c r="J28" s="466">
        <f>525000+1840500+595000+10259988</f>
        <v>13220488</v>
      </c>
      <c r="K28" s="466">
        <f>10259988</f>
        <v>10259988</v>
      </c>
      <c r="L28" s="466">
        <f>10259988</f>
        <v>10259988</v>
      </c>
      <c r="M28" s="466">
        <f>10259988</f>
        <v>10259988</v>
      </c>
      <c r="N28" s="466">
        <f>10259988</f>
        <v>10259988</v>
      </c>
      <c r="O28" s="467">
        <f t="shared" ref="O28:O35" si="5">SUM(C28:N28)</f>
        <v>129940852</v>
      </c>
    </row>
    <row r="29" spans="1:15" s="468" customFormat="1" ht="22.5" customHeight="1">
      <c r="A29" s="464" t="s">
        <v>20</v>
      </c>
      <c r="B29" s="465" t="s">
        <v>592</v>
      </c>
      <c r="C29" s="466"/>
      <c r="D29" s="466"/>
      <c r="E29" s="466">
        <f>17625000+1440000</f>
        <v>19065000</v>
      </c>
      <c r="F29" s="466"/>
      <c r="G29" s="466"/>
      <c r="H29" s="466"/>
      <c r="I29" s="466"/>
      <c r="J29" s="466">
        <f>23000000</f>
        <v>23000000</v>
      </c>
      <c r="K29" s="466"/>
      <c r="L29" s="466"/>
      <c r="M29" s="466"/>
      <c r="N29" s="466"/>
      <c r="O29" s="467">
        <f t="shared" si="5"/>
        <v>42065000</v>
      </c>
    </row>
    <row r="30" spans="1:15" s="468" customFormat="1" ht="22.5" customHeight="1">
      <c r="A30" s="464" t="s">
        <v>21</v>
      </c>
      <c r="B30" s="465" t="s">
        <v>554</v>
      </c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>
        <v>33170228</v>
      </c>
      <c r="O30" s="467">
        <f t="shared" si="5"/>
        <v>33170228</v>
      </c>
    </row>
    <row r="31" spans="1:15" s="468" customFormat="1" ht="22.5" customHeight="1">
      <c r="A31" s="464" t="s">
        <v>22</v>
      </c>
      <c r="B31" s="465" t="s">
        <v>217</v>
      </c>
      <c r="C31" s="466">
        <f>20429850</f>
        <v>20429850</v>
      </c>
      <c r="D31" s="466">
        <f>1143000+127000+20429850</f>
        <v>21699850</v>
      </c>
      <c r="E31" s="466">
        <f>7556989+20429850-317500</f>
        <v>27669339</v>
      </c>
      <c r="F31" s="466">
        <f>7556990+622554+20429850</f>
        <v>28609394</v>
      </c>
      <c r="G31" s="466">
        <f>1905000+14627225+16510000+20429850</f>
        <v>53472075</v>
      </c>
      <c r="H31" s="466">
        <f>2671233+20429850+7</f>
        <v>23101090</v>
      </c>
      <c r="I31" s="466">
        <f>762000+533400+2671233+20429850</f>
        <v>24396483</v>
      </c>
      <c r="J31" s="466">
        <f>2671233+20429850</f>
        <v>23101083</v>
      </c>
      <c r="K31" s="466">
        <f>20429850</f>
        <v>20429850</v>
      </c>
      <c r="L31" s="466">
        <f>20429850</f>
        <v>20429850</v>
      </c>
      <c r="M31" s="466">
        <f>20429850</f>
        <v>20429850</v>
      </c>
      <c r="N31" s="466">
        <f>20429850</f>
        <v>20429850</v>
      </c>
      <c r="O31" s="467">
        <f t="shared" si="5"/>
        <v>304198564</v>
      </c>
    </row>
    <row r="32" spans="1:15" s="468" customFormat="1" ht="22.5" customHeight="1">
      <c r="A32" s="464" t="s">
        <v>23</v>
      </c>
      <c r="B32" s="465" t="s">
        <v>176</v>
      </c>
      <c r="C32" s="466">
        <f>7391575</f>
        <v>7391575</v>
      </c>
      <c r="D32" s="466">
        <f>7391575</f>
        <v>7391575</v>
      </c>
      <c r="E32" s="466">
        <f>317500+7391575-3+317500</f>
        <v>8026572</v>
      </c>
      <c r="F32" s="466">
        <f>254000+7391575</f>
        <v>7645575</v>
      </c>
      <c r="G32" s="466">
        <f t="shared" ref="G32:N32" si="6">7391575</f>
        <v>7391575</v>
      </c>
      <c r="H32" s="466">
        <f t="shared" si="6"/>
        <v>7391575</v>
      </c>
      <c r="I32" s="466">
        <f t="shared" si="6"/>
        <v>7391575</v>
      </c>
      <c r="J32" s="466">
        <f t="shared" si="6"/>
        <v>7391575</v>
      </c>
      <c r="K32" s="466">
        <f t="shared" si="6"/>
        <v>7391575</v>
      </c>
      <c r="L32" s="466">
        <f t="shared" si="6"/>
        <v>7391575</v>
      </c>
      <c r="M32" s="466">
        <f t="shared" si="6"/>
        <v>7391575</v>
      </c>
      <c r="N32" s="466">
        <f t="shared" si="6"/>
        <v>7391575</v>
      </c>
      <c r="O32" s="467">
        <f t="shared" si="5"/>
        <v>89587897</v>
      </c>
    </row>
    <row r="33" spans="1:15" s="468" customFormat="1" ht="22.5" customHeight="1">
      <c r="A33" s="464" t="s">
        <v>24</v>
      </c>
      <c r="B33" s="465" t="s">
        <v>219</v>
      </c>
      <c r="C33" s="466"/>
      <c r="D33" s="466"/>
      <c r="E33" s="466">
        <f>600000+50000</f>
        <v>650000</v>
      </c>
      <c r="F33" s="466"/>
      <c r="G33" s="466"/>
      <c r="H33" s="466"/>
      <c r="I33" s="466"/>
      <c r="J33" s="466"/>
      <c r="K33" s="466"/>
      <c r="L33" s="466"/>
      <c r="M33" s="466"/>
      <c r="N33" s="466"/>
      <c r="O33" s="467">
        <f t="shared" si="5"/>
        <v>650000</v>
      </c>
    </row>
    <row r="34" spans="1:15" s="468" customFormat="1" ht="22.5" customHeight="1" thickBot="1">
      <c r="A34" s="464" t="s">
        <v>25</v>
      </c>
      <c r="B34" s="465" t="s">
        <v>10</v>
      </c>
      <c r="C34" s="466">
        <f>(176260688/12)+8107720</f>
        <v>22796110.666666664</v>
      </c>
      <c r="D34" s="466">
        <f t="shared" ref="D34:N34" si="7">(176260688/12)</f>
        <v>14688390.666666666</v>
      </c>
      <c r="E34" s="466">
        <f t="shared" si="7"/>
        <v>14688390.666666666</v>
      </c>
      <c r="F34" s="466">
        <f t="shared" si="7"/>
        <v>14688390.666666666</v>
      </c>
      <c r="G34" s="466">
        <f t="shared" si="7"/>
        <v>14688390.666666666</v>
      </c>
      <c r="H34" s="466">
        <f t="shared" si="7"/>
        <v>14688390.666666666</v>
      </c>
      <c r="I34" s="466">
        <f t="shared" si="7"/>
        <v>14688390.666666666</v>
      </c>
      <c r="J34" s="466">
        <f t="shared" si="7"/>
        <v>14688390.666666666</v>
      </c>
      <c r="K34" s="466">
        <f t="shared" si="7"/>
        <v>14688390.666666666</v>
      </c>
      <c r="L34" s="466">
        <f t="shared" si="7"/>
        <v>14688390.666666666</v>
      </c>
      <c r="M34" s="466">
        <f t="shared" si="7"/>
        <v>14688390.666666666</v>
      </c>
      <c r="N34" s="466">
        <f t="shared" si="7"/>
        <v>14688390.666666666</v>
      </c>
      <c r="O34" s="467">
        <f t="shared" si="5"/>
        <v>184368407.99999997</v>
      </c>
    </row>
    <row r="35" spans="1:15" s="473" customFormat="1" ht="15.95" customHeight="1" thickBot="1">
      <c r="A35" s="469"/>
      <c r="B35" s="470" t="s">
        <v>105</v>
      </c>
      <c r="C35" s="471">
        <f t="shared" ref="C35:N35" si="8">SUM(C23:C34)</f>
        <v>89436162.666666657</v>
      </c>
      <c r="D35" s="471">
        <f t="shared" si="8"/>
        <v>84404951.666666672</v>
      </c>
      <c r="E35" s="471">
        <f t="shared" si="8"/>
        <v>121172342.66666667</v>
      </c>
      <c r="F35" s="471">
        <f t="shared" si="8"/>
        <v>97989724.666666672</v>
      </c>
      <c r="G35" s="471">
        <f t="shared" si="8"/>
        <v>123248405.66666667</v>
      </c>
      <c r="H35" s="471">
        <f t="shared" si="8"/>
        <v>112640313.66666667</v>
      </c>
      <c r="I35" s="471">
        <f t="shared" si="8"/>
        <v>106673473.66666667</v>
      </c>
      <c r="J35" s="471">
        <f t="shared" si="8"/>
        <v>126255173.66666667</v>
      </c>
      <c r="K35" s="471">
        <f t="shared" si="8"/>
        <v>63751406.666666664</v>
      </c>
      <c r="L35" s="471">
        <f t="shared" si="8"/>
        <v>64051406.666666664</v>
      </c>
      <c r="M35" s="471">
        <f t="shared" si="8"/>
        <v>66658486.666666664</v>
      </c>
      <c r="N35" s="471">
        <f t="shared" si="8"/>
        <v>98561634.666666672</v>
      </c>
      <c r="O35" s="472">
        <f t="shared" si="5"/>
        <v>1154843482.9999998</v>
      </c>
    </row>
    <row r="36" spans="1:15" s="473" customFormat="1" ht="15.95" customHeight="1" thickBot="1">
      <c r="A36" s="481"/>
      <c r="B36" s="482"/>
      <c r="C36" s="483"/>
      <c r="D36" s="483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</row>
    <row r="37" spans="1:15" ht="16.5" thickBot="1">
      <c r="A37" s="469"/>
      <c r="B37" s="470" t="s">
        <v>106</v>
      </c>
      <c r="C37" s="471">
        <f t="shared" ref="C37:O37" si="9">C19-C35</f>
        <v>483233923.33333337</v>
      </c>
      <c r="D37" s="471">
        <f t="shared" si="9"/>
        <v>-52595479.666666672</v>
      </c>
      <c r="E37" s="471">
        <f t="shared" si="9"/>
        <v>-85804431.666666672</v>
      </c>
      <c r="F37" s="471">
        <f t="shared" si="9"/>
        <v>-59686789.666666672</v>
      </c>
      <c r="G37" s="471">
        <f t="shared" si="9"/>
        <v>-87880744.666666672</v>
      </c>
      <c r="H37" s="471">
        <f t="shared" si="9"/>
        <v>-58117532.666666672</v>
      </c>
      <c r="I37" s="471">
        <f t="shared" si="9"/>
        <v>-21926347.666666672</v>
      </c>
      <c r="J37" s="471">
        <f t="shared" si="9"/>
        <v>-6643618.6666666716</v>
      </c>
      <c r="K37" s="471">
        <f t="shared" si="9"/>
        <v>13062921.333333336</v>
      </c>
      <c r="L37" s="471">
        <f t="shared" si="9"/>
        <v>-28834280.666666664</v>
      </c>
      <c r="M37" s="471">
        <f t="shared" si="9"/>
        <v>-31452360.666666664</v>
      </c>
      <c r="N37" s="471">
        <f t="shared" si="9"/>
        <v>-63355258.666666672</v>
      </c>
      <c r="O37" s="472">
        <f t="shared" si="9"/>
        <v>0</v>
      </c>
    </row>
    <row r="40" spans="1:15" ht="20.25" customHeight="1">
      <c r="A40" s="852" t="s">
        <v>687</v>
      </c>
      <c r="B40" s="853"/>
      <c r="C40" s="853"/>
      <c r="D40" s="853"/>
      <c r="E40" s="853"/>
      <c r="F40" s="853"/>
      <c r="G40" s="853"/>
      <c r="H40" s="853"/>
      <c r="I40" s="853"/>
      <c r="J40" s="853"/>
      <c r="K40" s="853"/>
      <c r="L40" s="853"/>
      <c r="M40" s="853"/>
      <c r="N40" s="853"/>
      <c r="O40" s="853"/>
    </row>
    <row r="41" spans="1:15" ht="21" customHeight="1">
      <c r="A41" s="852" t="s">
        <v>715</v>
      </c>
      <c r="B41" s="852"/>
      <c r="C41" s="852"/>
      <c r="D41" s="852"/>
      <c r="E41" s="852"/>
      <c r="F41" s="852"/>
      <c r="G41" s="852"/>
      <c r="H41" s="852"/>
      <c r="I41" s="852"/>
      <c r="J41" s="852"/>
      <c r="K41" s="852"/>
      <c r="L41" s="852"/>
      <c r="M41" s="852"/>
      <c r="N41" s="852"/>
      <c r="O41" s="852"/>
    </row>
    <row r="42" spans="1:15" ht="21" customHeight="1">
      <c r="A42" s="458"/>
      <c r="B42" s="458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</row>
    <row r="43" spans="1:15" ht="16.5" thickBot="1">
      <c r="O43" s="449" t="s">
        <v>581</v>
      </c>
    </row>
    <row r="44" spans="1:15" s="391" customFormat="1" ht="31.5" customHeight="1" thickBot="1">
      <c r="A44" s="459" t="s">
        <v>12</v>
      </c>
      <c r="B44" s="460" t="s">
        <v>56</v>
      </c>
      <c r="C44" s="460" t="s">
        <v>68</v>
      </c>
      <c r="D44" s="460" t="s">
        <v>69</v>
      </c>
      <c r="E44" s="460" t="s">
        <v>70</v>
      </c>
      <c r="F44" s="460" t="s">
        <v>71</v>
      </c>
      <c r="G44" s="460" t="s">
        <v>72</v>
      </c>
      <c r="H44" s="460" t="s">
        <v>73</v>
      </c>
      <c r="I44" s="460" t="s">
        <v>74</v>
      </c>
      <c r="J44" s="460" t="s">
        <v>75</v>
      </c>
      <c r="K44" s="460" t="s">
        <v>76</v>
      </c>
      <c r="L44" s="460" t="s">
        <v>77</v>
      </c>
      <c r="M44" s="460" t="s">
        <v>78</v>
      </c>
      <c r="N44" s="460" t="s">
        <v>79</v>
      </c>
      <c r="O44" s="461" t="s">
        <v>46</v>
      </c>
    </row>
    <row r="45" spans="1:15" s="463" customFormat="1" ht="15" customHeight="1" thickBot="1">
      <c r="A45" s="462"/>
      <c r="B45" s="849" t="s">
        <v>51</v>
      </c>
      <c r="C45" s="850"/>
      <c r="D45" s="850"/>
      <c r="E45" s="850"/>
      <c r="F45" s="850"/>
      <c r="G45" s="850"/>
      <c r="H45" s="850"/>
      <c r="I45" s="850"/>
      <c r="J45" s="850"/>
      <c r="K45" s="850"/>
      <c r="L45" s="850"/>
      <c r="M45" s="850"/>
      <c r="N45" s="850"/>
      <c r="O45" s="851"/>
    </row>
    <row r="46" spans="1:15" s="468" customFormat="1" ht="22.5" customHeight="1">
      <c r="A46" s="464" t="s">
        <v>14</v>
      </c>
      <c r="B46" s="465" t="s">
        <v>369</v>
      </c>
      <c r="C46" s="466">
        <f>223966276/12</f>
        <v>18663856.333333332</v>
      </c>
      <c r="D46" s="466">
        <f t="shared" ref="D46:N46" si="10">223966276/12</f>
        <v>18663856.333333332</v>
      </c>
      <c r="E46" s="466">
        <f>223966276/12+267920+344876+8520000</f>
        <v>27796652.333333332</v>
      </c>
      <c r="F46" s="466">
        <f t="shared" si="10"/>
        <v>18663856.333333332</v>
      </c>
      <c r="G46" s="466">
        <f t="shared" si="10"/>
        <v>18663856.333333332</v>
      </c>
      <c r="H46" s="466">
        <f t="shared" si="10"/>
        <v>18663856.333333332</v>
      </c>
      <c r="I46" s="466">
        <f t="shared" si="10"/>
        <v>18663856.333333332</v>
      </c>
      <c r="J46" s="466">
        <f t="shared" si="10"/>
        <v>18663856.333333332</v>
      </c>
      <c r="K46" s="466">
        <f t="shared" si="10"/>
        <v>18663856.333333332</v>
      </c>
      <c r="L46" s="466">
        <f t="shared" si="10"/>
        <v>18663856.333333332</v>
      </c>
      <c r="M46" s="466">
        <f t="shared" si="10"/>
        <v>18663856.333333332</v>
      </c>
      <c r="N46" s="466">
        <f t="shared" si="10"/>
        <v>18663856.333333332</v>
      </c>
      <c r="O46" s="467">
        <f t="shared" ref="O46:O55" si="11">SUM(C46:N46)</f>
        <v>233099072.00000003</v>
      </c>
    </row>
    <row r="47" spans="1:15" s="468" customFormat="1" ht="22.5" customHeight="1">
      <c r="A47" s="464" t="s">
        <v>15</v>
      </c>
      <c r="B47" s="465" t="s">
        <v>591</v>
      </c>
      <c r="C47" s="466">
        <f>89479+505300+227619-2</f>
        <v>822396</v>
      </c>
      <c r="D47" s="466">
        <f>89479+505300+306000</f>
        <v>900779</v>
      </c>
      <c r="E47" s="466">
        <f>4269996+38640+150535+505300+695378+4151815</f>
        <v>9811664</v>
      </c>
      <c r="F47" s="466">
        <f>4269996+38640+150535+505300</f>
        <v>4964471</v>
      </c>
      <c r="G47" s="466">
        <f>4269996+38640+150535+505300</f>
        <v>4964471</v>
      </c>
      <c r="H47" s="466">
        <f>4269996+38640+505300</f>
        <v>4813936</v>
      </c>
      <c r="I47" s="466">
        <f>4269996+38640+505300</f>
        <v>4813936</v>
      </c>
      <c r="J47" s="466">
        <f>4269996+38640+505300+23000000</f>
        <v>27813936</v>
      </c>
      <c r="K47" s="466">
        <f>4269996+38640+505300+1639729+112502</f>
        <v>6566167</v>
      </c>
      <c r="L47" s="466">
        <f>4269996+38640+505300</f>
        <v>4813936</v>
      </c>
      <c r="M47" s="466">
        <f>4269996+38640+505300</f>
        <v>4813936</v>
      </c>
      <c r="N47" s="466">
        <f>4269996+38640+505300</f>
        <v>4813936</v>
      </c>
      <c r="O47" s="467">
        <f t="shared" si="11"/>
        <v>79913564</v>
      </c>
    </row>
    <row r="48" spans="1:15" s="468" customFormat="1" ht="22.5" customHeight="1">
      <c r="A48" s="464" t="s">
        <v>16</v>
      </c>
      <c r="B48" s="465" t="s">
        <v>590</v>
      </c>
      <c r="C48" s="466"/>
      <c r="D48" s="466"/>
      <c r="E48" s="466">
        <f>7313612-7313612</f>
        <v>0</v>
      </c>
      <c r="F48" s="466"/>
      <c r="G48" s="466"/>
      <c r="H48" s="466"/>
      <c r="I48" s="466"/>
      <c r="J48" s="466"/>
      <c r="K48" s="466">
        <f>39844721-7313612</f>
        <v>32531109</v>
      </c>
      <c r="L48" s="466"/>
      <c r="M48" s="466"/>
      <c r="N48" s="466"/>
      <c r="O48" s="467">
        <f t="shared" si="11"/>
        <v>32531109</v>
      </c>
    </row>
    <row r="49" spans="1:15" s="468" customFormat="1" ht="22.5" customHeight="1">
      <c r="A49" s="464" t="s">
        <v>17</v>
      </c>
      <c r="B49" s="465" t="s">
        <v>163</v>
      </c>
      <c r="C49" s="466">
        <f>136700000/12</f>
        <v>11391666.666666666</v>
      </c>
      <c r="D49" s="466">
        <f t="shared" ref="D49:N49" si="12">136700000/12</f>
        <v>11391666.666666666</v>
      </c>
      <c r="E49" s="466">
        <f>136700000/12</f>
        <v>11391666.666666666</v>
      </c>
      <c r="F49" s="466">
        <f t="shared" si="12"/>
        <v>11391666.666666666</v>
      </c>
      <c r="G49" s="466">
        <f t="shared" si="12"/>
        <v>11391666.666666666</v>
      </c>
      <c r="H49" s="466">
        <f t="shared" si="12"/>
        <v>11391666.666666666</v>
      </c>
      <c r="I49" s="466">
        <f t="shared" si="12"/>
        <v>11391666.666666666</v>
      </c>
      <c r="J49" s="466">
        <f t="shared" si="12"/>
        <v>11391666.666666666</v>
      </c>
      <c r="K49" s="466">
        <f t="shared" si="12"/>
        <v>11391666.666666666</v>
      </c>
      <c r="L49" s="466">
        <f t="shared" si="12"/>
        <v>11391666.666666666</v>
      </c>
      <c r="M49" s="466">
        <f t="shared" si="12"/>
        <v>11391666.666666666</v>
      </c>
      <c r="N49" s="466">
        <f t="shared" si="12"/>
        <v>11391666.666666666</v>
      </c>
      <c r="O49" s="467">
        <f t="shared" si="11"/>
        <v>136700000.00000003</v>
      </c>
    </row>
    <row r="50" spans="1:15" s="468" customFormat="1" ht="22.5" customHeight="1">
      <c r="A50" s="464" t="s">
        <v>18</v>
      </c>
      <c r="B50" s="465" t="s">
        <v>415</v>
      </c>
      <c r="C50" s="466">
        <f>125000+15875+21167+444500+174625+1000</f>
        <v>782167</v>
      </c>
      <c r="D50" s="466">
        <f>125000+15875+21167+174625+1000</f>
        <v>337667</v>
      </c>
      <c r="E50" s="466">
        <f>125000+250+15875+21167+174625+1000+215957</f>
        <v>553874</v>
      </c>
      <c r="F50" s="466">
        <f>125000+2928874+6400+15875+21167+174625+1000</f>
        <v>3272941</v>
      </c>
      <c r="G50" s="466">
        <f>125000+15875+21167+174625+1000</f>
        <v>337667</v>
      </c>
      <c r="H50" s="466">
        <f>125000+250+470000+15875+21167+174625+1000+7601204+3829304+404897</f>
        <v>12643322</v>
      </c>
      <c r="I50" s="466">
        <f>125000+15875+21167+49530000+174625+1000</f>
        <v>49867667</v>
      </c>
      <c r="J50" s="466">
        <f>125000+15875+21167+49530000+11864429+174625+1000</f>
        <v>61732096</v>
      </c>
      <c r="K50" s="466">
        <f>125000+250+15875+21167+174625+1000</f>
        <v>337917</v>
      </c>
      <c r="L50" s="466">
        <f>125000+15875+21167+174625+1000</f>
        <v>337667</v>
      </c>
      <c r="M50" s="466">
        <f>125000+15875+21167+174625</f>
        <v>336667</v>
      </c>
      <c r="N50" s="466">
        <f>125000+250+15875+21167+174625</f>
        <v>336917</v>
      </c>
      <c r="O50" s="467">
        <f t="shared" si="11"/>
        <v>130876569</v>
      </c>
    </row>
    <row r="51" spans="1:15" s="468" customFormat="1" ht="22.5" customHeight="1">
      <c r="A51" s="464" t="s">
        <v>19</v>
      </c>
      <c r="B51" s="465" t="s">
        <v>8</v>
      </c>
      <c r="C51" s="466">
        <f>10000</f>
        <v>10000</v>
      </c>
      <c r="D51" s="466">
        <f>10000</f>
        <v>10000</v>
      </c>
      <c r="E51" s="466">
        <f>10000</f>
        <v>10000</v>
      </c>
      <c r="F51" s="466">
        <f>10000</f>
        <v>10000</v>
      </c>
      <c r="G51" s="466">
        <f>10000</f>
        <v>10000</v>
      </c>
      <c r="H51" s="466">
        <f>10000+7000000</f>
        <v>7010000</v>
      </c>
      <c r="I51" s="466">
        <f>10000</f>
        <v>10000</v>
      </c>
      <c r="J51" s="466">
        <f>10000</f>
        <v>10000</v>
      </c>
      <c r="K51" s="466">
        <f>10000</f>
        <v>10000</v>
      </c>
      <c r="L51" s="466">
        <f>10000</f>
        <v>10000</v>
      </c>
      <c r="M51" s="466"/>
      <c r="N51" s="466"/>
      <c r="O51" s="467">
        <f t="shared" si="11"/>
        <v>7100000</v>
      </c>
    </row>
    <row r="52" spans="1:15" s="468" customFormat="1" ht="22.5" customHeight="1">
      <c r="A52" s="464" t="s">
        <v>20</v>
      </c>
      <c r="B52" s="465" t="s">
        <v>371</v>
      </c>
      <c r="C52" s="466"/>
      <c r="D52" s="466">
        <v>505503</v>
      </c>
      <c r="E52" s="466"/>
      <c r="F52" s="466"/>
      <c r="G52" s="466"/>
      <c r="H52" s="466"/>
      <c r="I52" s="466"/>
      <c r="J52" s="466"/>
      <c r="K52" s="466"/>
      <c r="L52" s="466"/>
      <c r="M52" s="466"/>
      <c r="N52" s="466"/>
      <c r="O52" s="467">
        <f t="shared" si="11"/>
        <v>505503</v>
      </c>
    </row>
    <row r="53" spans="1:15" s="468" customFormat="1" ht="22.5" customHeight="1">
      <c r="A53" s="464" t="s">
        <v>21</v>
      </c>
      <c r="B53" s="465" t="s">
        <v>403</v>
      </c>
      <c r="C53" s="466"/>
      <c r="D53" s="466"/>
      <c r="E53" s="466"/>
      <c r="F53" s="466"/>
      <c r="G53" s="466"/>
      <c r="H53" s="466"/>
      <c r="I53" s="466"/>
      <c r="J53" s="466"/>
      <c r="K53" s="466"/>
      <c r="L53" s="466"/>
      <c r="M53" s="466"/>
      <c r="N53" s="466"/>
      <c r="O53" s="467">
        <f t="shared" si="11"/>
        <v>0</v>
      </c>
    </row>
    <row r="54" spans="1:15" s="468" customFormat="1" ht="22.5" customHeight="1" thickBot="1">
      <c r="A54" s="464" t="s">
        <v>22</v>
      </c>
      <c r="B54" s="465" t="s">
        <v>9</v>
      </c>
      <c r="C54" s="466">
        <v>541000000</v>
      </c>
      <c r="D54" s="466"/>
      <c r="E54" s="466">
        <f>475499</f>
        <v>475499</v>
      </c>
      <c r="F54" s="466"/>
      <c r="G54" s="466"/>
      <c r="H54" s="466"/>
      <c r="I54" s="466"/>
      <c r="J54" s="466"/>
      <c r="K54" s="466"/>
      <c r="L54" s="466"/>
      <c r="M54" s="466"/>
      <c r="N54" s="466"/>
      <c r="O54" s="467">
        <f t="shared" si="11"/>
        <v>541475499</v>
      </c>
    </row>
    <row r="55" spans="1:15" s="473" customFormat="1" ht="15.95" customHeight="1" thickBot="1">
      <c r="A55" s="469"/>
      <c r="B55" s="470" t="s">
        <v>104</v>
      </c>
      <c r="C55" s="471">
        <f t="shared" ref="C55:N55" si="13">SUM(C46:C54)</f>
        <v>572670086</v>
      </c>
      <c r="D55" s="471">
        <f t="shared" si="13"/>
        <v>31809472</v>
      </c>
      <c r="E55" s="471">
        <f t="shared" si="13"/>
        <v>50039355.999999993</v>
      </c>
      <c r="F55" s="471">
        <f t="shared" si="13"/>
        <v>38302935</v>
      </c>
      <c r="G55" s="471">
        <f t="shared" si="13"/>
        <v>35367661</v>
      </c>
      <c r="H55" s="471">
        <f t="shared" si="13"/>
        <v>54522781</v>
      </c>
      <c r="I55" s="471">
        <f t="shared" si="13"/>
        <v>84747126</v>
      </c>
      <c r="J55" s="471">
        <f t="shared" si="13"/>
        <v>119611555</v>
      </c>
      <c r="K55" s="471">
        <f t="shared" si="13"/>
        <v>69500716</v>
      </c>
      <c r="L55" s="471">
        <f t="shared" si="13"/>
        <v>35217126</v>
      </c>
      <c r="M55" s="471">
        <f t="shared" si="13"/>
        <v>35206126</v>
      </c>
      <c r="N55" s="471">
        <f t="shared" si="13"/>
        <v>35206376</v>
      </c>
      <c r="O55" s="472">
        <f t="shared" si="11"/>
        <v>1162201316</v>
      </c>
    </row>
    <row r="56" spans="1:15" s="473" customFormat="1" ht="15.95" customHeight="1">
      <c r="A56" s="474"/>
      <c r="B56" s="475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</row>
    <row r="57" spans="1:15" s="473" customFormat="1" ht="15.95" customHeight="1">
      <c r="A57" s="477"/>
      <c r="B57" s="478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</row>
    <row r="58" spans="1:15" s="463" customFormat="1" ht="15" customHeight="1" thickBot="1">
      <c r="A58" s="480"/>
      <c r="B58" s="854" t="s">
        <v>52</v>
      </c>
      <c r="C58" s="855"/>
      <c r="D58" s="855"/>
      <c r="E58" s="855"/>
      <c r="F58" s="855"/>
      <c r="G58" s="855"/>
      <c r="H58" s="855"/>
      <c r="I58" s="855"/>
      <c r="J58" s="855"/>
      <c r="K58" s="855"/>
      <c r="L58" s="855"/>
      <c r="M58" s="855"/>
      <c r="N58" s="855"/>
      <c r="O58" s="856"/>
    </row>
    <row r="59" spans="1:15" s="468" customFormat="1" ht="22.5" customHeight="1">
      <c r="A59" s="464" t="s">
        <v>14</v>
      </c>
      <c r="B59" s="465" t="s">
        <v>57</v>
      </c>
      <c r="C59" s="466">
        <f>289590+5296811+5</f>
        <v>5586406</v>
      </c>
      <c r="D59" s="466">
        <f>289590+5296811</f>
        <v>5586401</v>
      </c>
      <c r="E59" s="466">
        <f>5296811+775698+4647201-1006323</f>
        <v>9713387</v>
      </c>
      <c r="F59" s="466">
        <f>5296811</f>
        <v>5296811</v>
      </c>
      <c r="G59" s="466">
        <f>5296811</f>
        <v>5296811</v>
      </c>
      <c r="H59" s="466">
        <f>5296811</f>
        <v>5296811</v>
      </c>
      <c r="I59" s="466">
        <f>6877200+5296811</f>
        <v>12174011</v>
      </c>
      <c r="J59" s="466">
        <f>6877200+5296811</f>
        <v>12174011</v>
      </c>
      <c r="K59" s="466">
        <f>5296811</f>
        <v>5296811</v>
      </c>
      <c r="L59" s="466">
        <f>5296811</f>
        <v>5296811</v>
      </c>
      <c r="M59" s="466">
        <f>3144000+5296811</f>
        <v>8440811</v>
      </c>
      <c r="N59" s="466">
        <f>5296811</f>
        <v>5296811</v>
      </c>
      <c r="O59" s="467">
        <f>SUM(C59:N59)</f>
        <v>85455893</v>
      </c>
    </row>
    <row r="60" spans="1:15" s="468" customFormat="1" ht="22.5" customHeight="1">
      <c r="A60" s="464" t="s">
        <v>15</v>
      </c>
      <c r="B60" s="465" t="s">
        <v>172</v>
      </c>
      <c r="C60" s="466">
        <f>23847+1136734-5</f>
        <v>1160576</v>
      </c>
      <c r="D60" s="466">
        <f>23847+1136734</f>
        <v>1160581</v>
      </c>
      <c r="E60" s="466">
        <f>1136734+75631+453102-98116</f>
        <v>1567351</v>
      </c>
      <c r="F60" s="466">
        <f>1136734</f>
        <v>1136734</v>
      </c>
      <c r="G60" s="466">
        <f>1136734</f>
        <v>1136734</v>
      </c>
      <c r="H60" s="466">
        <f>1136734</f>
        <v>1136734</v>
      </c>
      <c r="I60" s="466">
        <f>1415772+1136734</f>
        <v>2552506</v>
      </c>
      <c r="J60" s="466">
        <f>1415772+1136734</f>
        <v>2552506</v>
      </c>
      <c r="K60" s="466">
        <f>1136734</f>
        <v>1136734</v>
      </c>
      <c r="L60" s="466">
        <f>1136734</f>
        <v>1136734</v>
      </c>
      <c r="M60" s="466">
        <f>613080+1136734</f>
        <v>1749814</v>
      </c>
      <c r="N60" s="466">
        <f>1136734</f>
        <v>1136734</v>
      </c>
      <c r="O60" s="467">
        <f>SUM(C60:N60)</f>
        <v>17563738</v>
      </c>
    </row>
    <row r="61" spans="1:15" s="468" customFormat="1" ht="22.5" customHeight="1">
      <c r="A61" s="464" t="s">
        <v>16</v>
      </c>
      <c r="B61" s="465" t="s">
        <v>131</v>
      </c>
      <c r="C61" s="466">
        <f>17138605+3295558-2</f>
        <v>20434161</v>
      </c>
      <c r="D61" s="466">
        <f>17138605+1056000+1270000+3295558</f>
        <v>22760163</v>
      </c>
      <c r="E61" s="466">
        <f>17138605+900000+7600000+700000+2625000+3295558+32345+215957-127000</f>
        <v>32380465</v>
      </c>
      <c r="F61" s="466">
        <f>9566169+17138605+3295558</f>
        <v>30000332</v>
      </c>
      <c r="G61" s="466">
        <f>9566169+17138605+3295558+650000</f>
        <v>30650332</v>
      </c>
      <c r="H61" s="466">
        <f>17138605+29379062+3295558</f>
        <v>49813225</v>
      </c>
      <c r="I61" s="466">
        <f>150000+533400+29379062+3295558</f>
        <v>33358020</v>
      </c>
      <c r="J61" s="466">
        <f>150000+29379062+3295558-4000000</f>
        <v>28824620</v>
      </c>
      <c r="K61" s="466">
        <f>3295558</f>
        <v>3295558</v>
      </c>
      <c r="L61" s="466">
        <f>3295558</f>
        <v>3295558</v>
      </c>
      <c r="M61" s="466">
        <f>3295558</f>
        <v>3295558</v>
      </c>
      <c r="N61" s="466">
        <f>2540000+3295558</f>
        <v>5835558</v>
      </c>
      <c r="O61" s="467">
        <f>SUM(C61:N61)</f>
        <v>263943550</v>
      </c>
    </row>
    <row r="62" spans="1:15" s="468" customFormat="1" ht="22.5" customHeight="1">
      <c r="A62" s="464" t="s">
        <v>17</v>
      </c>
      <c r="B62" s="465" t="s">
        <v>173</v>
      </c>
      <c r="C62" s="466">
        <f t="shared" ref="C62:I62" si="14">352500</f>
        <v>352500</v>
      </c>
      <c r="D62" s="466">
        <f t="shared" si="14"/>
        <v>352500</v>
      </c>
      <c r="E62" s="466">
        <f t="shared" si="14"/>
        <v>352500</v>
      </c>
      <c r="F62" s="466">
        <f t="shared" si="14"/>
        <v>352500</v>
      </c>
      <c r="G62" s="466">
        <f t="shared" si="14"/>
        <v>352500</v>
      </c>
      <c r="H62" s="466">
        <f t="shared" si="14"/>
        <v>352500</v>
      </c>
      <c r="I62" s="466">
        <f t="shared" si="14"/>
        <v>352500</v>
      </c>
      <c r="J62" s="466">
        <f>50000+900000+352500</f>
        <v>1302500</v>
      </c>
      <c r="K62" s="466">
        <f>900000+352500</f>
        <v>1252500</v>
      </c>
      <c r="L62" s="466">
        <f>1200000+352500</f>
        <v>1552500</v>
      </c>
      <c r="M62" s="466">
        <f>50000+352500</f>
        <v>402500</v>
      </c>
      <c r="N62" s="466">
        <f>352500</f>
        <v>352500</v>
      </c>
      <c r="O62" s="467">
        <f>SUM(C62:N62)</f>
        <v>7330000</v>
      </c>
    </row>
    <row r="63" spans="1:15" s="468" customFormat="1" ht="22.5" customHeight="1">
      <c r="A63" s="464" t="s">
        <v>18</v>
      </c>
      <c r="B63" s="465" t="s">
        <v>623</v>
      </c>
      <c r="C63" s="466">
        <f>500000</f>
        <v>500000</v>
      </c>
      <c r="D63" s="466">
        <v>505503</v>
      </c>
      <c r="E63" s="466">
        <f>2886754+64975</f>
        <v>2951729</v>
      </c>
      <c r="F63" s="466"/>
      <c r="G63" s="466"/>
      <c r="H63" s="466">
        <f>500000</f>
        <v>500000</v>
      </c>
      <c r="I63" s="466"/>
      <c r="J63" s="466"/>
      <c r="K63" s="466"/>
      <c r="L63" s="466"/>
      <c r="M63" s="466"/>
      <c r="N63" s="466"/>
      <c r="O63" s="467">
        <f>SUM(C63:N63)</f>
        <v>4457232</v>
      </c>
    </row>
    <row r="64" spans="1:15" s="468" customFormat="1" ht="22.5" customHeight="1">
      <c r="A64" s="464" t="s">
        <v>19</v>
      </c>
      <c r="B64" s="465" t="s">
        <v>591</v>
      </c>
      <c r="C64" s="466">
        <f>525000+10259988-4</f>
        <v>10784984</v>
      </c>
      <c r="D64" s="466">
        <f>10259988</f>
        <v>10259988</v>
      </c>
      <c r="E64" s="466">
        <f>1840500+595000+10259988-700000</f>
        <v>11995488</v>
      </c>
      <c r="F64" s="466">
        <f>10259988</f>
        <v>10259988</v>
      </c>
      <c r="G64" s="466">
        <f>10259988</f>
        <v>10259988</v>
      </c>
      <c r="H64" s="466">
        <f>100000+10259988</f>
        <v>10359988</v>
      </c>
      <c r="I64" s="466">
        <f>1500000+10259988</f>
        <v>11759988</v>
      </c>
      <c r="J64" s="466">
        <f>525000+1840500+595000+10259988</f>
        <v>13220488</v>
      </c>
      <c r="K64" s="466">
        <f>10259988</f>
        <v>10259988</v>
      </c>
      <c r="L64" s="466">
        <f>10259988</f>
        <v>10259988</v>
      </c>
      <c r="M64" s="466">
        <f>10259988</f>
        <v>10259988</v>
      </c>
      <c r="N64" s="466">
        <f>10259988</f>
        <v>10259988</v>
      </c>
      <c r="O64" s="467">
        <f t="shared" ref="O64:O71" si="15">SUM(C64:N64)</f>
        <v>129940852</v>
      </c>
    </row>
    <row r="65" spans="1:15" s="468" customFormat="1" ht="22.5" customHeight="1">
      <c r="A65" s="464" t="s">
        <v>20</v>
      </c>
      <c r="B65" s="465" t="s">
        <v>592</v>
      </c>
      <c r="C65" s="466"/>
      <c r="D65" s="466"/>
      <c r="E65" s="466">
        <f>17625000+1440000</f>
        <v>19065000</v>
      </c>
      <c r="F65" s="466"/>
      <c r="G65" s="466"/>
      <c r="H65" s="466"/>
      <c r="I65" s="466"/>
      <c r="J65" s="466">
        <f>23000000</f>
        <v>23000000</v>
      </c>
      <c r="K65" s="466"/>
      <c r="L65" s="466"/>
      <c r="M65" s="466"/>
      <c r="N65" s="466"/>
      <c r="O65" s="467">
        <f t="shared" si="15"/>
        <v>42065000</v>
      </c>
    </row>
    <row r="66" spans="1:15" s="468" customFormat="1" ht="22.5" customHeight="1">
      <c r="A66" s="464" t="s">
        <v>21</v>
      </c>
      <c r="B66" s="465" t="s">
        <v>554</v>
      </c>
      <c r="C66" s="466"/>
      <c r="D66" s="466"/>
      <c r="E66" s="466">
        <f>267920+344876+8520000+7313613+475499-2886754-64975</f>
        <v>13970179</v>
      </c>
      <c r="F66" s="466"/>
      <c r="G66" s="466"/>
      <c r="H66" s="466"/>
      <c r="I66" s="466"/>
      <c r="J66" s="466"/>
      <c r="K66" s="466"/>
      <c r="L66" s="466"/>
      <c r="M66" s="466"/>
      <c r="N66" s="466">
        <v>33170228</v>
      </c>
      <c r="O66" s="467">
        <f t="shared" si="15"/>
        <v>47140407</v>
      </c>
    </row>
    <row r="67" spans="1:15" s="468" customFormat="1" ht="22.5" customHeight="1">
      <c r="A67" s="464" t="s">
        <v>22</v>
      </c>
      <c r="B67" s="465" t="s">
        <v>217</v>
      </c>
      <c r="C67" s="466">
        <f>20429850</f>
        <v>20429850</v>
      </c>
      <c r="D67" s="466">
        <f>1143000+127000+20429850</f>
        <v>21699850</v>
      </c>
      <c r="E67" s="466">
        <f>7556989+20429850-317500-14627225+127000</f>
        <v>13169114</v>
      </c>
      <c r="F67" s="466">
        <f>7556990+622554+20429850</f>
        <v>28609394</v>
      </c>
      <c r="G67" s="466">
        <f>1905000+14627225+16510000+20429850</f>
        <v>53472075</v>
      </c>
      <c r="H67" s="466">
        <f>2671233+20429850+7</f>
        <v>23101090</v>
      </c>
      <c r="I67" s="466">
        <f>762000+533400+2671233+20429850</f>
        <v>24396483</v>
      </c>
      <c r="J67" s="466">
        <f>2671233+20429850</f>
        <v>23101083</v>
      </c>
      <c r="K67" s="466">
        <f>20429850</f>
        <v>20429850</v>
      </c>
      <c r="L67" s="466">
        <f>20429850</f>
        <v>20429850</v>
      </c>
      <c r="M67" s="466">
        <f>20429850</f>
        <v>20429850</v>
      </c>
      <c r="N67" s="466">
        <f>20429850</f>
        <v>20429850</v>
      </c>
      <c r="O67" s="467">
        <f t="shared" si="15"/>
        <v>289698339</v>
      </c>
    </row>
    <row r="68" spans="1:15" s="468" customFormat="1" ht="22.5" customHeight="1">
      <c r="A68" s="464" t="s">
        <v>23</v>
      </c>
      <c r="B68" s="465" t="s">
        <v>176</v>
      </c>
      <c r="C68" s="466">
        <f>7391575</f>
        <v>7391575</v>
      </c>
      <c r="D68" s="466">
        <f>7391575</f>
        <v>7391575</v>
      </c>
      <c r="E68" s="466">
        <f>317500+7391575-3+317500</f>
        <v>8026572</v>
      </c>
      <c r="F68" s="466">
        <f>254000+7391575</f>
        <v>7645575</v>
      </c>
      <c r="G68" s="466">
        <f t="shared" ref="G68:N68" si="16">7391575</f>
        <v>7391575</v>
      </c>
      <c r="H68" s="466">
        <f t="shared" si="16"/>
        <v>7391575</v>
      </c>
      <c r="I68" s="466">
        <f t="shared" si="16"/>
        <v>7391575</v>
      </c>
      <c r="J68" s="466">
        <f t="shared" si="16"/>
        <v>7391575</v>
      </c>
      <c r="K68" s="466">
        <f t="shared" si="16"/>
        <v>7391575</v>
      </c>
      <c r="L68" s="466">
        <f t="shared" si="16"/>
        <v>7391575</v>
      </c>
      <c r="M68" s="466">
        <f t="shared" si="16"/>
        <v>7391575</v>
      </c>
      <c r="N68" s="466">
        <f t="shared" si="16"/>
        <v>7391575</v>
      </c>
      <c r="O68" s="467">
        <f t="shared" si="15"/>
        <v>89587897</v>
      </c>
    </row>
    <row r="69" spans="1:15" s="468" customFormat="1" ht="22.5" customHeight="1">
      <c r="A69" s="464" t="s">
        <v>24</v>
      </c>
      <c r="B69" s="465" t="s">
        <v>219</v>
      </c>
      <c r="C69" s="466"/>
      <c r="D69" s="466"/>
      <c r="E69" s="466">
        <f>600000+50000</f>
        <v>650000</v>
      </c>
      <c r="F69" s="466"/>
      <c r="G69" s="466"/>
      <c r="H69" s="466"/>
      <c r="I69" s="466"/>
      <c r="J69" s="466"/>
      <c r="K69" s="466"/>
      <c r="L69" s="466"/>
      <c r="M69" s="466"/>
      <c r="N69" s="466"/>
      <c r="O69" s="467">
        <f t="shared" si="15"/>
        <v>650000</v>
      </c>
    </row>
    <row r="70" spans="1:15" s="468" customFormat="1" ht="22.5" customHeight="1" thickBot="1">
      <c r="A70" s="464" t="s">
        <v>25</v>
      </c>
      <c r="B70" s="465" t="s">
        <v>10</v>
      </c>
      <c r="C70" s="466">
        <f>(176260688/12)+8107720</f>
        <v>22796110.666666664</v>
      </c>
      <c r="D70" s="466">
        <f t="shared" ref="D70:N70" si="17">(176260688/12)</f>
        <v>14688390.666666666</v>
      </c>
      <c r="E70" s="466">
        <f t="shared" si="17"/>
        <v>14688390.666666666</v>
      </c>
      <c r="F70" s="466">
        <f t="shared" si="17"/>
        <v>14688390.666666666</v>
      </c>
      <c r="G70" s="466">
        <f t="shared" si="17"/>
        <v>14688390.666666666</v>
      </c>
      <c r="H70" s="466">
        <f t="shared" si="17"/>
        <v>14688390.666666666</v>
      </c>
      <c r="I70" s="466">
        <f t="shared" si="17"/>
        <v>14688390.666666666</v>
      </c>
      <c r="J70" s="466">
        <f t="shared" si="17"/>
        <v>14688390.666666666</v>
      </c>
      <c r="K70" s="466">
        <f t="shared" si="17"/>
        <v>14688390.666666666</v>
      </c>
      <c r="L70" s="466">
        <f t="shared" si="17"/>
        <v>14688390.666666666</v>
      </c>
      <c r="M70" s="466">
        <f t="shared" si="17"/>
        <v>14688390.666666666</v>
      </c>
      <c r="N70" s="466">
        <f t="shared" si="17"/>
        <v>14688390.666666666</v>
      </c>
      <c r="O70" s="467">
        <f t="shared" si="15"/>
        <v>184368407.99999997</v>
      </c>
    </row>
    <row r="71" spans="1:15" s="473" customFormat="1" ht="15.95" customHeight="1" thickBot="1">
      <c r="A71" s="469"/>
      <c r="B71" s="470" t="s">
        <v>105</v>
      </c>
      <c r="C71" s="471">
        <f t="shared" ref="C71:N71" si="18">SUM(C59:C70)</f>
        <v>89436162.666666657</v>
      </c>
      <c r="D71" s="471">
        <f t="shared" si="18"/>
        <v>84404951.666666672</v>
      </c>
      <c r="E71" s="471">
        <f t="shared" si="18"/>
        <v>128530175.66666667</v>
      </c>
      <c r="F71" s="471">
        <f t="shared" si="18"/>
        <v>97989724.666666672</v>
      </c>
      <c r="G71" s="471">
        <f t="shared" si="18"/>
        <v>123248405.66666667</v>
      </c>
      <c r="H71" s="471">
        <f t="shared" si="18"/>
        <v>112640313.66666667</v>
      </c>
      <c r="I71" s="471">
        <f t="shared" si="18"/>
        <v>106673473.66666667</v>
      </c>
      <c r="J71" s="471">
        <f t="shared" si="18"/>
        <v>126255173.66666667</v>
      </c>
      <c r="K71" s="471">
        <f t="shared" si="18"/>
        <v>63751406.666666664</v>
      </c>
      <c r="L71" s="471">
        <f t="shared" si="18"/>
        <v>64051406.666666664</v>
      </c>
      <c r="M71" s="471">
        <f t="shared" si="18"/>
        <v>66658486.666666664</v>
      </c>
      <c r="N71" s="471">
        <f t="shared" si="18"/>
        <v>98561634.666666672</v>
      </c>
      <c r="O71" s="472">
        <f t="shared" si="15"/>
        <v>1162201315.9999998</v>
      </c>
    </row>
    <row r="72" spans="1:15" s="473" customFormat="1" ht="15.95" customHeight="1" thickBot="1">
      <c r="A72" s="481"/>
      <c r="B72" s="482"/>
      <c r="C72" s="483"/>
      <c r="D72" s="483"/>
      <c r="E72" s="483"/>
      <c r="F72" s="483"/>
      <c r="G72" s="483"/>
      <c r="H72" s="483"/>
      <c r="I72" s="483"/>
      <c r="J72" s="483"/>
      <c r="K72" s="483"/>
      <c r="L72" s="483"/>
      <c r="M72" s="483"/>
      <c r="N72" s="483"/>
      <c r="O72" s="483"/>
    </row>
    <row r="73" spans="1:15" ht="16.5" thickBot="1">
      <c r="A73" s="469"/>
      <c r="B73" s="470" t="s">
        <v>106</v>
      </c>
      <c r="C73" s="471">
        <f t="shared" ref="C73:O73" si="19">C55-C71</f>
        <v>483233923.33333337</v>
      </c>
      <c r="D73" s="471">
        <f t="shared" si="19"/>
        <v>-52595479.666666672</v>
      </c>
      <c r="E73" s="471">
        <f t="shared" si="19"/>
        <v>-78490819.666666687</v>
      </c>
      <c r="F73" s="471">
        <f t="shared" si="19"/>
        <v>-59686789.666666672</v>
      </c>
      <c r="G73" s="471">
        <f t="shared" si="19"/>
        <v>-87880744.666666672</v>
      </c>
      <c r="H73" s="471">
        <f t="shared" si="19"/>
        <v>-58117532.666666672</v>
      </c>
      <c r="I73" s="471">
        <f t="shared" si="19"/>
        <v>-21926347.666666672</v>
      </c>
      <c r="J73" s="471">
        <f t="shared" si="19"/>
        <v>-6643618.6666666716</v>
      </c>
      <c r="K73" s="471">
        <f t="shared" si="19"/>
        <v>5749309.3333333358</v>
      </c>
      <c r="L73" s="471">
        <f t="shared" si="19"/>
        <v>-28834280.666666664</v>
      </c>
      <c r="M73" s="471">
        <f t="shared" si="19"/>
        <v>-31452360.666666664</v>
      </c>
      <c r="N73" s="471">
        <f t="shared" si="19"/>
        <v>-63355258.666666672</v>
      </c>
      <c r="O73" s="472">
        <f t="shared" si="19"/>
        <v>0</v>
      </c>
    </row>
    <row r="76" spans="1:15" ht="20.25" customHeight="1">
      <c r="A76" s="852" t="s">
        <v>687</v>
      </c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</row>
    <row r="77" spans="1:15" ht="21" customHeight="1">
      <c r="A77" s="852" t="s">
        <v>720</v>
      </c>
      <c r="B77" s="852"/>
      <c r="C77" s="852"/>
      <c r="D77" s="852"/>
      <c r="E77" s="852"/>
      <c r="F77" s="852"/>
      <c r="G77" s="852"/>
      <c r="H77" s="852"/>
      <c r="I77" s="852"/>
      <c r="J77" s="852"/>
      <c r="K77" s="852"/>
      <c r="L77" s="852"/>
      <c r="M77" s="852"/>
      <c r="N77" s="852"/>
      <c r="O77" s="852"/>
    </row>
    <row r="78" spans="1:15" ht="21" customHeight="1">
      <c r="A78" s="458"/>
      <c r="B78" s="458"/>
      <c r="C78" s="458"/>
      <c r="D78" s="458"/>
      <c r="E78" s="458"/>
      <c r="F78" s="458"/>
      <c r="G78" s="458"/>
      <c r="H78" s="458"/>
      <c r="I78" s="458"/>
      <c r="J78" s="458"/>
      <c r="K78" s="458"/>
      <c r="L78" s="458"/>
      <c r="M78" s="458"/>
      <c r="N78" s="458"/>
      <c r="O78" s="458"/>
    </row>
    <row r="79" spans="1:15" ht="16.5" thickBot="1">
      <c r="O79" s="449" t="s">
        <v>581</v>
      </c>
    </row>
    <row r="80" spans="1:15" s="391" customFormat="1" ht="31.5" customHeight="1" thickBot="1">
      <c r="A80" s="459" t="s">
        <v>12</v>
      </c>
      <c r="B80" s="460" t="s">
        <v>56</v>
      </c>
      <c r="C80" s="460" t="s">
        <v>68</v>
      </c>
      <c r="D80" s="460" t="s">
        <v>69</v>
      </c>
      <c r="E80" s="460" t="s">
        <v>70</v>
      </c>
      <c r="F80" s="460" t="s">
        <v>71</v>
      </c>
      <c r="G80" s="460" t="s">
        <v>72</v>
      </c>
      <c r="H80" s="460" t="s">
        <v>73</v>
      </c>
      <c r="I80" s="460" t="s">
        <v>74</v>
      </c>
      <c r="J80" s="460" t="s">
        <v>75</v>
      </c>
      <c r="K80" s="460" t="s">
        <v>76</v>
      </c>
      <c r="L80" s="460" t="s">
        <v>77</v>
      </c>
      <c r="M80" s="460" t="s">
        <v>78</v>
      </c>
      <c r="N80" s="460" t="s">
        <v>79</v>
      </c>
      <c r="O80" s="461" t="s">
        <v>46</v>
      </c>
    </row>
    <row r="81" spans="1:15" s="463" customFormat="1" ht="15" customHeight="1" thickBot="1">
      <c r="A81" s="462"/>
      <c r="B81" s="849" t="s">
        <v>51</v>
      </c>
      <c r="C81" s="850"/>
      <c r="D81" s="850"/>
      <c r="E81" s="850"/>
      <c r="F81" s="850"/>
      <c r="G81" s="850"/>
      <c r="H81" s="850"/>
      <c r="I81" s="850"/>
      <c r="J81" s="850"/>
      <c r="K81" s="850"/>
      <c r="L81" s="850"/>
      <c r="M81" s="850"/>
      <c r="N81" s="850"/>
      <c r="O81" s="851"/>
    </row>
    <row r="82" spans="1:15" s="468" customFormat="1" ht="22.5" customHeight="1">
      <c r="A82" s="464" t="s">
        <v>14</v>
      </c>
      <c r="B82" s="465" t="s">
        <v>369</v>
      </c>
      <c r="C82" s="466">
        <f>223966276/12</f>
        <v>18663856.333333332</v>
      </c>
      <c r="D82" s="466">
        <f t="shared" ref="D82:N82" si="20">223966276/12</f>
        <v>18663856.333333332</v>
      </c>
      <c r="E82" s="466">
        <f>223966276/12+267920+344876+8520000</f>
        <v>27796652.333333332</v>
      </c>
      <c r="F82" s="466">
        <f t="shared" si="20"/>
        <v>18663856.333333332</v>
      </c>
      <c r="G82" s="466">
        <f t="shared" si="20"/>
        <v>18663856.333333332</v>
      </c>
      <c r="H82" s="466">
        <f>223966276/12+519000+236721+335241+363642</f>
        <v>20118460.333333332</v>
      </c>
      <c r="I82" s="466">
        <f t="shared" si="20"/>
        <v>18663856.333333332</v>
      </c>
      <c r="J82" s="466">
        <f t="shared" si="20"/>
        <v>18663856.333333332</v>
      </c>
      <c r="K82" s="466">
        <f t="shared" si="20"/>
        <v>18663856.333333332</v>
      </c>
      <c r="L82" s="466">
        <f t="shared" si="20"/>
        <v>18663856.333333332</v>
      </c>
      <c r="M82" s="466">
        <f t="shared" si="20"/>
        <v>18663856.333333332</v>
      </c>
      <c r="N82" s="466">
        <f t="shared" si="20"/>
        <v>18663856.333333332</v>
      </c>
      <c r="O82" s="467">
        <f t="shared" ref="O82:O91" si="21">SUM(C82:N82)</f>
        <v>234553676.00000003</v>
      </c>
    </row>
    <row r="83" spans="1:15" s="468" customFormat="1" ht="22.5" customHeight="1">
      <c r="A83" s="464" t="s">
        <v>15</v>
      </c>
      <c r="B83" s="465" t="s">
        <v>591</v>
      </c>
      <c r="C83" s="466">
        <f>89479+505300+227619-2</f>
        <v>822396</v>
      </c>
      <c r="D83" s="466">
        <f>89479+505300+306000</f>
        <v>900779</v>
      </c>
      <c r="E83" s="466">
        <f>4269996+38640+150535+505300+695378+4151815</f>
        <v>9811664</v>
      </c>
      <c r="F83" s="466">
        <f>4269996+38640+150535+505300</f>
        <v>4964471</v>
      </c>
      <c r="G83" s="466">
        <f>4269996+38640+150535+505300</f>
        <v>4964471</v>
      </c>
      <c r="H83" s="466">
        <f>4269996+38640+505300+139498+3337921+316358</f>
        <v>8607713</v>
      </c>
      <c r="I83" s="466">
        <f>4269996+38640+505300</f>
        <v>4813936</v>
      </c>
      <c r="J83" s="466">
        <f>4269996+38640+505300+23000000</f>
        <v>27813936</v>
      </c>
      <c r="K83" s="466">
        <f>4269996+38640+505300+1639729+112502</f>
        <v>6566167</v>
      </c>
      <c r="L83" s="466">
        <f>4269996+38640+505300</f>
        <v>4813936</v>
      </c>
      <c r="M83" s="466">
        <f>4269996+38640+505300</f>
        <v>4813936</v>
      </c>
      <c r="N83" s="466">
        <f>4269996+38640+505300</f>
        <v>4813936</v>
      </c>
      <c r="O83" s="467">
        <f t="shared" si="21"/>
        <v>83707341</v>
      </c>
    </row>
    <row r="84" spans="1:15" s="468" customFormat="1" ht="22.5" customHeight="1">
      <c r="A84" s="464" t="s">
        <v>16</v>
      </c>
      <c r="B84" s="465" t="s">
        <v>590</v>
      </c>
      <c r="C84" s="466"/>
      <c r="D84" s="466"/>
      <c r="E84" s="466">
        <f>7313612-7313612</f>
        <v>0</v>
      </c>
      <c r="F84" s="466"/>
      <c r="G84" s="466"/>
      <c r="H84" s="466"/>
      <c r="I84" s="466"/>
      <c r="J84" s="466"/>
      <c r="K84" s="466">
        <f>39844721-7313612</f>
        <v>32531109</v>
      </c>
      <c r="L84" s="466"/>
      <c r="M84" s="466"/>
      <c r="N84" s="466"/>
      <c r="O84" s="467">
        <f t="shared" si="21"/>
        <v>32531109</v>
      </c>
    </row>
    <row r="85" spans="1:15" s="468" customFormat="1" ht="22.5" customHeight="1">
      <c r="A85" s="464" t="s">
        <v>17</v>
      </c>
      <c r="B85" s="465" t="s">
        <v>163</v>
      </c>
      <c r="C85" s="466">
        <f>136700000/12</f>
        <v>11391666.666666666</v>
      </c>
      <c r="D85" s="466">
        <f t="shared" ref="D85:N85" si="22">136700000/12</f>
        <v>11391666.666666666</v>
      </c>
      <c r="E85" s="466">
        <f>136700000/12</f>
        <v>11391666.666666666</v>
      </c>
      <c r="F85" s="466">
        <f t="shared" si="22"/>
        <v>11391666.666666666</v>
      </c>
      <c r="G85" s="466">
        <f t="shared" si="22"/>
        <v>11391666.666666666</v>
      </c>
      <c r="H85" s="466">
        <f t="shared" si="22"/>
        <v>11391666.666666666</v>
      </c>
      <c r="I85" s="466">
        <f t="shared" si="22"/>
        <v>11391666.666666666</v>
      </c>
      <c r="J85" s="466">
        <f t="shared" si="22"/>
        <v>11391666.666666666</v>
      </c>
      <c r="K85" s="466">
        <f t="shared" si="22"/>
        <v>11391666.666666666</v>
      </c>
      <c r="L85" s="466">
        <f t="shared" si="22"/>
        <v>11391666.666666666</v>
      </c>
      <c r="M85" s="466">
        <f t="shared" si="22"/>
        <v>11391666.666666666</v>
      </c>
      <c r="N85" s="466">
        <f t="shared" si="22"/>
        <v>11391666.666666666</v>
      </c>
      <c r="O85" s="467">
        <f t="shared" si="21"/>
        <v>136700000.00000003</v>
      </c>
    </row>
    <row r="86" spans="1:15" s="468" customFormat="1" ht="22.5" customHeight="1">
      <c r="A86" s="464" t="s">
        <v>18</v>
      </c>
      <c r="B86" s="465" t="s">
        <v>415</v>
      </c>
      <c r="C86" s="466">
        <f>125000+15875+21167+444500+174625+1000</f>
        <v>782167</v>
      </c>
      <c r="D86" s="466">
        <f>125000+15875+21167+174625+1000</f>
        <v>337667</v>
      </c>
      <c r="E86" s="466">
        <f>125000+250+15875+21167+174625+1000+215957</f>
        <v>553874</v>
      </c>
      <c r="F86" s="466">
        <f>125000+2928874+6400+15875+21167+174625+1000</f>
        <v>3272941</v>
      </c>
      <c r="G86" s="466">
        <f>125000+15875+21167+174625+1000</f>
        <v>337667</v>
      </c>
      <c r="H86" s="466">
        <f>125000+250+470000+15875+21167+174625+1000+7601204+3829304+404897+725120</f>
        <v>13368442</v>
      </c>
      <c r="I86" s="466">
        <f>125000+15875+21167+49530000+174625+1000</f>
        <v>49867667</v>
      </c>
      <c r="J86" s="466">
        <f>125000+15875+21167+49530000+11864429+174625+1000</f>
        <v>61732096</v>
      </c>
      <c r="K86" s="466">
        <f>125000+250+15875+21167+174625+1000</f>
        <v>337917</v>
      </c>
      <c r="L86" s="466">
        <f>125000+15875+21167+174625+1000</f>
        <v>337667</v>
      </c>
      <c r="M86" s="466">
        <f>125000+15875+21167+174625</f>
        <v>336667</v>
      </c>
      <c r="N86" s="466">
        <f>125000+250+15875+21167+174625</f>
        <v>336917</v>
      </c>
      <c r="O86" s="467">
        <f t="shared" si="21"/>
        <v>131601689</v>
      </c>
    </row>
    <row r="87" spans="1:15" s="468" customFormat="1" ht="22.5" customHeight="1">
      <c r="A87" s="464" t="s">
        <v>19</v>
      </c>
      <c r="B87" s="465" t="s">
        <v>8</v>
      </c>
      <c r="C87" s="466">
        <f>10000</f>
        <v>10000</v>
      </c>
      <c r="D87" s="466">
        <f>10000</f>
        <v>10000</v>
      </c>
      <c r="E87" s="466">
        <f>10000</f>
        <v>10000</v>
      </c>
      <c r="F87" s="466">
        <f>10000</f>
        <v>10000</v>
      </c>
      <c r="G87" s="466">
        <f>10000</f>
        <v>10000</v>
      </c>
      <c r="H87" s="466">
        <f>10000+7000000</f>
        <v>7010000</v>
      </c>
      <c r="I87" s="466">
        <f>10000</f>
        <v>10000</v>
      </c>
      <c r="J87" s="466">
        <f>10000</f>
        <v>10000</v>
      </c>
      <c r="K87" s="466">
        <f>10000</f>
        <v>10000</v>
      </c>
      <c r="L87" s="466">
        <f>10000</f>
        <v>10000</v>
      </c>
      <c r="M87" s="466"/>
      <c r="N87" s="466"/>
      <c r="O87" s="467">
        <f t="shared" si="21"/>
        <v>7100000</v>
      </c>
    </row>
    <row r="88" spans="1:15" s="468" customFormat="1" ht="22.5" customHeight="1">
      <c r="A88" s="464" t="s">
        <v>20</v>
      </c>
      <c r="B88" s="465" t="s">
        <v>371</v>
      </c>
      <c r="C88" s="466"/>
      <c r="D88" s="466">
        <v>505503</v>
      </c>
      <c r="E88" s="466"/>
      <c r="F88" s="466"/>
      <c r="G88" s="466"/>
      <c r="H88" s="466"/>
      <c r="I88" s="466"/>
      <c r="J88" s="466"/>
      <c r="K88" s="466"/>
      <c r="L88" s="466"/>
      <c r="M88" s="466"/>
      <c r="N88" s="466"/>
      <c r="O88" s="467">
        <f t="shared" si="21"/>
        <v>505503</v>
      </c>
    </row>
    <row r="89" spans="1:15" s="468" customFormat="1" ht="22.5" customHeight="1">
      <c r="A89" s="464" t="s">
        <v>21</v>
      </c>
      <c r="B89" s="465" t="s">
        <v>403</v>
      </c>
      <c r="C89" s="466"/>
      <c r="D89" s="466"/>
      <c r="E89" s="466"/>
      <c r="F89" s="466"/>
      <c r="G89" s="466"/>
      <c r="H89" s="466">
        <f>317500+635000</f>
        <v>952500</v>
      </c>
      <c r="I89" s="466"/>
      <c r="J89" s="466"/>
      <c r="K89" s="466"/>
      <c r="L89" s="466"/>
      <c r="M89" s="466"/>
      <c r="N89" s="466"/>
      <c r="O89" s="467">
        <f t="shared" si="21"/>
        <v>952500</v>
      </c>
    </row>
    <row r="90" spans="1:15" s="468" customFormat="1" ht="22.5" customHeight="1" thickBot="1">
      <c r="A90" s="464" t="s">
        <v>22</v>
      </c>
      <c r="B90" s="465" t="s">
        <v>9</v>
      </c>
      <c r="C90" s="466">
        <v>541000000</v>
      </c>
      <c r="D90" s="466"/>
      <c r="E90" s="466">
        <f>475499</f>
        <v>475499</v>
      </c>
      <c r="F90" s="466"/>
      <c r="G90" s="466"/>
      <c r="H90" s="466">
        <f>262090</f>
        <v>262090</v>
      </c>
      <c r="I90" s="466"/>
      <c r="J90" s="466"/>
      <c r="K90" s="466"/>
      <c r="L90" s="466"/>
      <c r="M90" s="466"/>
      <c r="N90" s="466"/>
      <c r="O90" s="467">
        <f t="shared" si="21"/>
        <v>541737589</v>
      </c>
    </row>
    <row r="91" spans="1:15" s="473" customFormat="1" ht="15.95" customHeight="1" thickBot="1">
      <c r="A91" s="469"/>
      <c r="B91" s="470" t="s">
        <v>104</v>
      </c>
      <c r="C91" s="471">
        <f t="shared" ref="C91:N91" si="23">SUM(C82:C90)</f>
        <v>572670086</v>
      </c>
      <c r="D91" s="471">
        <f t="shared" si="23"/>
        <v>31809472</v>
      </c>
      <c r="E91" s="471">
        <f t="shared" si="23"/>
        <v>50039355.999999993</v>
      </c>
      <c r="F91" s="471">
        <f t="shared" si="23"/>
        <v>38302935</v>
      </c>
      <c r="G91" s="471">
        <f t="shared" si="23"/>
        <v>35367661</v>
      </c>
      <c r="H91" s="471">
        <f t="shared" si="23"/>
        <v>61710872</v>
      </c>
      <c r="I91" s="471">
        <f t="shared" si="23"/>
        <v>84747126</v>
      </c>
      <c r="J91" s="471">
        <f t="shared" si="23"/>
        <v>119611555</v>
      </c>
      <c r="K91" s="471">
        <f t="shared" si="23"/>
        <v>69500716</v>
      </c>
      <c r="L91" s="471">
        <f t="shared" si="23"/>
        <v>35217126</v>
      </c>
      <c r="M91" s="471">
        <f t="shared" si="23"/>
        <v>35206126</v>
      </c>
      <c r="N91" s="471">
        <f t="shared" si="23"/>
        <v>35206376</v>
      </c>
      <c r="O91" s="472">
        <f t="shared" si="21"/>
        <v>1169389407</v>
      </c>
    </row>
    <row r="92" spans="1:15" s="473" customFormat="1" ht="15.95" customHeight="1">
      <c r="A92" s="474"/>
      <c r="B92" s="475"/>
      <c r="C92" s="476"/>
      <c r="D92" s="476"/>
      <c r="E92" s="476"/>
      <c r="F92" s="476"/>
      <c r="G92" s="476"/>
      <c r="H92" s="476"/>
      <c r="I92" s="476"/>
      <c r="J92" s="476"/>
      <c r="K92" s="476"/>
      <c r="L92" s="476"/>
      <c r="M92" s="476"/>
      <c r="N92" s="476"/>
      <c r="O92" s="476"/>
    </row>
    <row r="93" spans="1:15" s="473" customFormat="1" ht="15.95" customHeight="1">
      <c r="A93" s="477"/>
      <c r="B93" s="478"/>
      <c r="C93" s="479"/>
      <c r="D93" s="479"/>
      <c r="E93" s="479"/>
      <c r="F93" s="479"/>
      <c r="G93" s="479"/>
      <c r="H93" s="479"/>
      <c r="I93" s="479"/>
      <c r="J93" s="479"/>
      <c r="K93" s="479"/>
      <c r="L93" s="479"/>
      <c r="M93" s="479"/>
      <c r="N93" s="479"/>
      <c r="O93" s="479"/>
    </row>
    <row r="94" spans="1:15" s="463" customFormat="1" ht="15" customHeight="1" thickBot="1">
      <c r="A94" s="480"/>
      <c r="B94" s="854" t="s">
        <v>52</v>
      </c>
      <c r="C94" s="855"/>
      <c r="D94" s="855"/>
      <c r="E94" s="855"/>
      <c r="F94" s="855"/>
      <c r="G94" s="855"/>
      <c r="H94" s="855"/>
      <c r="I94" s="855"/>
      <c r="J94" s="855"/>
      <c r="K94" s="855"/>
      <c r="L94" s="855"/>
      <c r="M94" s="855"/>
      <c r="N94" s="855"/>
      <c r="O94" s="856"/>
    </row>
    <row r="95" spans="1:15" s="468" customFormat="1" ht="22.5" customHeight="1">
      <c r="A95" s="464" t="s">
        <v>14</v>
      </c>
      <c r="B95" s="465" t="s">
        <v>57</v>
      </c>
      <c r="C95" s="466">
        <f>289590+5296811+5</f>
        <v>5586406</v>
      </c>
      <c r="D95" s="466">
        <f>289590+5296811</f>
        <v>5586401</v>
      </c>
      <c r="E95" s="466">
        <f>5296811+775698+4647201-1006323</f>
        <v>9713387</v>
      </c>
      <c r="F95" s="466">
        <f>5296811</f>
        <v>5296811</v>
      </c>
      <c r="G95" s="466">
        <f>5296811</f>
        <v>5296811</v>
      </c>
      <c r="H95" s="466">
        <f>5296811+2000000</f>
        <v>7296811</v>
      </c>
      <c r="I95" s="466">
        <f>6877200+5296811</f>
        <v>12174011</v>
      </c>
      <c r="J95" s="466">
        <f>6877200+5296811</f>
        <v>12174011</v>
      </c>
      <c r="K95" s="466">
        <f>5296811</f>
        <v>5296811</v>
      </c>
      <c r="L95" s="466">
        <f>5296811</f>
        <v>5296811</v>
      </c>
      <c r="M95" s="466">
        <f>3144000+5296811</f>
        <v>8440811</v>
      </c>
      <c r="N95" s="466">
        <f>5296811</f>
        <v>5296811</v>
      </c>
      <c r="O95" s="467">
        <f>SUM(C95:N95)</f>
        <v>87455893</v>
      </c>
    </row>
    <row r="96" spans="1:15" s="468" customFormat="1" ht="22.5" customHeight="1">
      <c r="A96" s="464" t="s">
        <v>15</v>
      </c>
      <c r="B96" s="465" t="s">
        <v>172</v>
      </c>
      <c r="C96" s="466">
        <f>23847+1136734-5</f>
        <v>1160576</v>
      </c>
      <c r="D96" s="466">
        <f>23847+1136734</f>
        <v>1160581</v>
      </c>
      <c r="E96" s="466">
        <f>1136734+75631+453102-98116</f>
        <v>1567351</v>
      </c>
      <c r="F96" s="466">
        <f>1136734</f>
        <v>1136734</v>
      </c>
      <c r="G96" s="466">
        <f>1136734</f>
        <v>1136734</v>
      </c>
      <c r="H96" s="466">
        <f>1136734+390000</f>
        <v>1526734</v>
      </c>
      <c r="I96" s="466">
        <f>1415772+1136734</f>
        <v>2552506</v>
      </c>
      <c r="J96" s="466">
        <f>1415772+1136734</f>
        <v>2552506</v>
      </c>
      <c r="K96" s="466">
        <f>1136734</f>
        <v>1136734</v>
      </c>
      <c r="L96" s="466">
        <f>1136734</f>
        <v>1136734</v>
      </c>
      <c r="M96" s="466">
        <f>613080+1136734</f>
        <v>1749814</v>
      </c>
      <c r="N96" s="466">
        <f>1136734</f>
        <v>1136734</v>
      </c>
      <c r="O96" s="467">
        <f>SUM(C96:N96)</f>
        <v>17953738</v>
      </c>
    </row>
    <row r="97" spans="1:15" s="468" customFormat="1" ht="22.5" customHeight="1">
      <c r="A97" s="464" t="s">
        <v>16</v>
      </c>
      <c r="B97" s="465" t="s">
        <v>131</v>
      </c>
      <c r="C97" s="466">
        <f>17138605+3295558-2</f>
        <v>20434161</v>
      </c>
      <c r="D97" s="466">
        <f>17138605+1056000+1270000+3295558</f>
        <v>22760163</v>
      </c>
      <c r="E97" s="466">
        <f>17138605+900000+7600000+700000+2625000+3295558+32345+215957-127000</f>
        <v>32380465</v>
      </c>
      <c r="F97" s="466">
        <f>9566169+17138605+3295558</f>
        <v>30000332</v>
      </c>
      <c r="G97" s="466">
        <f>9566169+17138605+3295558+650000</f>
        <v>30650332</v>
      </c>
      <c r="H97" s="466">
        <f>17138605+29379062+3295558+5100+46000-2390000</f>
        <v>47474325</v>
      </c>
      <c r="I97" s="466">
        <f>150000+533400+29379062+3295558</f>
        <v>33358020</v>
      </c>
      <c r="J97" s="466">
        <f>150000+29379062+3295558-4000000</f>
        <v>28824620</v>
      </c>
      <c r="K97" s="466">
        <f>3295558</f>
        <v>3295558</v>
      </c>
      <c r="L97" s="466">
        <f>3295558</f>
        <v>3295558</v>
      </c>
      <c r="M97" s="466">
        <f>3295558</f>
        <v>3295558</v>
      </c>
      <c r="N97" s="466">
        <f>2540000+3295558</f>
        <v>5835558</v>
      </c>
      <c r="O97" s="467">
        <f>SUM(C97:N97)</f>
        <v>261604650</v>
      </c>
    </row>
    <row r="98" spans="1:15" s="468" customFormat="1" ht="22.5" customHeight="1">
      <c r="A98" s="464" t="s">
        <v>17</v>
      </c>
      <c r="B98" s="465" t="s">
        <v>173</v>
      </c>
      <c r="C98" s="466">
        <f t="shared" ref="C98:I98" si="24">352500</f>
        <v>352500</v>
      </c>
      <c r="D98" s="466">
        <f t="shared" si="24"/>
        <v>352500</v>
      </c>
      <c r="E98" s="466">
        <f t="shared" si="24"/>
        <v>352500</v>
      </c>
      <c r="F98" s="466">
        <f t="shared" si="24"/>
        <v>352500</v>
      </c>
      <c r="G98" s="466">
        <f t="shared" si="24"/>
        <v>352500</v>
      </c>
      <c r="H98" s="466">
        <f>352500+1440000</f>
        <v>1792500</v>
      </c>
      <c r="I98" s="466">
        <f t="shared" si="24"/>
        <v>352500</v>
      </c>
      <c r="J98" s="466">
        <f>50000+900000+352500</f>
        <v>1302500</v>
      </c>
      <c r="K98" s="466">
        <f>900000+352500</f>
        <v>1252500</v>
      </c>
      <c r="L98" s="466">
        <f>1200000+352500</f>
        <v>1552500</v>
      </c>
      <c r="M98" s="466">
        <f>50000+352500</f>
        <v>402500</v>
      </c>
      <c r="N98" s="466">
        <f>352500</f>
        <v>352500</v>
      </c>
      <c r="O98" s="467">
        <f>SUM(C98:N98)</f>
        <v>8770000</v>
      </c>
    </row>
    <row r="99" spans="1:15" s="468" customFormat="1" ht="22.5" customHeight="1">
      <c r="A99" s="464" t="s">
        <v>18</v>
      </c>
      <c r="B99" s="465" t="s">
        <v>623</v>
      </c>
      <c r="C99" s="466">
        <f>500000</f>
        <v>500000</v>
      </c>
      <c r="D99" s="466">
        <v>505503</v>
      </c>
      <c r="E99" s="466">
        <f>2886754+64975</f>
        <v>2951729</v>
      </c>
      <c r="F99" s="466"/>
      <c r="G99" s="466"/>
      <c r="H99" s="466">
        <f>500000</f>
        <v>500000</v>
      </c>
      <c r="I99" s="466"/>
      <c r="J99" s="466"/>
      <c r="K99" s="466"/>
      <c r="L99" s="466"/>
      <c r="M99" s="466"/>
      <c r="N99" s="466"/>
      <c r="O99" s="467">
        <f>SUM(C99:N99)</f>
        <v>4457232</v>
      </c>
    </row>
    <row r="100" spans="1:15" s="468" customFormat="1" ht="22.5" customHeight="1">
      <c r="A100" s="464" t="s">
        <v>19</v>
      </c>
      <c r="B100" s="465" t="s">
        <v>591</v>
      </c>
      <c r="C100" s="466">
        <f>525000+10259988-4</f>
        <v>10784984</v>
      </c>
      <c r="D100" s="466">
        <f>10259988</f>
        <v>10259988</v>
      </c>
      <c r="E100" s="466">
        <f>1840500+595000+10259988-700000</f>
        <v>11995488</v>
      </c>
      <c r="F100" s="466">
        <f>10259988</f>
        <v>10259988</v>
      </c>
      <c r="G100" s="466">
        <f>10259988</f>
        <v>10259988</v>
      </c>
      <c r="H100" s="466">
        <f>100000+10259988-1537199+917805</f>
        <v>9740594</v>
      </c>
      <c r="I100" s="466">
        <f>1500000+10259988</f>
        <v>11759988</v>
      </c>
      <c r="J100" s="466">
        <f>525000+1840500+595000+10259988</f>
        <v>13220488</v>
      </c>
      <c r="K100" s="466">
        <f>10259988</f>
        <v>10259988</v>
      </c>
      <c r="L100" s="466">
        <f>10259988</f>
        <v>10259988</v>
      </c>
      <c r="M100" s="466">
        <f>10259988</f>
        <v>10259988</v>
      </c>
      <c r="N100" s="466">
        <f>10259988</f>
        <v>10259988</v>
      </c>
      <c r="O100" s="467">
        <f t="shared" ref="O100:O107" si="25">SUM(C100:N100)</f>
        <v>129321458</v>
      </c>
    </row>
    <row r="101" spans="1:15" s="468" customFormat="1" ht="22.5" customHeight="1">
      <c r="A101" s="464" t="s">
        <v>20</v>
      </c>
      <c r="B101" s="465" t="s">
        <v>592</v>
      </c>
      <c r="C101" s="466"/>
      <c r="D101" s="466"/>
      <c r="E101" s="466">
        <f>17625000+1440000</f>
        <v>19065000</v>
      </c>
      <c r="F101" s="466"/>
      <c r="G101" s="466"/>
      <c r="H101" s="466">
        <f>30000+30000+15000-1440000</f>
        <v>-1365000</v>
      </c>
      <c r="I101" s="466"/>
      <c r="J101" s="466">
        <f>23000000</f>
        <v>23000000</v>
      </c>
      <c r="K101" s="466"/>
      <c r="L101" s="466"/>
      <c r="M101" s="466"/>
      <c r="N101" s="466"/>
      <c r="O101" s="467">
        <f t="shared" si="25"/>
        <v>40700000</v>
      </c>
    </row>
    <row r="102" spans="1:15" s="468" customFormat="1" ht="22.5" customHeight="1">
      <c r="A102" s="464" t="s">
        <v>21</v>
      </c>
      <c r="B102" s="465" t="s">
        <v>554</v>
      </c>
      <c r="C102" s="466"/>
      <c r="D102" s="466"/>
      <c r="E102" s="466">
        <f>267920+344876+8520000+7313613+475499-2886754-64975</f>
        <v>13970179</v>
      </c>
      <c r="F102" s="466"/>
      <c r="G102" s="466"/>
      <c r="H102" s="466">
        <f>236721+335241+519000+558279+1776671+931523-8520000+1537199-100000+363642+139498-30000-30000-15000+3337921-917805-5100-46000+725120-190500+316358</f>
        <v>922768</v>
      </c>
      <c r="I102" s="466"/>
      <c r="J102" s="466"/>
      <c r="K102" s="466"/>
      <c r="L102" s="466"/>
      <c r="M102" s="466"/>
      <c r="N102" s="466">
        <v>33170228</v>
      </c>
      <c r="O102" s="467">
        <f t="shared" si="25"/>
        <v>48063175</v>
      </c>
    </row>
    <row r="103" spans="1:15" s="468" customFormat="1" ht="22.5" customHeight="1">
      <c r="A103" s="464" t="s">
        <v>22</v>
      </c>
      <c r="B103" s="465" t="s">
        <v>217</v>
      </c>
      <c r="C103" s="466">
        <f>20429850</f>
        <v>20429850</v>
      </c>
      <c r="D103" s="466">
        <f>1143000+127000+20429850</f>
        <v>21699850</v>
      </c>
      <c r="E103" s="466">
        <f>7556989+20429850-317500-14627225+127000</f>
        <v>13169114</v>
      </c>
      <c r="F103" s="466">
        <f>7556990+622554+20429850</f>
        <v>28609394</v>
      </c>
      <c r="G103" s="466">
        <f>1905000+14627225+16510000+20429850</f>
        <v>53472075</v>
      </c>
      <c r="H103" s="466">
        <f>2671233+20429850+7+317500+190500</f>
        <v>23609090</v>
      </c>
      <c r="I103" s="466">
        <f>762000+533400+2671233+20429850</f>
        <v>24396483</v>
      </c>
      <c r="J103" s="466">
        <f>2671233+20429850</f>
        <v>23101083</v>
      </c>
      <c r="K103" s="466">
        <f>20429850</f>
        <v>20429850</v>
      </c>
      <c r="L103" s="466">
        <f>20429850</f>
        <v>20429850</v>
      </c>
      <c r="M103" s="466">
        <f>20429850</f>
        <v>20429850</v>
      </c>
      <c r="N103" s="466">
        <f>20429850</f>
        <v>20429850</v>
      </c>
      <c r="O103" s="467">
        <f t="shared" si="25"/>
        <v>290206339</v>
      </c>
    </row>
    <row r="104" spans="1:15" s="468" customFormat="1" ht="22.5" customHeight="1">
      <c r="A104" s="464" t="s">
        <v>23</v>
      </c>
      <c r="B104" s="465" t="s">
        <v>176</v>
      </c>
      <c r="C104" s="466">
        <f>7391575</f>
        <v>7391575</v>
      </c>
      <c r="D104" s="466">
        <f>7391575</f>
        <v>7391575</v>
      </c>
      <c r="E104" s="466">
        <f>317500+7391575-3+317500</f>
        <v>8026572</v>
      </c>
      <c r="F104" s="466">
        <f>254000+7391575</f>
        <v>7645575</v>
      </c>
      <c r="G104" s="466">
        <f t="shared" ref="G104:N104" si="26">7391575</f>
        <v>7391575</v>
      </c>
      <c r="H104" s="466">
        <f>7391575+100000+635000</f>
        <v>8126575</v>
      </c>
      <c r="I104" s="466">
        <f t="shared" si="26"/>
        <v>7391575</v>
      </c>
      <c r="J104" s="466">
        <f t="shared" si="26"/>
        <v>7391575</v>
      </c>
      <c r="K104" s="466">
        <f t="shared" si="26"/>
        <v>7391575</v>
      </c>
      <c r="L104" s="466">
        <f t="shared" si="26"/>
        <v>7391575</v>
      </c>
      <c r="M104" s="466">
        <f t="shared" si="26"/>
        <v>7391575</v>
      </c>
      <c r="N104" s="466">
        <f t="shared" si="26"/>
        <v>7391575</v>
      </c>
      <c r="O104" s="467">
        <f t="shared" si="25"/>
        <v>90322897</v>
      </c>
    </row>
    <row r="105" spans="1:15" s="468" customFormat="1" ht="22.5" customHeight="1">
      <c r="A105" s="464" t="s">
        <v>24</v>
      </c>
      <c r="B105" s="465" t="s">
        <v>219</v>
      </c>
      <c r="C105" s="466"/>
      <c r="D105" s="466"/>
      <c r="E105" s="466">
        <f>600000+50000</f>
        <v>650000</v>
      </c>
      <c r="F105" s="466"/>
      <c r="G105" s="466"/>
      <c r="H105" s="466"/>
      <c r="I105" s="466"/>
      <c r="J105" s="466"/>
      <c r="K105" s="466"/>
      <c r="L105" s="466"/>
      <c r="M105" s="466"/>
      <c r="N105" s="466"/>
      <c r="O105" s="467">
        <f t="shared" si="25"/>
        <v>650000</v>
      </c>
    </row>
    <row r="106" spans="1:15" s="468" customFormat="1" ht="22.5" customHeight="1" thickBot="1">
      <c r="A106" s="464" t="s">
        <v>25</v>
      </c>
      <c r="B106" s="465" t="s">
        <v>10</v>
      </c>
      <c r="C106" s="466">
        <f>(176260688/12)+8107720</f>
        <v>22796110.666666664</v>
      </c>
      <c r="D106" s="466">
        <f t="shared" ref="D106:N106" si="27">(176260688/12)</f>
        <v>14688390.666666666</v>
      </c>
      <c r="E106" s="466">
        <f t="shared" si="27"/>
        <v>14688390.666666666</v>
      </c>
      <c r="F106" s="466">
        <f t="shared" si="27"/>
        <v>14688390.666666666</v>
      </c>
      <c r="G106" s="466">
        <f t="shared" si="27"/>
        <v>14688390.666666666</v>
      </c>
      <c r="H106" s="466">
        <f>(176260688/12)-558279+5811806+262090</f>
        <v>20204007.666666664</v>
      </c>
      <c r="I106" s="466">
        <f t="shared" si="27"/>
        <v>14688390.666666666</v>
      </c>
      <c r="J106" s="466">
        <f t="shared" si="27"/>
        <v>14688390.666666666</v>
      </c>
      <c r="K106" s="466">
        <f t="shared" si="27"/>
        <v>14688390.666666666</v>
      </c>
      <c r="L106" s="466">
        <f t="shared" si="27"/>
        <v>14688390.666666666</v>
      </c>
      <c r="M106" s="466">
        <f t="shared" si="27"/>
        <v>14688390.666666666</v>
      </c>
      <c r="N106" s="466">
        <f t="shared" si="27"/>
        <v>14688390.666666666</v>
      </c>
      <c r="O106" s="467">
        <f t="shared" si="25"/>
        <v>189884024.99999997</v>
      </c>
    </row>
    <row r="107" spans="1:15" s="473" customFormat="1" ht="15.95" customHeight="1" thickBot="1">
      <c r="A107" s="469"/>
      <c r="B107" s="470" t="s">
        <v>105</v>
      </c>
      <c r="C107" s="471">
        <f t="shared" ref="C107:N107" si="28">SUM(C95:C106)</f>
        <v>89436162.666666657</v>
      </c>
      <c r="D107" s="471">
        <f t="shared" si="28"/>
        <v>84404951.666666672</v>
      </c>
      <c r="E107" s="471">
        <f t="shared" si="28"/>
        <v>128530175.66666667</v>
      </c>
      <c r="F107" s="471">
        <f t="shared" si="28"/>
        <v>97989724.666666672</v>
      </c>
      <c r="G107" s="471">
        <f t="shared" si="28"/>
        <v>123248405.66666667</v>
      </c>
      <c r="H107" s="471">
        <f t="shared" si="28"/>
        <v>119828404.66666666</v>
      </c>
      <c r="I107" s="471">
        <f t="shared" si="28"/>
        <v>106673473.66666667</v>
      </c>
      <c r="J107" s="471">
        <f t="shared" si="28"/>
        <v>126255173.66666667</v>
      </c>
      <c r="K107" s="471">
        <f t="shared" si="28"/>
        <v>63751406.666666664</v>
      </c>
      <c r="L107" s="471">
        <f t="shared" si="28"/>
        <v>64051406.666666664</v>
      </c>
      <c r="M107" s="471">
        <f t="shared" si="28"/>
        <v>66658486.666666664</v>
      </c>
      <c r="N107" s="471">
        <f t="shared" si="28"/>
        <v>98561634.666666672</v>
      </c>
      <c r="O107" s="472">
        <f t="shared" si="25"/>
        <v>1169389406.9999998</v>
      </c>
    </row>
    <row r="108" spans="1:15" s="473" customFormat="1" ht="15.95" customHeight="1" thickBot="1">
      <c r="A108" s="481"/>
      <c r="B108" s="482"/>
      <c r="C108" s="483"/>
      <c r="D108" s="483"/>
      <c r="E108" s="483"/>
      <c r="F108" s="483"/>
      <c r="G108" s="483"/>
      <c r="H108" s="483"/>
      <c r="I108" s="483"/>
      <c r="J108" s="483"/>
      <c r="K108" s="483"/>
      <c r="L108" s="483"/>
      <c r="M108" s="483"/>
      <c r="N108" s="483"/>
      <c r="O108" s="483"/>
    </row>
    <row r="109" spans="1:15" ht="16.5" thickBot="1">
      <c r="A109" s="469"/>
      <c r="B109" s="470" t="s">
        <v>106</v>
      </c>
      <c r="C109" s="471">
        <f t="shared" ref="C109:O109" si="29">C91-C107</f>
        <v>483233923.33333337</v>
      </c>
      <c r="D109" s="471">
        <f t="shared" si="29"/>
        <v>-52595479.666666672</v>
      </c>
      <c r="E109" s="471">
        <f t="shared" si="29"/>
        <v>-78490819.666666687</v>
      </c>
      <c r="F109" s="471">
        <f t="shared" si="29"/>
        <v>-59686789.666666672</v>
      </c>
      <c r="G109" s="471">
        <f t="shared" si="29"/>
        <v>-87880744.666666672</v>
      </c>
      <c r="H109" s="471">
        <f t="shared" si="29"/>
        <v>-58117532.666666657</v>
      </c>
      <c r="I109" s="471">
        <f t="shared" si="29"/>
        <v>-21926347.666666672</v>
      </c>
      <c r="J109" s="471">
        <f t="shared" si="29"/>
        <v>-6643618.6666666716</v>
      </c>
      <c r="K109" s="471">
        <f t="shared" si="29"/>
        <v>5749309.3333333358</v>
      </c>
      <c r="L109" s="471">
        <f t="shared" si="29"/>
        <v>-28834280.666666664</v>
      </c>
      <c r="M109" s="471">
        <f t="shared" si="29"/>
        <v>-31452360.666666664</v>
      </c>
      <c r="N109" s="471">
        <f t="shared" si="29"/>
        <v>-63355258.666666672</v>
      </c>
      <c r="O109" s="472">
        <f t="shared" si="29"/>
        <v>0</v>
      </c>
    </row>
    <row r="112" spans="1:15" ht="20.25" customHeight="1">
      <c r="A112" s="852" t="s">
        <v>687</v>
      </c>
      <c r="B112" s="853"/>
      <c r="C112" s="853"/>
      <c r="D112" s="853"/>
      <c r="E112" s="853"/>
      <c r="F112" s="853"/>
      <c r="G112" s="853"/>
      <c r="H112" s="853"/>
      <c r="I112" s="853"/>
      <c r="J112" s="853"/>
      <c r="K112" s="853"/>
      <c r="L112" s="853"/>
      <c r="M112" s="853"/>
      <c r="N112" s="853"/>
      <c r="O112" s="853"/>
    </row>
    <row r="113" spans="1:15" ht="21" customHeight="1">
      <c r="A113" s="852" t="s">
        <v>730</v>
      </c>
      <c r="B113" s="852"/>
      <c r="C113" s="852"/>
      <c r="D113" s="852"/>
      <c r="E113" s="852"/>
      <c r="F113" s="852"/>
      <c r="G113" s="852"/>
      <c r="H113" s="852"/>
      <c r="I113" s="852"/>
      <c r="J113" s="852"/>
      <c r="K113" s="852"/>
      <c r="L113" s="852"/>
      <c r="M113" s="852"/>
      <c r="N113" s="852"/>
      <c r="O113" s="852"/>
    </row>
    <row r="114" spans="1:15" ht="21" customHeight="1">
      <c r="A114" s="458"/>
      <c r="B114" s="458"/>
      <c r="C114" s="458"/>
      <c r="D114" s="458"/>
      <c r="E114" s="458"/>
      <c r="F114" s="458"/>
      <c r="G114" s="458"/>
      <c r="H114" s="458"/>
      <c r="I114" s="458"/>
      <c r="J114" s="458"/>
      <c r="K114" s="458"/>
      <c r="L114" s="458"/>
      <c r="M114" s="458"/>
      <c r="N114" s="458"/>
      <c r="O114" s="458"/>
    </row>
    <row r="115" spans="1:15" ht="16.5" thickBot="1">
      <c r="O115" s="449" t="s">
        <v>581</v>
      </c>
    </row>
    <row r="116" spans="1:15" s="391" customFormat="1" ht="31.5" customHeight="1" thickBot="1">
      <c r="A116" s="459" t="s">
        <v>12</v>
      </c>
      <c r="B116" s="460" t="s">
        <v>56</v>
      </c>
      <c r="C116" s="460" t="s">
        <v>68</v>
      </c>
      <c r="D116" s="460" t="s">
        <v>69</v>
      </c>
      <c r="E116" s="460" t="s">
        <v>70</v>
      </c>
      <c r="F116" s="460" t="s">
        <v>71</v>
      </c>
      <c r="G116" s="460" t="s">
        <v>72</v>
      </c>
      <c r="H116" s="460" t="s">
        <v>73</v>
      </c>
      <c r="I116" s="460" t="s">
        <v>74</v>
      </c>
      <c r="J116" s="460" t="s">
        <v>75</v>
      </c>
      <c r="K116" s="460" t="s">
        <v>76</v>
      </c>
      <c r="L116" s="460" t="s">
        <v>77</v>
      </c>
      <c r="M116" s="460" t="s">
        <v>78</v>
      </c>
      <c r="N116" s="460" t="s">
        <v>79</v>
      </c>
      <c r="O116" s="461" t="s">
        <v>46</v>
      </c>
    </row>
    <row r="117" spans="1:15" s="463" customFormat="1" ht="15" customHeight="1" thickBot="1">
      <c r="A117" s="462"/>
      <c r="B117" s="849" t="s">
        <v>51</v>
      </c>
      <c r="C117" s="850"/>
      <c r="D117" s="850"/>
      <c r="E117" s="850"/>
      <c r="F117" s="850"/>
      <c r="G117" s="850"/>
      <c r="H117" s="850"/>
      <c r="I117" s="850"/>
      <c r="J117" s="850"/>
      <c r="K117" s="850"/>
      <c r="L117" s="850"/>
      <c r="M117" s="850"/>
      <c r="N117" s="850"/>
      <c r="O117" s="851"/>
    </row>
    <row r="118" spans="1:15" s="468" customFormat="1" ht="22.5" customHeight="1">
      <c r="A118" s="464" t="s">
        <v>14</v>
      </c>
      <c r="B118" s="465" t="s">
        <v>369</v>
      </c>
      <c r="C118" s="466">
        <f>223966276/12</f>
        <v>18663856.333333332</v>
      </c>
      <c r="D118" s="466">
        <f t="shared" ref="D118:N118" si="30">223966276/12</f>
        <v>18663856.333333332</v>
      </c>
      <c r="E118" s="466">
        <f>223966276/12+267920+344876+8520000</f>
        <v>27796652.333333332</v>
      </c>
      <c r="F118" s="466">
        <f t="shared" si="30"/>
        <v>18663856.333333332</v>
      </c>
      <c r="G118" s="466">
        <f t="shared" si="30"/>
        <v>18663856.333333332</v>
      </c>
      <c r="H118" s="466">
        <f>223966276/12+519000+236721+335241+363642</f>
        <v>20118460.333333332</v>
      </c>
      <c r="I118" s="466">
        <f t="shared" si="30"/>
        <v>18663856.333333332</v>
      </c>
      <c r="J118" s="466">
        <f t="shared" si="30"/>
        <v>18663856.333333332</v>
      </c>
      <c r="K118" s="466">
        <f>223966276/12+4189000+297821+327267+2051050+350000-2762886</f>
        <v>23116108.333333332</v>
      </c>
      <c r="L118" s="466">
        <f t="shared" si="30"/>
        <v>18663856.333333332</v>
      </c>
      <c r="M118" s="466">
        <f t="shared" si="30"/>
        <v>18663856.333333332</v>
      </c>
      <c r="N118" s="466">
        <f t="shared" si="30"/>
        <v>18663856.333333332</v>
      </c>
      <c r="O118" s="467">
        <f t="shared" ref="O118:O127" si="31">SUM(C118:N118)</f>
        <v>239005928.00000003</v>
      </c>
    </row>
    <row r="119" spans="1:15" s="468" customFormat="1" ht="22.5" customHeight="1">
      <c r="A119" s="464" t="s">
        <v>15</v>
      </c>
      <c r="B119" s="465" t="s">
        <v>591</v>
      </c>
      <c r="C119" s="466">
        <f>89479+505300+227619-2</f>
        <v>822396</v>
      </c>
      <c r="D119" s="466">
        <f>89479+505300+306000</f>
        <v>900779</v>
      </c>
      <c r="E119" s="466">
        <f>4269996+38640+150535+505300+695378+4151815</f>
        <v>9811664</v>
      </c>
      <c r="F119" s="466">
        <f>4269996+38640+150535+505300</f>
        <v>4964471</v>
      </c>
      <c r="G119" s="466">
        <f>4269996+38640+150535+505300</f>
        <v>4964471</v>
      </c>
      <c r="H119" s="466">
        <f>4269996+38640+505300+139498+3337921+316358</f>
        <v>8607713</v>
      </c>
      <c r="I119" s="466">
        <f>4269996+38640+505300</f>
        <v>4813936</v>
      </c>
      <c r="J119" s="466">
        <f>4269996+38640+505300+23000000</f>
        <v>27813936</v>
      </c>
      <c r="K119" s="466">
        <f>4269996+38640+505300+1639729+112502+429000+803800+209700+43500+1602492+670586+293430</f>
        <v>10618675</v>
      </c>
      <c r="L119" s="466">
        <f>4269996+38640+505300</f>
        <v>4813936</v>
      </c>
      <c r="M119" s="466">
        <f>4269996+38640+505300</f>
        <v>4813936</v>
      </c>
      <c r="N119" s="466">
        <f>4269996+38640+505300</f>
        <v>4813936</v>
      </c>
      <c r="O119" s="467">
        <f t="shared" si="31"/>
        <v>87759849</v>
      </c>
    </row>
    <row r="120" spans="1:15" s="468" customFormat="1" ht="22.5" customHeight="1">
      <c r="A120" s="464" t="s">
        <v>16</v>
      </c>
      <c r="B120" s="465" t="s">
        <v>590</v>
      </c>
      <c r="C120" s="466"/>
      <c r="D120" s="466"/>
      <c r="E120" s="466">
        <f>7313612-7313612</f>
        <v>0</v>
      </c>
      <c r="F120" s="466"/>
      <c r="G120" s="466"/>
      <c r="H120" s="466"/>
      <c r="I120" s="466"/>
      <c r="J120" s="466"/>
      <c r="K120" s="466">
        <f>39844721-7313612+2790232</f>
        <v>35321341</v>
      </c>
      <c r="L120" s="466"/>
      <c r="M120" s="466"/>
      <c r="N120" s="466"/>
      <c r="O120" s="467">
        <f t="shared" si="31"/>
        <v>35321341</v>
      </c>
    </row>
    <row r="121" spans="1:15" s="468" customFormat="1" ht="22.5" customHeight="1">
      <c r="A121" s="464" t="s">
        <v>17</v>
      </c>
      <c r="B121" s="465" t="s">
        <v>163</v>
      </c>
      <c r="C121" s="466">
        <f>136700000/12</f>
        <v>11391666.666666666</v>
      </c>
      <c r="D121" s="466">
        <f t="shared" ref="D121:N121" si="32">136700000/12</f>
        <v>11391666.666666666</v>
      </c>
      <c r="E121" s="466">
        <f>136700000/12</f>
        <v>11391666.666666666</v>
      </c>
      <c r="F121" s="466">
        <f t="shared" si="32"/>
        <v>11391666.666666666</v>
      </c>
      <c r="G121" s="466">
        <f t="shared" si="32"/>
        <v>11391666.666666666</v>
      </c>
      <c r="H121" s="466">
        <f t="shared" si="32"/>
        <v>11391666.666666666</v>
      </c>
      <c r="I121" s="466">
        <f t="shared" si="32"/>
        <v>11391666.666666666</v>
      </c>
      <c r="J121" s="466">
        <f t="shared" si="32"/>
        <v>11391666.666666666</v>
      </c>
      <c r="K121" s="466">
        <f>136700000/12+300000</f>
        <v>11691666.666666666</v>
      </c>
      <c r="L121" s="466">
        <f t="shared" si="32"/>
        <v>11391666.666666666</v>
      </c>
      <c r="M121" s="466">
        <f t="shared" si="32"/>
        <v>11391666.666666666</v>
      </c>
      <c r="N121" s="466">
        <f t="shared" si="32"/>
        <v>11391666.666666666</v>
      </c>
      <c r="O121" s="467">
        <f t="shared" si="31"/>
        <v>137000000.00000003</v>
      </c>
    </row>
    <row r="122" spans="1:15" s="468" customFormat="1" ht="22.5" customHeight="1">
      <c r="A122" s="464" t="s">
        <v>18</v>
      </c>
      <c r="B122" s="465" t="s">
        <v>415</v>
      </c>
      <c r="C122" s="466">
        <f>125000+15875+21167+444500+174625+1000</f>
        <v>782167</v>
      </c>
      <c r="D122" s="466">
        <f>125000+15875+21167+174625+1000</f>
        <v>337667</v>
      </c>
      <c r="E122" s="466">
        <f>125000+250+15875+21167+174625+1000+215957</f>
        <v>553874</v>
      </c>
      <c r="F122" s="466">
        <f>125000+2928874+6400+15875+21167+174625+1000</f>
        <v>3272941</v>
      </c>
      <c r="G122" s="466">
        <f>125000+15875+21167+174625+1000</f>
        <v>337667</v>
      </c>
      <c r="H122" s="466">
        <f>125000+250+470000+15875+21167+174625+1000+7601204+3829304+404897+725120</f>
        <v>13368442</v>
      </c>
      <c r="I122" s="466">
        <f>125000+15875+21167+49530000+174625+1000</f>
        <v>49867667</v>
      </c>
      <c r="J122" s="466">
        <f>125000+15875+21167+49530000+11864429+174625+1000</f>
        <v>61732096</v>
      </c>
      <c r="K122" s="466">
        <f>125000+250+15875+21167+174625+1000+230000+4316000+3810000+29210000</f>
        <v>37903917</v>
      </c>
      <c r="L122" s="466">
        <f>125000+15875+21167+174625+1000</f>
        <v>337667</v>
      </c>
      <c r="M122" s="466">
        <f>125000+15875+21167+174625</f>
        <v>336667</v>
      </c>
      <c r="N122" s="466">
        <f>125000+250+15875+21167+174625</f>
        <v>336917</v>
      </c>
      <c r="O122" s="467">
        <f t="shared" si="31"/>
        <v>169167689</v>
      </c>
    </row>
    <row r="123" spans="1:15" s="468" customFormat="1" ht="22.5" customHeight="1">
      <c r="A123" s="464" t="s">
        <v>19</v>
      </c>
      <c r="B123" s="465" t="s">
        <v>8</v>
      </c>
      <c r="C123" s="466">
        <f>10000</f>
        <v>10000</v>
      </c>
      <c r="D123" s="466">
        <f>10000</f>
        <v>10000</v>
      </c>
      <c r="E123" s="466">
        <f>10000</f>
        <v>10000</v>
      </c>
      <c r="F123" s="466">
        <f>10000</f>
        <v>10000</v>
      </c>
      <c r="G123" s="466">
        <f>10000</f>
        <v>10000</v>
      </c>
      <c r="H123" s="466">
        <f>10000+7000000</f>
        <v>7010000</v>
      </c>
      <c r="I123" s="466">
        <f>10000</f>
        <v>10000</v>
      </c>
      <c r="J123" s="466">
        <f>10000</f>
        <v>10000</v>
      </c>
      <c r="K123" s="466">
        <f>10000</f>
        <v>10000</v>
      </c>
      <c r="L123" s="466">
        <f>10000</f>
        <v>10000</v>
      </c>
      <c r="M123" s="466"/>
      <c r="N123" s="466"/>
      <c r="O123" s="467">
        <f t="shared" si="31"/>
        <v>7100000</v>
      </c>
    </row>
    <row r="124" spans="1:15" s="468" customFormat="1" ht="22.5" customHeight="1">
      <c r="A124" s="464" t="s">
        <v>20</v>
      </c>
      <c r="B124" s="465" t="s">
        <v>371</v>
      </c>
      <c r="C124" s="466"/>
      <c r="D124" s="466">
        <v>505503</v>
      </c>
      <c r="E124" s="466"/>
      <c r="F124" s="466"/>
      <c r="G124" s="466"/>
      <c r="H124" s="466"/>
      <c r="I124" s="466"/>
      <c r="J124" s="466"/>
      <c r="K124" s="466"/>
      <c r="L124" s="466"/>
      <c r="M124" s="466"/>
      <c r="N124" s="466"/>
      <c r="O124" s="467">
        <f t="shared" si="31"/>
        <v>505503</v>
      </c>
    </row>
    <row r="125" spans="1:15" s="468" customFormat="1" ht="22.5" customHeight="1">
      <c r="A125" s="464" t="s">
        <v>21</v>
      </c>
      <c r="B125" s="465" t="s">
        <v>403</v>
      </c>
      <c r="C125" s="466"/>
      <c r="D125" s="466"/>
      <c r="E125" s="466"/>
      <c r="F125" s="466"/>
      <c r="G125" s="466"/>
      <c r="H125" s="466">
        <f>317500+635000</f>
        <v>952500</v>
      </c>
      <c r="I125" s="466"/>
      <c r="J125" s="466"/>
      <c r="K125" s="466"/>
      <c r="L125" s="466"/>
      <c r="M125" s="466"/>
      <c r="N125" s="466"/>
      <c r="O125" s="467">
        <f t="shared" si="31"/>
        <v>952500</v>
      </c>
    </row>
    <row r="126" spans="1:15" s="468" customFormat="1" ht="22.5" customHeight="1" thickBot="1">
      <c r="A126" s="464" t="s">
        <v>22</v>
      </c>
      <c r="B126" s="465" t="s">
        <v>9</v>
      </c>
      <c r="C126" s="466">
        <v>541000000</v>
      </c>
      <c r="D126" s="466"/>
      <c r="E126" s="466">
        <f>475499</f>
        <v>475499</v>
      </c>
      <c r="F126" s="466"/>
      <c r="G126" s="466"/>
      <c r="H126" s="466">
        <f>262090</f>
        <v>262090</v>
      </c>
      <c r="I126" s="466"/>
      <c r="J126" s="466"/>
      <c r="K126" s="466"/>
      <c r="L126" s="466"/>
      <c r="M126" s="466"/>
      <c r="N126" s="466"/>
      <c r="O126" s="467">
        <f t="shared" si="31"/>
        <v>541737589</v>
      </c>
    </row>
    <row r="127" spans="1:15" s="473" customFormat="1" ht="15.95" customHeight="1" thickBot="1">
      <c r="A127" s="469"/>
      <c r="B127" s="470" t="s">
        <v>104</v>
      </c>
      <c r="C127" s="471">
        <f t="shared" ref="C127:N127" si="33">SUM(C118:C126)</f>
        <v>572670086</v>
      </c>
      <c r="D127" s="471">
        <f t="shared" si="33"/>
        <v>31809472</v>
      </c>
      <c r="E127" s="471">
        <f t="shared" si="33"/>
        <v>50039355.999999993</v>
      </c>
      <c r="F127" s="471">
        <f t="shared" si="33"/>
        <v>38302935</v>
      </c>
      <c r="G127" s="471">
        <f t="shared" si="33"/>
        <v>35367661</v>
      </c>
      <c r="H127" s="471">
        <f t="shared" si="33"/>
        <v>61710872</v>
      </c>
      <c r="I127" s="471">
        <f t="shared" si="33"/>
        <v>84747126</v>
      </c>
      <c r="J127" s="471">
        <f t="shared" si="33"/>
        <v>119611555</v>
      </c>
      <c r="K127" s="471">
        <f t="shared" si="33"/>
        <v>118661708</v>
      </c>
      <c r="L127" s="471">
        <f t="shared" si="33"/>
        <v>35217126</v>
      </c>
      <c r="M127" s="471">
        <f t="shared" si="33"/>
        <v>35206126</v>
      </c>
      <c r="N127" s="471">
        <f t="shared" si="33"/>
        <v>35206376</v>
      </c>
      <c r="O127" s="472">
        <f t="shared" si="31"/>
        <v>1218550399</v>
      </c>
    </row>
    <row r="128" spans="1:15" s="473" customFormat="1" ht="15.95" customHeight="1">
      <c r="A128" s="474"/>
      <c r="B128" s="475"/>
      <c r="C128" s="476"/>
      <c r="D128" s="476"/>
      <c r="E128" s="476"/>
      <c r="F128" s="476"/>
      <c r="G128" s="476"/>
      <c r="H128" s="476"/>
      <c r="I128" s="476"/>
      <c r="J128" s="476"/>
      <c r="K128" s="476"/>
      <c r="L128" s="476"/>
      <c r="M128" s="476"/>
      <c r="N128" s="476"/>
      <c r="O128" s="476"/>
    </row>
    <row r="129" spans="1:15" s="473" customFormat="1" ht="15.95" customHeight="1">
      <c r="A129" s="477"/>
      <c r="B129" s="478"/>
      <c r="C129" s="479"/>
      <c r="D129" s="479"/>
      <c r="E129" s="479"/>
      <c r="F129" s="479"/>
      <c r="G129" s="479"/>
      <c r="H129" s="479"/>
      <c r="I129" s="479"/>
      <c r="J129" s="479"/>
      <c r="K129" s="479"/>
      <c r="L129" s="479"/>
      <c r="M129" s="479"/>
      <c r="N129" s="479"/>
      <c r="O129" s="479"/>
    </row>
    <row r="130" spans="1:15" s="463" customFormat="1" ht="15" customHeight="1" thickBot="1">
      <c r="A130" s="480"/>
      <c r="B130" s="854" t="s">
        <v>52</v>
      </c>
      <c r="C130" s="855"/>
      <c r="D130" s="855"/>
      <c r="E130" s="855"/>
      <c r="F130" s="855"/>
      <c r="G130" s="855"/>
      <c r="H130" s="855"/>
      <c r="I130" s="855"/>
      <c r="J130" s="855"/>
      <c r="K130" s="855"/>
      <c r="L130" s="855"/>
      <c r="M130" s="855"/>
      <c r="N130" s="855"/>
      <c r="O130" s="856"/>
    </row>
    <row r="131" spans="1:15" s="468" customFormat="1" ht="22.5" customHeight="1">
      <c r="A131" s="464" t="s">
        <v>14</v>
      </c>
      <c r="B131" s="465" t="s">
        <v>57</v>
      </c>
      <c r="C131" s="466">
        <f>289590+5296811+5</f>
        <v>5586406</v>
      </c>
      <c r="D131" s="466">
        <f>289590+5296811</f>
        <v>5586401</v>
      </c>
      <c r="E131" s="466">
        <f>5296811+775698+4647201-1006323</f>
        <v>9713387</v>
      </c>
      <c r="F131" s="466">
        <f>5296811</f>
        <v>5296811</v>
      </c>
      <c r="G131" s="466">
        <f>5296811</f>
        <v>5296811</v>
      </c>
      <c r="H131" s="466">
        <f>5296811+2000000</f>
        <v>7296811</v>
      </c>
      <c r="I131" s="466">
        <f>6877200+5296811</f>
        <v>12174011</v>
      </c>
      <c r="J131" s="466">
        <f>6877200+5296811</f>
        <v>12174011</v>
      </c>
      <c r="K131" s="466">
        <f>5296811+365106+1363823+280000+520000+1200000+500000+570710+1000000</f>
        <v>11096450</v>
      </c>
      <c r="L131" s="466">
        <f>5296811</f>
        <v>5296811</v>
      </c>
      <c r="M131" s="466">
        <f>3144000+5296811</f>
        <v>8440811</v>
      </c>
      <c r="N131" s="466">
        <f>5296811</f>
        <v>5296811</v>
      </c>
      <c r="O131" s="467">
        <f>SUM(C131:N131)</f>
        <v>93255532</v>
      </c>
    </row>
    <row r="132" spans="1:15" s="468" customFormat="1" ht="22.5" customHeight="1">
      <c r="A132" s="464" t="s">
        <v>15</v>
      </c>
      <c r="B132" s="465" t="s">
        <v>172</v>
      </c>
      <c r="C132" s="466">
        <f>23847+1136734-5</f>
        <v>1160576</v>
      </c>
      <c r="D132" s="466">
        <f>23847+1136734</f>
        <v>1160581</v>
      </c>
      <c r="E132" s="466">
        <f>1136734+75631+453102-98116</f>
        <v>1567351</v>
      </c>
      <c r="F132" s="466">
        <f>1136734</f>
        <v>1136734</v>
      </c>
      <c r="G132" s="466">
        <f>1136734</f>
        <v>1136734</v>
      </c>
      <c r="H132" s="466">
        <f>1136734+390000</f>
        <v>1526734</v>
      </c>
      <c r="I132" s="466">
        <f>1415772+1136734</f>
        <v>2552506</v>
      </c>
      <c r="J132" s="466">
        <f>1415772+1136734</f>
        <v>2552506</v>
      </c>
      <c r="K132" s="466">
        <f>1136734+63894+238669+49000+91000+210000+87500+99876+175000</f>
        <v>2151673</v>
      </c>
      <c r="L132" s="466">
        <f>1136734</f>
        <v>1136734</v>
      </c>
      <c r="M132" s="466">
        <f>613080+1136734</f>
        <v>1749814</v>
      </c>
      <c r="N132" s="466">
        <f>1136734</f>
        <v>1136734</v>
      </c>
      <c r="O132" s="467">
        <f>SUM(C132:N132)</f>
        <v>18968677</v>
      </c>
    </row>
    <row r="133" spans="1:15" s="468" customFormat="1" ht="22.5" customHeight="1">
      <c r="A133" s="464" t="s">
        <v>16</v>
      </c>
      <c r="B133" s="465" t="s">
        <v>131</v>
      </c>
      <c r="C133" s="466">
        <f>17138605+3295558-2</f>
        <v>20434161</v>
      </c>
      <c r="D133" s="466">
        <f>17138605+1056000+1270000+3295558</f>
        <v>22760163</v>
      </c>
      <c r="E133" s="466">
        <f>17138605+900000+7600000+700000+2625000+3295558+32345+215957-127000</f>
        <v>32380465</v>
      </c>
      <c r="F133" s="466">
        <f>9566169+17138605+3295558</f>
        <v>30000332</v>
      </c>
      <c r="G133" s="466">
        <f>9566169+17138605+3295558+650000</f>
        <v>30650332</v>
      </c>
      <c r="H133" s="466">
        <f>17138605+29379062+3295558+5100+46000-2390000</f>
        <v>47474325</v>
      </c>
      <c r="I133" s="466">
        <f>150000+533400+29379062+3295558</f>
        <v>33358020</v>
      </c>
      <c r="J133" s="466">
        <f>150000+29379062+3295558-4000000</f>
        <v>28824620</v>
      </c>
      <c r="K133" s="466">
        <f>3295558+100000+803800+205740-205740+209700+500000+70000+317500+2051050+7135000+635000+2000000+3810000+2794000+500000</f>
        <v>24221608</v>
      </c>
      <c r="L133" s="466">
        <f>3295558</f>
        <v>3295558</v>
      </c>
      <c r="M133" s="466">
        <f>3295558</f>
        <v>3295558</v>
      </c>
      <c r="N133" s="466">
        <f>2540000+3295558</f>
        <v>5835558</v>
      </c>
      <c r="O133" s="467">
        <f>SUM(C133:N133)</f>
        <v>282530700</v>
      </c>
    </row>
    <row r="134" spans="1:15" s="468" customFormat="1" ht="22.5" customHeight="1">
      <c r="A134" s="464" t="s">
        <v>17</v>
      </c>
      <c r="B134" s="465" t="s">
        <v>173</v>
      </c>
      <c r="C134" s="466">
        <f t="shared" ref="C134:I134" si="34">352500</f>
        <v>352500</v>
      </c>
      <c r="D134" s="466">
        <f t="shared" si="34"/>
        <v>352500</v>
      </c>
      <c r="E134" s="466">
        <f t="shared" si="34"/>
        <v>352500</v>
      </c>
      <c r="F134" s="466">
        <f t="shared" si="34"/>
        <v>352500</v>
      </c>
      <c r="G134" s="466">
        <f t="shared" si="34"/>
        <v>352500</v>
      </c>
      <c r="H134" s="466">
        <f>352500+1440000</f>
        <v>1792500</v>
      </c>
      <c r="I134" s="466">
        <f t="shared" si="34"/>
        <v>352500</v>
      </c>
      <c r="J134" s="466">
        <f>50000+900000+352500</f>
        <v>1302500</v>
      </c>
      <c r="K134" s="466">
        <f>900000+352500</f>
        <v>1252500</v>
      </c>
      <c r="L134" s="466">
        <f>1200000+352500</f>
        <v>1552500</v>
      </c>
      <c r="M134" s="466">
        <f>50000+352500</f>
        <v>402500</v>
      </c>
      <c r="N134" s="466">
        <f>352500</f>
        <v>352500</v>
      </c>
      <c r="O134" s="467">
        <f>SUM(C134:N134)</f>
        <v>8770000</v>
      </c>
    </row>
    <row r="135" spans="1:15" s="468" customFormat="1" ht="22.5" customHeight="1">
      <c r="A135" s="464" t="s">
        <v>18</v>
      </c>
      <c r="B135" s="465" t="s">
        <v>623</v>
      </c>
      <c r="C135" s="466">
        <f>500000</f>
        <v>500000</v>
      </c>
      <c r="D135" s="466">
        <v>505503</v>
      </c>
      <c r="E135" s="466">
        <f>2886754+64975</f>
        <v>2951729</v>
      </c>
      <c r="F135" s="466"/>
      <c r="G135" s="466"/>
      <c r="H135" s="466">
        <f>500000</f>
        <v>500000</v>
      </c>
      <c r="I135" s="466"/>
      <c r="J135" s="466"/>
      <c r="K135" s="466"/>
      <c r="L135" s="466"/>
      <c r="M135" s="466"/>
      <c r="N135" s="466"/>
      <c r="O135" s="467">
        <f>SUM(C135:N135)</f>
        <v>4457232</v>
      </c>
    </row>
    <row r="136" spans="1:15" s="468" customFormat="1" ht="22.5" customHeight="1">
      <c r="A136" s="464" t="s">
        <v>19</v>
      </c>
      <c r="B136" s="465" t="s">
        <v>591</v>
      </c>
      <c r="C136" s="466">
        <f>525000+10259988-4</f>
        <v>10784984</v>
      </c>
      <c r="D136" s="466">
        <f>10259988</f>
        <v>10259988</v>
      </c>
      <c r="E136" s="466">
        <f>1840500+595000+10259988-700000</f>
        <v>11995488</v>
      </c>
      <c r="F136" s="466">
        <f>10259988</f>
        <v>10259988</v>
      </c>
      <c r="G136" s="466">
        <f>10259988</f>
        <v>10259988</v>
      </c>
      <c r="H136" s="466">
        <f>100000+10259988-1537199+917805</f>
        <v>9740594</v>
      </c>
      <c r="I136" s="466">
        <f>1500000+10259988</f>
        <v>11759988</v>
      </c>
      <c r="J136" s="466">
        <f>525000+1840500+595000+10259988</f>
        <v>13220488</v>
      </c>
      <c r="K136" s="466">
        <f>10259988</f>
        <v>10259988</v>
      </c>
      <c r="L136" s="466">
        <f>10259988</f>
        <v>10259988</v>
      </c>
      <c r="M136" s="466">
        <f>10259988</f>
        <v>10259988</v>
      </c>
      <c r="N136" s="466">
        <f>10259988</f>
        <v>10259988</v>
      </c>
      <c r="O136" s="467">
        <f t="shared" ref="O136:O143" si="35">SUM(C136:N136)</f>
        <v>129321458</v>
      </c>
    </row>
    <row r="137" spans="1:15" s="468" customFormat="1" ht="22.5" customHeight="1">
      <c r="A137" s="464" t="s">
        <v>20</v>
      </c>
      <c r="B137" s="465" t="s">
        <v>592</v>
      </c>
      <c r="C137" s="466"/>
      <c r="D137" s="466"/>
      <c r="E137" s="466">
        <f>17625000+1440000</f>
        <v>19065000</v>
      </c>
      <c r="F137" s="466"/>
      <c r="G137" s="466"/>
      <c r="H137" s="466">
        <f>30000+30000+15000-1440000</f>
        <v>-1365000</v>
      </c>
      <c r="I137" s="466"/>
      <c r="J137" s="466">
        <f>23000000</f>
        <v>23000000</v>
      </c>
      <c r="K137" s="466">
        <f>-300000+150000</f>
        <v>-150000</v>
      </c>
      <c r="L137" s="466"/>
      <c r="M137" s="466"/>
      <c r="N137" s="466"/>
      <c r="O137" s="467">
        <f t="shared" si="35"/>
        <v>40550000</v>
      </c>
    </row>
    <row r="138" spans="1:15" s="468" customFormat="1" ht="22.5" customHeight="1">
      <c r="A138" s="464" t="s">
        <v>21</v>
      </c>
      <c r="B138" s="465" t="s">
        <v>554</v>
      </c>
      <c r="C138" s="466"/>
      <c r="D138" s="466"/>
      <c r="E138" s="466">
        <f>267920+344876+8520000+7313613+475499-2886754-64975</f>
        <v>13970179</v>
      </c>
      <c r="F138" s="466"/>
      <c r="G138" s="466"/>
      <c r="H138" s="466">
        <f>236721+335241+519000+558279+1776671+931523-8520000+1537199-100000+363642+139498-30000-30000-15000+3337921-917805-5100-46000+725120-190500+316358</f>
        <v>922768</v>
      </c>
      <c r="I138" s="466"/>
      <c r="J138" s="466"/>
      <c r="K138" s="466">
        <f>25000+10000-100000-500000-70000+43500+4189000-300000-14000-22200+297821+327267-500000-100000-2762886+230000+300000+4316000+3810000+29210000-329000-2021000-7135000-5100-635000-2000000-1270000-3810000-587500-1175000-262000-1219200-2794000-508000-1000000-500000-330315-150000</f>
        <v>12658387</v>
      </c>
      <c r="L138" s="466"/>
      <c r="M138" s="466"/>
      <c r="N138" s="466">
        <v>33170228</v>
      </c>
      <c r="O138" s="467">
        <f t="shared" si="35"/>
        <v>60721562</v>
      </c>
    </row>
    <row r="139" spans="1:15" s="468" customFormat="1" ht="22.5" customHeight="1">
      <c r="A139" s="464" t="s">
        <v>22</v>
      </c>
      <c r="B139" s="465" t="s">
        <v>217</v>
      </c>
      <c r="C139" s="466">
        <f>20429850</f>
        <v>20429850</v>
      </c>
      <c r="D139" s="466">
        <f>1143000+127000+20429850</f>
        <v>21699850</v>
      </c>
      <c r="E139" s="466">
        <f>7556989+20429850-317500-14627225+127000</f>
        <v>13169114</v>
      </c>
      <c r="F139" s="466">
        <f>7556990+622554+20429850</f>
        <v>28609394</v>
      </c>
      <c r="G139" s="466">
        <f>1905000+14627225+16510000+20429850</f>
        <v>53472075</v>
      </c>
      <c r="H139" s="466">
        <f>2671233+20429850+7+317500+190500</f>
        <v>23609090</v>
      </c>
      <c r="I139" s="466">
        <f>762000+533400+2671233+20429850</f>
        <v>24396483</v>
      </c>
      <c r="J139" s="466">
        <f>2671233+20429850</f>
        <v>23101083</v>
      </c>
      <c r="K139" s="466">
        <f>20429850+2790232+300000+14000+22200+500000+1270000+262000+508000</f>
        <v>26096282</v>
      </c>
      <c r="L139" s="466">
        <f>20429850</f>
        <v>20429850</v>
      </c>
      <c r="M139" s="466">
        <f>20429850</f>
        <v>20429850</v>
      </c>
      <c r="N139" s="466">
        <f>20429850</f>
        <v>20429850</v>
      </c>
      <c r="O139" s="467">
        <f t="shared" si="35"/>
        <v>295872771</v>
      </c>
    </row>
    <row r="140" spans="1:15" s="468" customFormat="1" ht="22.5" customHeight="1">
      <c r="A140" s="464" t="s">
        <v>23</v>
      </c>
      <c r="B140" s="465" t="s">
        <v>176</v>
      </c>
      <c r="C140" s="466">
        <f>7391575</f>
        <v>7391575</v>
      </c>
      <c r="D140" s="466">
        <f>7391575</f>
        <v>7391575</v>
      </c>
      <c r="E140" s="466">
        <f>317500+7391575-3+317500</f>
        <v>8026572</v>
      </c>
      <c r="F140" s="466">
        <f>254000+7391575</f>
        <v>7645575</v>
      </c>
      <c r="G140" s="466">
        <f t="shared" ref="G140:N140" si="36">7391575</f>
        <v>7391575</v>
      </c>
      <c r="H140" s="466">
        <f>7391575+100000+635000</f>
        <v>8126575</v>
      </c>
      <c r="I140" s="466">
        <f t="shared" si="36"/>
        <v>7391575</v>
      </c>
      <c r="J140" s="466">
        <f t="shared" si="36"/>
        <v>7391575</v>
      </c>
      <c r="K140" s="466">
        <f>7391575-317500+100000+1219200</f>
        <v>8393275</v>
      </c>
      <c r="L140" s="466">
        <f t="shared" si="36"/>
        <v>7391575</v>
      </c>
      <c r="M140" s="466">
        <f t="shared" si="36"/>
        <v>7391575</v>
      </c>
      <c r="N140" s="466">
        <f t="shared" si="36"/>
        <v>7391575</v>
      </c>
      <c r="O140" s="467">
        <f t="shared" si="35"/>
        <v>91324597</v>
      </c>
    </row>
    <row r="141" spans="1:15" s="468" customFormat="1" ht="22.5" customHeight="1">
      <c r="A141" s="464" t="s">
        <v>24</v>
      </c>
      <c r="B141" s="465" t="s">
        <v>219</v>
      </c>
      <c r="C141" s="466"/>
      <c r="D141" s="466"/>
      <c r="E141" s="466">
        <f>600000+50000</f>
        <v>650000</v>
      </c>
      <c r="F141" s="466"/>
      <c r="G141" s="466"/>
      <c r="H141" s="466"/>
      <c r="I141" s="466"/>
      <c r="J141" s="466"/>
      <c r="K141" s="466">
        <f>5100+1000000+300000</f>
        <v>1305100</v>
      </c>
      <c r="L141" s="466"/>
      <c r="M141" s="466"/>
      <c r="N141" s="466"/>
      <c r="O141" s="467">
        <f t="shared" si="35"/>
        <v>1955100</v>
      </c>
    </row>
    <row r="142" spans="1:15" s="468" customFormat="1" ht="22.5" customHeight="1" thickBot="1">
      <c r="A142" s="464" t="s">
        <v>25</v>
      </c>
      <c r="B142" s="465" t="s">
        <v>10</v>
      </c>
      <c r="C142" s="466">
        <f>(176260688/12)+8107720</f>
        <v>22796110.666666664</v>
      </c>
      <c r="D142" s="466">
        <f t="shared" ref="D142:N142" si="37">(176260688/12)</f>
        <v>14688390.666666666</v>
      </c>
      <c r="E142" s="466">
        <f t="shared" si="37"/>
        <v>14688390.666666666</v>
      </c>
      <c r="F142" s="466">
        <f t="shared" si="37"/>
        <v>14688390.666666666</v>
      </c>
      <c r="G142" s="466">
        <f t="shared" si="37"/>
        <v>14688390.666666666</v>
      </c>
      <c r="H142" s="466">
        <f>(176260688/12)-558279+5811806+262090</f>
        <v>20204007.666666664</v>
      </c>
      <c r="I142" s="466">
        <f t="shared" si="37"/>
        <v>14688390.666666666</v>
      </c>
      <c r="J142" s="466">
        <f t="shared" si="37"/>
        <v>14688390.666666666</v>
      </c>
      <c r="K142" s="466">
        <f>(176260688/12)-25000-10000+350000+623745</f>
        <v>15627135.666666666</v>
      </c>
      <c r="L142" s="466">
        <f t="shared" si="37"/>
        <v>14688390.666666666</v>
      </c>
      <c r="M142" s="466">
        <f t="shared" si="37"/>
        <v>14688390.666666666</v>
      </c>
      <c r="N142" s="466">
        <f t="shared" si="37"/>
        <v>14688390.666666666</v>
      </c>
      <c r="O142" s="467">
        <f t="shared" si="35"/>
        <v>190822769.99999997</v>
      </c>
    </row>
    <row r="143" spans="1:15" s="473" customFormat="1" ht="15.95" customHeight="1" thickBot="1">
      <c r="A143" s="469"/>
      <c r="B143" s="470" t="s">
        <v>105</v>
      </c>
      <c r="C143" s="471">
        <f t="shared" ref="C143:N143" si="38">SUM(C131:C142)</f>
        <v>89436162.666666657</v>
      </c>
      <c r="D143" s="471">
        <f t="shared" si="38"/>
        <v>84404951.666666672</v>
      </c>
      <c r="E143" s="471">
        <f t="shared" si="38"/>
        <v>128530175.66666667</v>
      </c>
      <c r="F143" s="471">
        <f t="shared" si="38"/>
        <v>97989724.666666672</v>
      </c>
      <c r="G143" s="471">
        <f t="shared" si="38"/>
        <v>123248405.66666667</v>
      </c>
      <c r="H143" s="471">
        <f t="shared" si="38"/>
        <v>119828404.66666666</v>
      </c>
      <c r="I143" s="471">
        <f t="shared" si="38"/>
        <v>106673473.66666667</v>
      </c>
      <c r="J143" s="471">
        <f t="shared" si="38"/>
        <v>126255173.66666667</v>
      </c>
      <c r="K143" s="471">
        <f t="shared" si="38"/>
        <v>112912398.66666667</v>
      </c>
      <c r="L143" s="471">
        <f t="shared" si="38"/>
        <v>64051406.666666664</v>
      </c>
      <c r="M143" s="471">
        <f t="shared" si="38"/>
        <v>66658486.666666664</v>
      </c>
      <c r="N143" s="471">
        <f t="shared" si="38"/>
        <v>98561634.666666672</v>
      </c>
      <c r="O143" s="472">
        <f t="shared" si="35"/>
        <v>1218550399</v>
      </c>
    </row>
    <row r="144" spans="1:15" s="473" customFormat="1" ht="15.95" customHeight="1" thickBot="1">
      <c r="A144" s="481"/>
      <c r="B144" s="482"/>
      <c r="C144" s="483"/>
      <c r="D144" s="483"/>
      <c r="E144" s="483"/>
      <c r="F144" s="483"/>
      <c r="G144" s="483"/>
      <c r="H144" s="483"/>
      <c r="I144" s="483"/>
      <c r="J144" s="483"/>
      <c r="K144" s="483"/>
      <c r="L144" s="483"/>
      <c r="M144" s="483"/>
      <c r="N144" s="483"/>
      <c r="O144" s="483"/>
    </row>
    <row r="145" spans="1:15" ht="16.5" thickBot="1">
      <c r="A145" s="469"/>
      <c r="B145" s="470" t="s">
        <v>106</v>
      </c>
      <c r="C145" s="471">
        <f t="shared" ref="C145:O145" si="39">C127-C143</f>
        <v>483233923.33333337</v>
      </c>
      <c r="D145" s="471">
        <f t="shared" si="39"/>
        <v>-52595479.666666672</v>
      </c>
      <c r="E145" s="471">
        <f t="shared" si="39"/>
        <v>-78490819.666666687</v>
      </c>
      <c r="F145" s="471">
        <f t="shared" si="39"/>
        <v>-59686789.666666672</v>
      </c>
      <c r="G145" s="471">
        <f t="shared" si="39"/>
        <v>-87880744.666666672</v>
      </c>
      <c r="H145" s="471">
        <f t="shared" si="39"/>
        <v>-58117532.666666657</v>
      </c>
      <c r="I145" s="471">
        <f t="shared" si="39"/>
        <v>-21926347.666666672</v>
      </c>
      <c r="J145" s="471">
        <f t="shared" si="39"/>
        <v>-6643618.6666666716</v>
      </c>
      <c r="K145" s="471">
        <f t="shared" si="39"/>
        <v>5749309.3333333284</v>
      </c>
      <c r="L145" s="471">
        <f t="shared" si="39"/>
        <v>-28834280.666666664</v>
      </c>
      <c r="M145" s="471">
        <f t="shared" si="39"/>
        <v>-31452360.666666664</v>
      </c>
      <c r="N145" s="471">
        <f t="shared" si="39"/>
        <v>-63355258.666666672</v>
      </c>
      <c r="O145" s="472">
        <f t="shared" si="39"/>
        <v>0</v>
      </c>
    </row>
    <row r="148" spans="1:15" ht="20.25" customHeight="1">
      <c r="A148" s="852" t="s">
        <v>687</v>
      </c>
      <c r="B148" s="853"/>
      <c r="C148" s="853"/>
      <c r="D148" s="853"/>
      <c r="E148" s="853"/>
      <c r="F148" s="853"/>
      <c r="G148" s="853"/>
      <c r="H148" s="853"/>
      <c r="I148" s="853"/>
      <c r="J148" s="853"/>
      <c r="K148" s="853"/>
      <c r="L148" s="853"/>
      <c r="M148" s="853"/>
      <c r="N148" s="853"/>
      <c r="O148" s="853"/>
    </row>
    <row r="149" spans="1:15" ht="21" customHeight="1">
      <c r="A149" s="852" t="s">
        <v>751</v>
      </c>
      <c r="B149" s="852"/>
      <c r="C149" s="852"/>
      <c r="D149" s="852"/>
      <c r="E149" s="852"/>
      <c r="F149" s="852"/>
      <c r="G149" s="852"/>
      <c r="H149" s="852"/>
      <c r="I149" s="852"/>
      <c r="J149" s="852"/>
      <c r="K149" s="852"/>
      <c r="L149" s="852"/>
      <c r="M149" s="852"/>
      <c r="N149" s="852"/>
      <c r="O149" s="852"/>
    </row>
    <row r="150" spans="1:15" ht="21" customHeight="1">
      <c r="A150" s="458"/>
      <c r="B150" s="458"/>
      <c r="C150" s="458"/>
      <c r="D150" s="458"/>
      <c r="E150" s="458"/>
      <c r="F150" s="458"/>
      <c r="G150" s="458"/>
      <c r="H150" s="458"/>
      <c r="I150" s="458"/>
      <c r="J150" s="458"/>
      <c r="K150" s="458"/>
      <c r="L150" s="458"/>
      <c r="M150" s="458"/>
      <c r="N150" s="458"/>
      <c r="O150" s="458"/>
    </row>
    <row r="151" spans="1:15" ht="16.5" thickBot="1">
      <c r="O151" s="449" t="s">
        <v>581</v>
      </c>
    </row>
    <row r="152" spans="1:15" s="391" customFormat="1" ht="31.5" customHeight="1" thickBot="1">
      <c r="A152" s="459" t="s">
        <v>12</v>
      </c>
      <c r="B152" s="460" t="s">
        <v>56</v>
      </c>
      <c r="C152" s="460" t="s">
        <v>68</v>
      </c>
      <c r="D152" s="460" t="s">
        <v>69</v>
      </c>
      <c r="E152" s="460" t="s">
        <v>70</v>
      </c>
      <c r="F152" s="460" t="s">
        <v>71</v>
      </c>
      <c r="G152" s="460" t="s">
        <v>72</v>
      </c>
      <c r="H152" s="460" t="s">
        <v>73</v>
      </c>
      <c r="I152" s="460" t="s">
        <v>74</v>
      </c>
      <c r="J152" s="460" t="s">
        <v>75</v>
      </c>
      <c r="K152" s="460" t="s">
        <v>76</v>
      </c>
      <c r="L152" s="460" t="s">
        <v>77</v>
      </c>
      <c r="M152" s="460" t="s">
        <v>78</v>
      </c>
      <c r="N152" s="460" t="s">
        <v>79</v>
      </c>
      <c r="O152" s="461" t="s">
        <v>46</v>
      </c>
    </row>
    <row r="153" spans="1:15" s="463" customFormat="1" ht="15" customHeight="1" thickBot="1">
      <c r="A153" s="462"/>
      <c r="B153" s="849" t="s">
        <v>51</v>
      </c>
      <c r="C153" s="850"/>
      <c r="D153" s="850"/>
      <c r="E153" s="850"/>
      <c r="F153" s="850"/>
      <c r="G153" s="850"/>
      <c r="H153" s="850"/>
      <c r="I153" s="850"/>
      <c r="J153" s="850"/>
      <c r="K153" s="850"/>
      <c r="L153" s="850"/>
      <c r="M153" s="850"/>
      <c r="N153" s="850"/>
      <c r="O153" s="851"/>
    </row>
    <row r="154" spans="1:15" s="468" customFormat="1" ht="22.5" customHeight="1">
      <c r="A154" s="464" t="s">
        <v>14</v>
      </c>
      <c r="B154" s="465" t="s">
        <v>369</v>
      </c>
      <c r="C154" s="466">
        <f>223966276/12</f>
        <v>18663856.333333332</v>
      </c>
      <c r="D154" s="466">
        <f t="shared" ref="D154:M154" si="40">223966276/12</f>
        <v>18663856.333333332</v>
      </c>
      <c r="E154" s="466">
        <f>223966276/12+267920+344876+8520000</f>
        <v>27796652.333333332</v>
      </c>
      <c r="F154" s="466">
        <f t="shared" si="40"/>
        <v>18663856.333333332</v>
      </c>
      <c r="G154" s="466">
        <f t="shared" si="40"/>
        <v>18663856.333333332</v>
      </c>
      <c r="H154" s="466">
        <f>223966276/12+519000+236721+335241+363642</f>
        <v>20118460.333333332</v>
      </c>
      <c r="I154" s="466">
        <f t="shared" si="40"/>
        <v>18663856.333333332</v>
      </c>
      <c r="J154" s="466">
        <f t="shared" si="40"/>
        <v>18663856.333333332</v>
      </c>
      <c r="K154" s="466">
        <f>223966276/12+4189000+297821+327267+2051050+350000-2762886</f>
        <v>23116108.333333332</v>
      </c>
      <c r="L154" s="466">
        <f t="shared" si="40"/>
        <v>18663856.333333332</v>
      </c>
      <c r="M154" s="466">
        <f t="shared" si="40"/>
        <v>18663856.333333332</v>
      </c>
      <c r="N154" s="466">
        <f>223966276/12+312781+215183-178184-133000+20958600</f>
        <v>39839236.333333328</v>
      </c>
      <c r="O154" s="467">
        <f t="shared" ref="O154:O163" si="41">SUM(C154:N154)</f>
        <v>260181308</v>
      </c>
    </row>
    <row r="155" spans="1:15" s="468" customFormat="1" ht="22.5" customHeight="1">
      <c r="A155" s="464" t="s">
        <v>15</v>
      </c>
      <c r="B155" s="465" t="s">
        <v>591</v>
      </c>
      <c r="C155" s="466">
        <f>89479+505300+227619-2</f>
        <v>822396</v>
      </c>
      <c r="D155" s="466">
        <f>89479+505300+306000</f>
        <v>900779</v>
      </c>
      <c r="E155" s="466">
        <f>4269996+38640+150535+505300+695378+4151815</f>
        <v>9811664</v>
      </c>
      <c r="F155" s="466">
        <f>4269996+38640+150535+505300</f>
        <v>4964471</v>
      </c>
      <c r="G155" s="466">
        <f>4269996+38640+150535+505300</f>
        <v>4964471</v>
      </c>
      <c r="H155" s="466">
        <f>4269996+38640+505300+139498+3337921+316358</f>
        <v>8607713</v>
      </c>
      <c r="I155" s="466">
        <f>4269996+38640+505300</f>
        <v>4813936</v>
      </c>
      <c r="J155" s="466">
        <f>4269996+38640+505300+23000000</f>
        <v>27813936</v>
      </c>
      <c r="K155" s="466">
        <f>4269996+38640+505300+1639729+112502+429000+803800+209700+43500+1602492+670586+293430</f>
        <v>10618675</v>
      </c>
      <c r="L155" s="466">
        <f>4269996+38640+505300</f>
        <v>4813936</v>
      </c>
      <c r="M155" s="466">
        <f>4269996+38640+505300</f>
        <v>4813936</v>
      </c>
      <c r="N155" s="466">
        <f>4269996+38640+505300+9125600+163200-23000000+287980</f>
        <v>-8609284</v>
      </c>
      <c r="O155" s="467">
        <f t="shared" si="41"/>
        <v>74336629</v>
      </c>
    </row>
    <row r="156" spans="1:15" s="468" customFormat="1" ht="22.5" customHeight="1">
      <c r="A156" s="464" t="s">
        <v>16</v>
      </c>
      <c r="B156" s="465" t="s">
        <v>590</v>
      </c>
      <c r="C156" s="466"/>
      <c r="D156" s="466"/>
      <c r="E156" s="466">
        <f>7313612-7313612</f>
        <v>0</v>
      </c>
      <c r="F156" s="466"/>
      <c r="G156" s="466"/>
      <c r="H156" s="466"/>
      <c r="I156" s="466"/>
      <c r="J156" s="466"/>
      <c r="K156" s="466">
        <f>39844721-7313612+2790232</f>
        <v>35321341</v>
      </c>
      <c r="L156" s="466"/>
      <c r="M156" s="466"/>
      <c r="N156" s="466">
        <f>458000+246514227+3601136</f>
        <v>250573363</v>
      </c>
      <c r="O156" s="467">
        <f t="shared" si="41"/>
        <v>285894704</v>
      </c>
    </row>
    <row r="157" spans="1:15" s="468" customFormat="1" ht="22.5" customHeight="1">
      <c r="A157" s="464" t="s">
        <v>17</v>
      </c>
      <c r="B157" s="465" t="s">
        <v>163</v>
      </c>
      <c r="C157" s="466">
        <f>136700000/12</f>
        <v>11391666.666666666</v>
      </c>
      <c r="D157" s="466">
        <f t="shared" ref="D157:M157" si="42">136700000/12</f>
        <v>11391666.666666666</v>
      </c>
      <c r="E157" s="466">
        <f>136700000/12</f>
        <v>11391666.666666666</v>
      </c>
      <c r="F157" s="466">
        <f t="shared" si="42"/>
        <v>11391666.666666666</v>
      </c>
      <c r="G157" s="466">
        <f t="shared" si="42"/>
        <v>11391666.666666666</v>
      </c>
      <c r="H157" s="466">
        <f t="shared" si="42"/>
        <v>11391666.666666666</v>
      </c>
      <c r="I157" s="466">
        <f t="shared" si="42"/>
        <v>11391666.666666666</v>
      </c>
      <c r="J157" s="466">
        <f t="shared" si="42"/>
        <v>11391666.666666666</v>
      </c>
      <c r="K157" s="466">
        <f>136700000/12+300000</f>
        <v>11691666.666666666</v>
      </c>
      <c r="L157" s="466">
        <f t="shared" si="42"/>
        <v>11391666.666666666</v>
      </c>
      <c r="M157" s="466">
        <f t="shared" si="42"/>
        <v>11391666.666666666</v>
      </c>
      <c r="N157" s="466">
        <f>136700000/12+12000000</f>
        <v>23391666.666666664</v>
      </c>
      <c r="O157" s="467">
        <f t="shared" si="41"/>
        <v>149000000.00000003</v>
      </c>
    </row>
    <row r="158" spans="1:15" s="468" customFormat="1" ht="22.5" customHeight="1">
      <c r="A158" s="464" t="s">
        <v>18</v>
      </c>
      <c r="B158" s="465" t="s">
        <v>415</v>
      </c>
      <c r="C158" s="466">
        <f>125000+15875+21167+444500+174625+1000</f>
        <v>782167</v>
      </c>
      <c r="D158" s="466">
        <f>125000+15875+21167+174625+1000</f>
        <v>337667</v>
      </c>
      <c r="E158" s="466">
        <f>125000+250+15875+21167+174625+1000+215957</f>
        <v>553874</v>
      </c>
      <c r="F158" s="466">
        <f>125000+2928874+6400+15875+21167+174625+1000</f>
        <v>3272941</v>
      </c>
      <c r="G158" s="466">
        <f>125000+15875+21167+174625+1000</f>
        <v>337667</v>
      </c>
      <c r="H158" s="466">
        <f>125000+250+470000+15875+21167+174625+1000+7601204+3829304+404897+725120</f>
        <v>13368442</v>
      </c>
      <c r="I158" s="466">
        <f>125000+15875+21167+49530000+174625+1000</f>
        <v>49867667</v>
      </c>
      <c r="J158" s="466">
        <f>125000+15875+21167+49530000+11864429+174625+1000</f>
        <v>61732096</v>
      </c>
      <c r="K158" s="466">
        <f>125000+250+15875+21167+174625+1000+230000+4316000+3810000+29210000</f>
        <v>37903917</v>
      </c>
      <c r="L158" s="466">
        <f>125000+15875+21167+174625+1000</f>
        <v>337667</v>
      </c>
      <c r="M158" s="466">
        <f>125000+15875+21167+174625</f>
        <v>336667</v>
      </c>
      <c r="N158" s="466">
        <f>125000+250+15875+21167+174625+1510000</f>
        <v>1846917</v>
      </c>
      <c r="O158" s="467">
        <f t="shared" si="41"/>
        <v>170677689</v>
      </c>
    </row>
    <row r="159" spans="1:15" s="468" customFormat="1" ht="22.5" customHeight="1">
      <c r="A159" s="464" t="s">
        <v>19</v>
      </c>
      <c r="B159" s="465" t="s">
        <v>8</v>
      </c>
      <c r="C159" s="466">
        <f>10000</f>
        <v>10000</v>
      </c>
      <c r="D159" s="466">
        <f>10000</f>
        <v>10000</v>
      </c>
      <c r="E159" s="466">
        <f>10000</f>
        <v>10000</v>
      </c>
      <c r="F159" s="466">
        <f>10000</f>
        <v>10000</v>
      </c>
      <c r="G159" s="466">
        <f>10000</f>
        <v>10000</v>
      </c>
      <c r="H159" s="466">
        <f>10000+7000000</f>
        <v>7010000</v>
      </c>
      <c r="I159" s="466">
        <f>10000</f>
        <v>10000</v>
      </c>
      <c r="J159" s="466">
        <f>10000</f>
        <v>10000</v>
      </c>
      <c r="K159" s="466">
        <f>10000</f>
        <v>10000</v>
      </c>
      <c r="L159" s="466">
        <f>10000</f>
        <v>10000</v>
      </c>
      <c r="M159" s="466"/>
      <c r="N159" s="466"/>
      <c r="O159" s="467">
        <f t="shared" si="41"/>
        <v>7100000</v>
      </c>
    </row>
    <row r="160" spans="1:15" s="468" customFormat="1" ht="22.5" customHeight="1">
      <c r="A160" s="464" t="s">
        <v>20</v>
      </c>
      <c r="B160" s="465" t="s">
        <v>371</v>
      </c>
      <c r="C160" s="466"/>
      <c r="D160" s="466">
        <v>505503</v>
      </c>
      <c r="E160" s="466"/>
      <c r="F160" s="466"/>
      <c r="G160" s="466"/>
      <c r="H160" s="466"/>
      <c r="I160" s="466"/>
      <c r="J160" s="466"/>
      <c r="K160" s="466"/>
      <c r="L160" s="466"/>
      <c r="M160" s="466"/>
      <c r="N160" s="466"/>
      <c r="O160" s="467">
        <f t="shared" si="41"/>
        <v>505503</v>
      </c>
    </row>
    <row r="161" spans="1:15" s="468" customFormat="1" ht="22.5" customHeight="1">
      <c r="A161" s="464" t="s">
        <v>21</v>
      </c>
      <c r="B161" s="465" t="s">
        <v>403</v>
      </c>
      <c r="C161" s="466"/>
      <c r="D161" s="466"/>
      <c r="E161" s="466"/>
      <c r="F161" s="466"/>
      <c r="G161" s="466"/>
      <c r="H161" s="466">
        <f>317500+635000</f>
        <v>952500</v>
      </c>
      <c r="I161" s="466"/>
      <c r="J161" s="466"/>
      <c r="K161" s="466"/>
      <c r="L161" s="466"/>
      <c r="M161" s="466"/>
      <c r="N161" s="466"/>
      <c r="O161" s="467">
        <f t="shared" si="41"/>
        <v>952500</v>
      </c>
    </row>
    <row r="162" spans="1:15" s="468" customFormat="1" ht="22.5" customHeight="1" thickBot="1">
      <c r="A162" s="464" t="s">
        <v>22</v>
      </c>
      <c r="B162" s="465" t="s">
        <v>9</v>
      </c>
      <c r="C162" s="466">
        <v>541000000</v>
      </c>
      <c r="D162" s="466"/>
      <c r="E162" s="466">
        <f>475499</f>
        <v>475499</v>
      </c>
      <c r="F162" s="466"/>
      <c r="G162" s="466"/>
      <c r="H162" s="466">
        <f>262090</f>
        <v>262090</v>
      </c>
      <c r="I162" s="466"/>
      <c r="J162" s="466"/>
      <c r="K162" s="466"/>
      <c r="L162" s="466"/>
      <c r="M162" s="466"/>
      <c r="N162" s="466"/>
      <c r="O162" s="467">
        <f t="shared" si="41"/>
        <v>541737589</v>
      </c>
    </row>
    <row r="163" spans="1:15" s="473" customFormat="1" ht="15.95" customHeight="1" thickBot="1">
      <c r="A163" s="469"/>
      <c r="B163" s="470" t="s">
        <v>104</v>
      </c>
      <c r="C163" s="471">
        <f t="shared" ref="C163:N163" si="43">SUM(C154:C162)</f>
        <v>572670086</v>
      </c>
      <c r="D163" s="471">
        <f t="shared" si="43"/>
        <v>31809472</v>
      </c>
      <c r="E163" s="471">
        <f t="shared" si="43"/>
        <v>50039355.999999993</v>
      </c>
      <c r="F163" s="471">
        <f t="shared" si="43"/>
        <v>38302935</v>
      </c>
      <c r="G163" s="471">
        <f t="shared" si="43"/>
        <v>35367661</v>
      </c>
      <c r="H163" s="471">
        <f t="shared" si="43"/>
        <v>61710872</v>
      </c>
      <c r="I163" s="471">
        <f t="shared" si="43"/>
        <v>84747126</v>
      </c>
      <c r="J163" s="471">
        <f t="shared" si="43"/>
        <v>119611555</v>
      </c>
      <c r="K163" s="471">
        <f t="shared" si="43"/>
        <v>118661708</v>
      </c>
      <c r="L163" s="471">
        <f t="shared" si="43"/>
        <v>35217126</v>
      </c>
      <c r="M163" s="471">
        <f t="shared" si="43"/>
        <v>35206126</v>
      </c>
      <c r="N163" s="471">
        <f t="shared" si="43"/>
        <v>307041899</v>
      </c>
      <c r="O163" s="472">
        <f t="shared" si="41"/>
        <v>1490385922</v>
      </c>
    </row>
    <row r="164" spans="1:15" s="473" customFormat="1" ht="15.95" customHeight="1">
      <c r="A164" s="474"/>
      <c r="B164" s="475"/>
      <c r="C164" s="476"/>
      <c r="D164" s="476"/>
      <c r="E164" s="476"/>
      <c r="F164" s="476"/>
      <c r="G164" s="476"/>
      <c r="H164" s="476"/>
      <c r="I164" s="476"/>
      <c r="J164" s="476"/>
      <c r="K164" s="476"/>
      <c r="L164" s="476"/>
      <c r="M164" s="476"/>
      <c r="N164" s="476"/>
      <c r="O164" s="476"/>
    </row>
    <row r="165" spans="1:15" s="473" customFormat="1" ht="15.95" customHeight="1">
      <c r="A165" s="477"/>
      <c r="B165" s="478"/>
      <c r="C165" s="479"/>
      <c r="D165" s="479"/>
      <c r="E165" s="479"/>
      <c r="F165" s="479"/>
      <c r="G165" s="479"/>
      <c r="H165" s="479"/>
      <c r="I165" s="479"/>
      <c r="J165" s="479"/>
      <c r="K165" s="479"/>
      <c r="L165" s="479"/>
      <c r="M165" s="479"/>
      <c r="N165" s="479"/>
      <c r="O165" s="479"/>
    </row>
    <row r="166" spans="1:15" s="463" customFormat="1" ht="15" customHeight="1" thickBot="1">
      <c r="A166" s="480"/>
      <c r="B166" s="854" t="s">
        <v>52</v>
      </c>
      <c r="C166" s="855"/>
      <c r="D166" s="855"/>
      <c r="E166" s="855"/>
      <c r="F166" s="855"/>
      <c r="G166" s="855"/>
      <c r="H166" s="855"/>
      <c r="I166" s="855"/>
      <c r="J166" s="855"/>
      <c r="K166" s="855"/>
      <c r="L166" s="855"/>
      <c r="M166" s="855"/>
      <c r="N166" s="855"/>
      <c r="O166" s="856"/>
    </row>
    <row r="167" spans="1:15" s="468" customFormat="1" ht="22.5" customHeight="1">
      <c r="A167" s="464" t="s">
        <v>14</v>
      </c>
      <c r="B167" s="465" t="s">
        <v>57</v>
      </c>
      <c r="C167" s="466">
        <f>289590+5296811+5</f>
        <v>5586406</v>
      </c>
      <c r="D167" s="466">
        <f>289590+5296811</f>
        <v>5586401</v>
      </c>
      <c r="E167" s="466">
        <f>5296811+775698+4647201-1006323</f>
        <v>9713387</v>
      </c>
      <c r="F167" s="466">
        <f>5296811</f>
        <v>5296811</v>
      </c>
      <c r="G167" s="466">
        <f>5296811</f>
        <v>5296811</v>
      </c>
      <c r="H167" s="466">
        <f>5296811+2000000</f>
        <v>7296811</v>
      </c>
      <c r="I167" s="466">
        <f>6877200+5296811</f>
        <v>12174011</v>
      </c>
      <c r="J167" s="466">
        <f>6877200+5296811</f>
        <v>12174011</v>
      </c>
      <c r="K167" s="466">
        <f>5296811+365106+1363823+280000+520000+1200000+500000+570710+1000000</f>
        <v>11096450</v>
      </c>
      <c r="L167" s="466">
        <f>5296811</f>
        <v>5296811</v>
      </c>
      <c r="M167" s="466">
        <f>3144000+5296811</f>
        <v>8440811</v>
      </c>
      <c r="N167" s="466">
        <f>5296811+1000000+2100000</f>
        <v>8396811</v>
      </c>
      <c r="O167" s="467">
        <f>SUM(C167:N167)</f>
        <v>96355532</v>
      </c>
    </row>
    <row r="168" spans="1:15" s="468" customFormat="1" ht="22.5" customHeight="1">
      <c r="A168" s="464" t="s">
        <v>15</v>
      </c>
      <c r="B168" s="465" t="s">
        <v>172</v>
      </c>
      <c r="C168" s="466">
        <f>23847+1136734-5</f>
        <v>1160576</v>
      </c>
      <c r="D168" s="466">
        <f>23847+1136734</f>
        <v>1160581</v>
      </c>
      <c r="E168" s="466">
        <f>1136734+75631+453102-98116</f>
        <v>1567351</v>
      </c>
      <c r="F168" s="466">
        <f>1136734</f>
        <v>1136734</v>
      </c>
      <c r="G168" s="466">
        <f>1136734</f>
        <v>1136734</v>
      </c>
      <c r="H168" s="466">
        <f>1136734+390000</f>
        <v>1526734</v>
      </c>
      <c r="I168" s="466">
        <f>1415772+1136734</f>
        <v>2552506</v>
      </c>
      <c r="J168" s="466">
        <f>1415772+1136734</f>
        <v>2552506</v>
      </c>
      <c r="K168" s="466">
        <f>1136734+63894+238669+49000+91000+210000+87500+99876+175000</f>
        <v>2151673</v>
      </c>
      <c r="L168" s="466">
        <f>1136734</f>
        <v>1136734</v>
      </c>
      <c r="M168" s="466">
        <f>613080+1136734</f>
        <v>1749814</v>
      </c>
      <c r="N168" s="466">
        <f>1136734+385100+370000</f>
        <v>1891834</v>
      </c>
      <c r="O168" s="467">
        <f>SUM(C168:N168)</f>
        <v>19723777</v>
      </c>
    </row>
    <row r="169" spans="1:15" s="468" customFormat="1" ht="22.5" customHeight="1">
      <c r="A169" s="464" t="s">
        <v>16</v>
      </c>
      <c r="B169" s="465" t="s">
        <v>131</v>
      </c>
      <c r="C169" s="466">
        <f>17138605+3295558-2</f>
        <v>20434161</v>
      </c>
      <c r="D169" s="466">
        <f>17138605+1056000+1270000+3295558</f>
        <v>22760163</v>
      </c>
      <c r="E169" s="466">
        <f>17138605+900000+7600000+700000+2625000+3295558+32345+215957-127000</f>
        <v>32380465</v>
      </c>
      <c r="F169" s="466">
        <f>9566169+17138605+3295558</f>
        <v>30000332</v>
      </c>
      <c r="G169" s="466">
        <f>9566169+17138605+3295558+650000</f>
        <v>30650332</v>
      </c>
      <c r="H169" s="466">
        <f>17138605+29379062+3295558+5100+46000-2390000</f>
        <v>47474325</v>
      </c>
      <c r="I169" s="466">
        <f>150000+533400+29379062+3295558</f>
        <v>33358020</v>
      </c>
      <c r="J169" s="466">
        <f>150000+29379062+3295558-4000000</f>
        <v>28824620</v>
      </c>
      <c r="K169" s="466">
        <f>3295558+100000+803800+205740-205740+209700+500000+70000+317500+2051050+7135000+635000+2000000+3810000+2794000+500000</f>
        <v>24221608</v>
      </c>
      <c r="L169" s="466">
        <f>3295558</f>
        <v>3295558</v>
      </c>
      <c r="M169" s="466">
        <f>3295558</f>
        <v>3295558</v>
      </c>
      <c r="N169" s="466">
        <f>2540000+3295558+9125600+163200-1838000+161000+169000-496260-330000+55000-55000-1385100</f>
        <v>11404998</v>
      </c>
      <c r="O169" s="467">
        <f>SUM(C169:N169)</f>
        <v>288100140</v>
      </c>
    </row>
    <row r="170" spans="1:15" s="468" customFormat="1" ht="22.5" customHeight="1">
      <c r="A170" s="464" t="s">
        <v>17</v>
      </c>
      <c r="B170" s="465" t="s">
        <v>173</v>
      </c>
      <c r="C170" s="466">
        <f t="shared" ref="C170:I170" si="44">352500</f>
        <v>352500</v>
      </c>
      <c r="D170" s="466">
        <f t="shared" si="44"/>
        <v>352500</v>
      </c>
      <c r="E170" s="466">
        <f t="shared" si="44"/>
        <v>352500</v>
      </c>
      <c r="F170" s="466">
        <f t="shared" si="44"/>
        <v>352500</v>
      </c>
      <c r="G170" s="466">
        <f t="shared" si="44"/>
        <v>352500</v>
      </c>
      <c r="H170" s="466">
        <f>352500+1440000</f>
        <v>1792500</v>
      </c>
      <c r="I170" s="466">
        <f t="shared" si="44"/>
        <v>352500</v>
      </c>
      <c r="J170" s="466">
        <f>50000+900000+352500</f>
        <v>1302500</v>
      </c>
      <c r="K170" s="466">
        <f>900000+352500</f>
        <v>1252500</v>
      </c>
      <c r="L170" s="466">
        <f>1200000+352500</f>
        <v>1552500</v>
      </c>
      <c r="M170" s="466">
        <f>50000+352500</f>
        <v>402500</v>
      </c>
      <c r="N170" s="466">
        <f>352500+2334260</f>
        <v>2686760</v>
      </c>
      <c r="O170" s="467">
        <f>SUM(C170:N170)</f>
        <v>11104260</v>
      </c>
    </row>
    <row r="171" spans="1:15" s="468" customFormat="1" ht="22.5" customHeight="1">
      <c r="A171" s="464" t="s">
        <v>18</v>
      </c>
      <c r="B171" s="465" t="s">
        <v>623</v>
      </c>
      <c r="C171" s="466">
        <f>500000</f>
        <v>500000</v>
      </c>
      <c r="D171" s="466">
        <v>505503</v>
      </c>
      <c r="E171" s="466">
        <f>2886754+64975</f>
        <v>2951729</v>
      </c>
      <c r="F171" s="466"/>
      <c r="G171" s="466"/>
      <c r="H171" s="466">
        <f>500000</f>
        <v>500000</v>
      </c>
      <c r="I171" s="466"/>
      <c r="J171" s="466"/>
      <c r="K171" s="466"/>
      <c r="L171" s="466"/>
      <c r="M171" s="466"/>
      <c r="N171" s="466"/>
      <c r="O171" s="467">
        <f>SUM(C171:N171)</f>
        <v>4457232</v>
      </c>
    </row>
    <row r="172" spans="1:15" s="468" customFormat="1" ht="22.5" customHeight="1">
      <c r="A172" s="464" t="s">
        <v>19</v>
      </c>
      <c r="B172" s="465" t="s">
        <v>591</v>
      </c>
      <c r="C172" s="466">
        <f>525000+10259988-4</f>
        <v>10784984</v>
      </c>
      <c r="D172" s="466">
        <f>10259988</f>
        <v>10259988</v>
      </c>
      <c r="E172" s="466">
        <f>1840500+595000+10259988-700000</f>
        <v>11995488</v>
      </c>
      <c r="F172" s="466">
        <f>10259988</f>
        <v>10259988</v>
      </c>
      <c r="G172" s="466">
        <f>10259988</f>
        <v>10259988</v>
      </c>
      <c r="H172" s="466">
        <f>100000+10259988-1537199+917805</f>
        <v>9740594</v>
      </c>
      <c r="I172" s="466">
        <f>1500000+10259988</f>
        <v>11759988</v>
      </c>
      <c r="J172" s="466">
        <f>525000+1840500+595000+10259988</f>
        <v>13220488</v>
      </c>
      <c r="K172" s="466">
        <f>10259988</f>
        <v>10259988</v>
      </c>
      <c r="L172" s="466">
        <f>10259988</f>
        <v>10259988</v>
      </c>
      <c r="M172" s="466">
        <f>10259988</f>
        <v>10259988</v>
      </c>
      <c r="N172" s="466">
        <f>10259988-2041400</f>
        <v>8218588</v>
      </c>
      <c r="O172" s="467">
        <f t="shared" ref="O172:O179" si="45">SUM(C172:N172)</f>
        <v>127280058</v>
      </c>
    </row>
    <row r="173" spans="1:15" s="468" customFormat="1" ht="22.5" customHeight="1">
      <c r="A173" s="464" t="s">
        <v>20</v>
      </c>
      <c r="B173" s="465" t="s">
        <v>592</v>
      </c>
      <c r="C173" s="466"/>
      <c r="D173" s="466"/>
      <c r="E173" s="466">
        <f>17625000+1440000</f>
        <v>19065000</v>
      </c>
      <c r="F173" s="466"/>
      <c r="G173" s="466"/>
      <c r="H173" s="466">
        <f>30000+30000+15000-1440000</f>
        <v>-1365000</v>
      </c>
      <c r="I173" s="466"/>
      <c r="J173" s="466">
        <f>23000000</f>
        <v>23000000</v>
      </c>
      <c r="K173" s="466">
        <f>-300000+150000</f>
        <v>-150000</v>
      </c>
      <c r="L173" s="466"/>
      <c r="M173" s="466"/>
      <c r="N173" s="466">
        <f>-200000</f>
        <v>-200000</v>
      </c>
      <c r="O173" s="467">
        <f t="shared" si="45"/>
        <v>40350000</v>
      </c>
    </row>
    <row r="174" spans="1:15" s="468" customFormat="1" ht="22.5" customHeight="1">
      <c r="A174" s="464" t="s">
        <v>21</v>
      </c>
      <c r="B174" s="465" t="s">
        <v>554</v>
      </c>
      <c r="C174" s="466"/>
      <c r="D174" s="466"/>
      <c r="E174" s="466">
        <f>267920+344876+8520000+7313613+475499-2886754-64975</f>
        <v>13970179</v>
      </c>
      <c r="F174" s="466"/>
      <c r="G174" s="466"/>
      <c r="H174" s="466">
        <f>236721+335241+519000+558279+1776671+931523-8520000+1537199-100000+363642+139498-30000-30000-15000+3337921-917805-5100-46000+725120-190500+316358</f>
        <v>922768</v>
      </c>
      <c r="I174" s="466"/>
      <c r="J174" s="466"/>
      <c r="K174" s="466">
        <f>25000+10000-100000-500000-70000+43500+4189000-300000-14000-22200+297821+327267-500000-100000-2762886+230000+300000+4316000+3810000+29210000-329000-2021000-7135000-5100-635000-2000000-1270000-3810000-587500-1175000-262000-1219200-2794000-508000-1000000-500000-330315-150000</f>
        <v>12658387</v>
      </c>
      <c r="L174" s="466"/>
      <c r="M174" s="466"/>
      <c r="N174" s="466">
        <f>33170228+390000+312781+215183-311184+287980-85652+12000000+1510000-2470000</f>
        <v>45019336</v>
      </c>
      <c r="O174" s="467">
        <f t="shared" si="45"/>
        <v>72570670</v>
      </c>
    </row>
    <row r="175" spans="1:15" s="468" customFormat="1" ht="22.5" customHeight="1">
      <c r="A175" s="464" t="s">
        <v>22</v>
      </c>
      <c r="B175" s="465" t="s">
        <v>217</v>
      </c>
      <c r="C175" s="466">
        <f>20429850</f>
        <v>20429850</v>
      </c>
      <c r="D175" s="466">
        <f>1143000+127000+20429850</f>
        <v>21699850</v>
      </c>
      <c r="E175" s="466">
        <f>7556989+20429850-317500-14627225+127000</f>
        <v>13169114</v>
      </c>
      <c r="F175" s="466">
        <f>7556990+622554+20429850</f>
        <v>28609394</v>
      </c>
      <c r="G175" s="466">
        <f>1905000+14627225+16510000+20429850</f>
        <v>53472075</v>
      </c>
      <c r="H175" s="466">
        <f>2671233+20429850+7+317500+190500</f>
        <v>23609090</v>
      </c>
      <c r="I175" s="466">
        <f>762000+533400+2671233+20429850</f>
        <v>24396483</v>
      </c>
      <c r="J175" s="466">
        <f>2671233+20429850</f>
        <v>23101083</v>
      </c>
      <c r="K175" s="466">
        <f>20429850+2790232+300000+14000+22200+500000+1270000+262000+508000</f>
        <v>26096282</v>
      </c>
      <c r="L175" s="466">
        <f>20429850</f>
        <v>20429850</v>
      </c>
      <c r="M175" s="466">
        <f>20429850</f>
        <v>20429850</v>
      </c>
      <c r="N175" s="466">
        <f>20429850+246514227+3601136+85652</f>
        <v>270630865</v>
      </c>
      <c r="O175" s="467">
        <f t="shared" si="45"/>
        <v>546073786</v>
      </c>
    </row>
    <row r="176" spans="1:15" s="468" customFormat="1" ht="22.5" customHeight="1">
      <c r="A176" s="464" t="s">
        <v>23</v>
      </c>
      <c r="B176" s="465" t="s">
        <v>176</v>
      </c>
      <c r="C176" s="466">
        <f>7391575</f>
        <v>7391575</v>
      </c>
      <c r="D176" s="466">
        <f>7391575</f>
        <v>7391575</v>
      </c>
      <c r="E176" s="466">
        <f>317500+7391575-3+317500</f>
        <v>8026572</v>
      </c>
      <c r="F176" s="466">
        <f>254000+7391575</f>
        <v>7645575</v>
      </c>
      <c r="G176" s="466">
        <f t="shared" ref="G176:N176" si="46">7391575</f>
        <v>7391575</v>
      </c>
      <c r="H176" s="466">
        <f>7391575+100000+635000</f>
        <v>8126575</v>
      </c>
      <c r="I176" s="466">
        <f t="shared" si="46"/>
        <v>7391575</v>
      </c>
      <c r="J176" s="466">
        <f t="shared" si="46"/>
        <v>7391575</v>
      </c>
      <c r="K176" s="466">
        <f>7391575-317500+100000+1219200</f>
        <v>8393275</v>
      </c>
      <c r="L176" s="466">
        <f t="shared" si="46"/>
        <v>7391575</v>
      </c>
      <c r="M176" s="466">
        <f t="shared" si="46"/>
        <v>7391575</v>
      </c>
      <c r="N176" s="466">
        <f t="shared" si="46"/>
        <v>7391575</v>
      </c>
      <c r="O176" s="467">
        <f t="shared" si="45"/>
        <v>91324597</v>
      </c>
    </row>
    <row r="177" spans="1:15" s="468" customFormat="1" ht="22.5" customHeight="1">
      <c r="A177" s="464" t="s">
        <v>24</v>
      </c>
      <c r="B177" s="465" t="s">
        <v>219</v>
      </c>
      <c r="C177" s="466"/>
      <c r="D177" s="466"/>
      <c r="E177" s="466">
        <f>600000+50000</f>
        <v>650000</v>
      </c>
      <c r="F177" s="466"/>
      <c r="G177" s="466"/>
      <c r="H177" s="466"/>
      <c r="I177" s="466"/>
      <c r="J177" s="466"/>
      <c r="K177" s="466">
        <f>5100+1000000+300000</f>
        <v>1305100</v>
      </c>
      <c r="L177" s="466"/>
      <c r="M177" s="466"/>
      <c r="N177" s="466">
        <f>200000</f>
        <v>200000</v>
      </c>
      <c r="O177" s="467">
        <f t="shared" si="45"/>
        <v>2155100</v>
      </c>
    </row>
    <row r="178" spans="1:15" s="468" customFormat="1" ht="22.5" customHeight="1" thickBot="1">
      <c r="A178" s="464" t="s">
        <v>25</v>
      </c>
      <c r="B178" s="465" t="s">
        <v>10</v>
      </c>
      <c r="C178" s="466">
        <f>(176260688/12)+8107720</f>
        <v>22796110.666666664</v>
      </c>
      <c r="D178" s="466">
        <f t="shared" ref="D178:M178" si="47">(176260688/12)</f>
        <v>14688390.666666666</v>
      </c>
      <c r="E178" s="466">
        <f t="shared" si="47"/>
        <v>14688390.666666666</v>
      </c>
      <c r="F178" s="466">
        <f t="shared" si="47"/>
        <v>14688390.666666666</v>
      </c>
      <c r="G178" s="466">
        <f t="shared" si="47"/>
        <v>14688390.666666666</v>
      </c>
      <c r="H178" s="466">
        <f>(176260688/12)-558279+5811806+262090</f>
        <v>20204007.666666664</v>
      </c>
      <c r="I178" s="466">
        <f t="shared" si="47"/>
        <v>14688390.666666666</v>
      </c>
      <c r="J178" s="466">
        <f t="shared" si="47"/>
        <v>14688390.666666666</v>
      </c>
      <c r="K178" s="466">
        <f>(176260688/12)-25000-10000+350000+623745</f>
        <v>15627135.666666666</v>
      </c>
      <c r="L178" s="466">
        <f t="shared" si="47"/>
        <v>14688390.666666666</v>
      </c>
      <c r="M178" s="466">
        <f t="shared" si="47"/>
        <v>14688390.666666666</v>
      </c>
      <c r="N178" s="466">
        <f>(176260688/12)+458000-390000</f>
        <v>14756390.666666666</v>
      </c>
      <c r="O178" s="467">
        <f t="shared" si="45"/>
        <v>190890769.99999997</v>
      </c>
    </row>
    <row r="179" spans="1:15" s="473" customFormat="1" ht="15.95" customHeight="1" thickBot="1">
      <c r="A179" s="469"/>
      <c r="B179" s="470" t="s">
        <v>105</v>
      </c>
      <c r="C179" s="471">
        <f t="shared" ref="C179:N179" si="48">SUM(C167:C178)</f>
        <v>89436162.666666657</v>
      </c>
      <c r="D179" s="471">
        <f t="shared" si="48"/>
        <v>84404951.666666672</v>
      </c>
      <c r="E179" s="471">
        <f t="shared" si="48"/>
        <v>128530175.66666667</v>
      </c>
      <c r="F179" s="471">
        <f t="shared" si="48"/>
        <v>97989724.666666672</v>
      </c>
      <c r="G179" s="471">
        <f t="shared" si="48"/>
        <v>123248405.66666667</v>
      </c>
      <c r="H179" s="471">
        <f t="shared" si="48"/>
        <v>119828404.66666666</v>
      </c>
      <c r="I179" s="471">
        <f t="shared" si="48"/>
        <v>106673473.66666667</v>
      </c>
      <c r="J179" s="471">
        <f t="shared" si="48"/>
        <v>126255173.66666667</v>
      </c>
      <c r="K179" s="471">
        <f t="shared" si="48"/>
        <v>112912398.66666667</v>
      </c>
      <c r="L179" s="471">
        <f t="shared" si="48"/>
        <v>64051406.666666664</v>
      </c>
      <c r="M179" s="471">
        <f t="shared" si="48"/>
        <v>66658486.666666664</v>
      </c>
      <c r="N179" s="471">
        <f t="shared" si="48"/>
        <v>370397157.66666669</v>
      </c>
      <c r="O179" s="472">
        <f t="shared" si="45"/>
        <v>1490385922</v>
      </c>
    </row>
    <row r="180" spans="1:15" s="473" customFormat="1" ht="15.95" customHeight="1" thickBot="1">
      <c r="A180" s="481"/>
      <c r="B180" s="482"/>
      <c r="C180" s="483"/>
      <c r="D180" s="483"/>
      <c r="E180" s="483"/>
      <c r="F180" s="483"/>
      <c r="G180" s="483"/>
      <c r="H180" s="483"/>
      <c r="I180" s="483"/>
      <c r="J180" s="483"/>
      <c r="K180" s="483"/>
      <c r="L180" s="483"/>
      <c r="M180" s="483"/>
      <c r="N180" s="483"/>
      <c r="O180" s="483"/>
    </row>
    <row r="181" spans="1:15" ht="16.5" thickBot="1">
      <c r="A181" s="469"/>
      <c r="B181" s="470" t="s">
        <v>106</v>
      </c>
      <c r="C181" s="471">
        <f t="shared" ref="C181:O181" si="49">C163-C179</f>
        <v>483233923.33333337</v>
      </c>
      <c r="D181" s="471">
        <f t="shared" si="49"/>
        <v>-52595479.666666672</v>
      </c>
      <c r="E181" s="471">
        <f t="shared" si="49"/>
        <v>-78490819.666666687</v>
      </c>
      <c r="F181" s="471">
        <f t="shared" si="49"/>
        <v>-59686789.666666672</v>
      </c>
      <c r="G181" s="471">
        <f t="shared" si="49"/>
        <v>-87880744.666666672</v>
      </c>
      <c r="H181" s="471">
        <f t="shared" si="49"/>
        <v>-58117532.666666657</v>
      </c>
      <c r="I181" s="471">
        <f t="shared" si="49"/>
        <v>-21926347.666666672</v>
      </c>
      <c r="J181" s="471">
        <f t="shared" si="49"/>
        <v>-6643618.6666666716</v>
      </c>
      <c r="K181" s="471">
        <f t="shared" si="49"/>
        <v>5749309.3333333284</v>
      </c>
      <c r="L181" s="471">
        <f t="shared" si="49"/>
        <v>-28834280.666666664</v>
      </c>
      <c r="M181" s="471">
        <f t="shared" si="49"/>
        <v>-31452360.666666664</v>
      </c>
      <c r="N181" s="471">
        <f t="shared" si="49"/>
        <v>-63355258.666666687</v>
      </c>
      <c r="O181" s="472">
        <f t="shared" si="49"/>
        <v>0</v>
      </c>
    </row>
  </sheetData>
  <mergeCells count="21">
    <mergeCell ref="A149:O149"/>
    <mergeCell ref="B22:O22"/>
    <mergeCell ref="A76:O76"/>
    <mergeCell ref="A77:O77"/>
    <mergeCell ref="B94:O94"/>
    <mergeCell ref="L1:N1"/>
    <mergeCell ref="A40:O40"/>
    <mergeCell ref="A41:O41"/>
    <mergeCell ref="B45:O45"/>
    <mergeCell ref="B58:O58"/>
    <mergeCell ref="B81:O81"/>
    <mergeCell ref="B153:O153"/>
    <mergeCell ref="A4:O4"/>
    <mergeCell ref="A5:O5"/>
    <mergeCell ref="B9:O9"/>
    <mergeCell ref="A148:O148"/>
    <mergeCell ref="B166:O166"/>
    <mergeCell ref="A112:O112"/>
    <mergeCell ref="A113:O113"/>
    <mergeCell ref="B117:O117"/>
    <mergeCell ref="B130:O130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1" orientation="landscape" r:id="rId1"/>
  <headerFooter alignWithMargins="0">
    <oddHeader xml:space="preserve">&amp;R&amp;"Times New Roman CE,Félkövér dőlt"&amp;11 </oddHeader>
    <oddFooter>&amp;P. oldal, összesen: &amp;N</oddFooter>
  </headerFooter>
  <rowBreaks count="4" manualBreakCount="4">
    <brk id="39" max="14" man="1"/>
    <brk id="75" max="14" man="1"/>
    <brk id="111" max="14" man="1"/>
    <brk id="147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2">
    <tabColor rgb="FFFFFF00"/>
  </sheetPr>
  <dimension ref="A1:F47"/>
  <sheetViews>
    <sheetView topLeftCell="C40" zoomScaleNormal="100" workbookViewId="0">
      <selection activeCell="D52" sqref="D52"/>
    </sheetView>
  </sheetViews>
  <sheetFormatPr defaultRowHeight="15.75"/>
  <cols>
    <col min="1" max="1" width="109.5" style="424" bestFit="1" customWidth="1"/>
    <col min="2" max="6" width="35.33203125" style="424" bestFit="1" customWidth="1"/>
    <col min="7" max="16384" width="9.33203125" style="424"/>
  </cols>
  <sheetData>
    <row r="1" spans="1:6">
      <c r="A1" s="423" t="s">
        <v>536</v>
      </c>
    </row>
    <row r="2" spans="1:6">
      <c r="A2" s="332" t="s">
        <v>587</v>
      </c>
    </row>
    <row r="3" spans="1:6">
      <c r="A3" s="333" t="s">
        <v>685</v>
      </c>
      <c r="B3" s="333"/>
      <c r="C3" s="333"/>
      <c r="D3" s="333"/>
      <c r="E3" s="333"/>
      <c r="F3" s="333"/>
    </row>
    <row r="4" spans="1:6">
      <c r="A4" s="334"/>
      <c r="B4" s="449" t="s">
        <v>581</v>
      </c>
      <c r="C4" s="449" t="s">
        <v>581</v>
      </c>
      <c r="D4" s="449" t="s">
        <v>581</v>
      </c>
      <c r="E4" s="449" t="s">
        <v>581</v>
      </c>
      <c r="F4" s="449" t="s">
        <v>581</v>
      </c>
    </row>
    <row r="5" spans="1:6">
      <c r="A5" s="335" t="s">
        <v>47</v>
      </c>
      <c r="B5" s="335" t="s">
        <v>686</v>
      </c>
      <c r="C5" s="335" t="s">
        <v>714</v>
      </c>
      <c r="D5" s="335" t="s">
        <v>721</v>
      </c>
      <c r="E5" s="335" t="s">
        <v>749</v>
      </c>
      <c r="F5" s="335" t="s">
        <v>752</v>
      </c>
    </row>
    <row r="6" spans="1:6" s="425" customFormat="1">
      <c r="A6" s="335" t="s">
        <v>483</v>
      </c>
      <c r="B6" s="335" t="s">
        <v>484</v>
      </c>
      <c r="C6" s="335" t="s">
        <v>484</v>
      </c>
      <c r="D6" s="335" t="s">
        <v>484</v>
      </c>
      <c r="E6" s="335" t="s">
        <v>484</v>
      </c>
      <c r="F6" s="335" t="s">
        <v>484</v>
      </c>
    </row>
    <row r="7" spans="1:6">
      <c r="A7" s="335" t="s">
        <v>558</v>
      </c>
      <c r="B7" s="450">
        <f>SUM(B8+B9+B15+B17+B16+B14+B18)</f>
        <v>118506104</v>
      </c>
      <c r="C7" s="450">
        <f>SUM(C8+C9+C15+C17+C16+C14+C18)</f>
        <v>118774024</v>
      </c>
      <c r="D7" s="450">
        <f>SUM(D8+D9+D15+D17+D16+D14+D18)</f>
        <v>119109265</v>
      </c>
      <c r="E7" s="450">
        <f>SUM(E8+E9+E15+E17+E16+E14+E18)</f>
        <v>120907086</v>
      </c>
      <c r="F7" s="450">
        <f>SUM(F8+F9+F15+F17+F16+F14+F18)</f>
        <v>121219867</v>
      </c>
    </row>
    <row r="8" spans="1:6">
      <c r="A8" s="426" t="s">
        <v>559</v>
      </c>
      <c r="B8" s="451">
        <v>48777000</v>
      </c>
      <c r="C8" s="451">
        <v>48777000</v>
      </c>
      <c r="D8" s="451">
        <v>48777000</v>
      </c>
      <c r="E8" s="451">
        <v>48777000</v>
      </c>
      <c r="F8" s="451">
        <v>48777000</v>
      </c>
    </row>
    <row r="9" spans="1:6">
      <c r="A9" s="426" t="s">
        <v>560</v>
      </c>
      <c r="B9" s="452">
        <f>B10+B11+B12+B13</f>
        <v>32900904</v>
      </c>
      <c r="C9" s="452">
        <f>C10+C11+C12+C13</f>
        <v>32900904</v>
      </c>
      <c r="D9" s="452">
        <f>D10+D11+D12+D13</f>
        <v>32900904</v>
      </c>
      <c r="E9" s="452">
        <f>E10+E11+E12+E13</f>
        <v>32900904</v>
      </c>
      <c r="F9" s="452">
        <f>F10+F11+F12+F13</f>
        <v>32900904</v>
      </c>
    </row>
    <row r="10" spans="1:6">
      <c r="A10" s="427" t="s">
        <v>561</v>
      </c>
      <c r="B10" s="451">
        <v>7367920</v>
      </c>
      <c r="C10" s="451">
        <v>7367920</v>
      </c>
      <c r="D10" s="451">
        <v>7367920</v>
      </c>
      <c r="E10" s="451">
        <v>7367920</v>
      </c>
      <c r="F10" s="451">
        <v>7367920</v>
      </c>
    </row>
    <row r="11" spans="1:6">
      <c r="A11" s="427" t="s">
        <v>562</v>
      </c>
      <c r="B11" s="451">
        <v>14432000</v>
      </c>
      <c r="C11" s="451">
        <v>14432000</v>
      </c>
      <c r="D11" s="451">
        <v>14432000</v>
      </c>
      <c r="E11" s="451">
        <v>14432000</v>
      </c>
      <c r="F11" s="451">
        <v>14432000</v>
      </c>
    </row>
    <row r="12" spans="1:6">
      <c r="A12" s="427" t="s">
        <v>563</v>
      </c>
      <c r="B12" s="451">
        <v>1744044</v>
      </c>
      <c r="C12" s="451">
        <v>1744044</v>
      </c>
      <c r="D12" s="451">
        <v>1744044</v>
      </c>
      <c r="E12" s="451">
        <v>1744044</v>
      </c>
      <c r="F12" s="451">
        <v>1744044</v>
      </c>
    </row>
    <row r="13" spans="1:6">
      <c r="A13" s="427" t="s">
        <v>564</v>
      </c>
      <c r="B13" s="451">
        <v>9356940</v>
      </c>
      <c r="C13" s="451">
        <v>9356940</v>
      </c>
      <c r="D13" s="451">
        <v>9356940</v>
      </c>
      <c r="E13" s="451">
        <v>9356940</v>
      </c>
      <c r="F13" s="451">
        <v>9356940</v>
      </c>
    </row>
    <row r="14" spans="1:6">
      <c r="A14" s="426" t="s">
        <v>651</v>
      </c>
      <c r="B14" s="451">
        <v>972400</v>
      </c>
      <c r="C14" s="451">
        <v>972400</v>
      </c>
      <c r="D14" s="451">
        <v>972400</v>
      </c>
      <c r="E14" s="451">
        <v>972400</v>
      </c>
      <c r="F14" s="451">
        <v>972400</v>
      </c>
    </row>
    <row r="15" spans="1:6">
      <c r="A15" s="426" t="s">
        <v>582</v>
      </c>
      <c r="B15" s="451">
        <v>6885000</v>
      </c>
      <c r="C15" s="451">
        <v>6885000</v>
      </c>
      <c r="D15" s="451">
        <v>6885000</v>
      </c>
      <c r="E15" s="451">
        <v>6885000</v>
      </c>
      <c r="F15" s="451">
        <v>6885000</v>
      </c>
    </row>
    <row r="16" spans="1:6">
      <c r="A16" s="426" t="s">
        <v>571</v>
      </c>
      <c r="B16" s="453">
        <v>28970800</v>
      </c>
      <c r="C16" s="453">
        <v>28970800</v>
      </c>
      <c r="D16" s="453">
        <v>28970800</v>
      </c>
      <c r="E16" s="453">
        <v>28970800</v>
      </c>
      <c r="F16" s="453">
        <v>28970800</v>
      </c>
    </row>
    <row r="17" spans="1:6">
      <c r="A17" s="426" t="s">
        <v>694</v>
      </c>
      <c r="B17" s="453"/>
      <c r="C17" s="453">
        <f>267920</f>
        <v>267920</v>
      </c>
      <c r="D17" s="453">
        <f>267920+335241</f>
        <v>603161</v>
      </c>
      <c r="E17" s="453">
        <f>603161+297821</f>
        <v>900982</v>
      </c>
      <c r="F17" s="453">
        <f>603161+297821+312781</f>
        <v>1213763</v>
      </c>
    </row>
    <row r="18" spans="1:6">
      <c r="A18" s="426" t="s">
        <v>736</v>
      </c>
      <c r="B18" s="453"/>
      <c r="C18" s="453"/>
      <c r="D18" s="453"/>
      <c r="E18" s="453">
        <v>1500000</v>
      </c>
      <c r="F18" s="453">
        <v>1500000</v>
      </c>
    </row>
    <row r="19" spans="1:6">
      <c r="A19" s="428" t="s">
        <v>565</v>
      </c>
      <c r="B19" s="454">
        <f>B20+B21+B22</f>
        <v>64532484</v>
      </c>
      <c r="C19" s="454">
        <f>C20+C21+C22</f>
        <v>64532484</v>
      </c>
      <c r="D19" s="454">
        <f>D20+D21+D22</f>
        <v>64896126</v>
      </c>
      <c r="E19" s="454">
        <f>E20+E21+E22</f>
        <v>66066126</v>
      </c>
      <c r="F19" s="454">
        <f>F20+F21+F22</f>
        <v>65887942</v>
      </c>
    </row>
    <row r="20" spans="1:6">
      <c r="A20" s="426" t="s">
        <v>583</v>
      </c>
      <c r="B20" s="451">
        <v>54467817</v>
      </c>
      <c r="C20" s="451">
        <v>54467817</v>
      </c>
      <c r="D20" s="451">
        <f>54467817+363642</f>
        <v>54831459</v>
      </c>
      <c r="E20" s="451">
        <f>54467817+363642</f>
        <v>54831459</v>
      </c>
      <c r="F20" s="451">
        <f>54467817+363642-145717</f>
        <v>54685742</v>
      </c>
    </row>
    <row r="21" spans="1:6">
      <c r="A21" s="426" t="s">
        <v>566</v>
      </c>
      <c r="B21" s="451">
        <v>10064667</v>
      </c>
      <c r="C21" s="451">
        <v>10064667</v>
      </c>
      <c r="D21" s="451">
        <v>10064667</v>
      </c>
      <c r="E21" s="451">
        <v>10064667</v>
      </c>
      <c r="F21" s="451">
        <f>10064667-32467</f>
        <v>10032200</v>
      </c>
    </row>
    <row r="22" spans="1:6">
      <c r="A22" s="426" t="s">
        <v>736</v>
      </c>
      <c r="B22" s="451"/>
      <c r="C22" s="451"/>
      <c r="D22" s="451"/>
      <c r="E22" s="451">
        <v>1170000</v>
      </c>
      <c r="F22" s="451">
        <v>1170000</v>
      </c>
    </row>
    <row r="23" spans="1:6">
      <c r="A23" s="428" t="s">
        <v>585</v>
      </c>
      <c r="B23" s="454">
        <f>B24+B25+B26+B27+B28</f>
        <v>37842188</v>
      </c>
      <c r="C23" s="454">
        <f>C24+C25+C26+C27+C28</f>
        <v>37842188</v>
      </c>
      <c r="D23" s="454">
        <f>D24+D25+D26+D27+D28</f>
        <v>37842188</v>
      </c>
      <c r="E23" s="454">
        <f>E24+E25+E26+E27+E28</f>
        <v>36493302</v>
      </c>
      <c r="F23" s="454">
        <f>F24+F25+F26+F27+F28</f>
        <v>36360302</v>
      </c>
    </row>
    <row r="24" spans="1:6">
      <c r="A24" s="429" t="s">
        <v>567</v>
      </c>
      <c r="B24" s="455">
        <v>11093000</v>
      </c>
      <c r="C24" s="455">
        <v>11093000</v>
      </c>
      <c r="D24" s="455">
        <v>11093000</v>
      </c>
      <c r="E24" s="455">
        <v>11093000</v>
      </c>
      <c r="F24" s="455">
        <v>11093000</v>
      </c>
    </row>
    <row r="25" spans="1:6">
      <c r="A25" s="430" t="s">
        <v>568</v>
      </c>
      <c r="B25" s="456">
        <v>885760</v>
      </c>
      <c r="C25" s="456">
        <v>885760</v>
      </c>
      <c r="D25" s="456">
        <v>885760</v>
      </c>
      <c r="E25" s="456">
        <v>885760</v>
      </c>
      <c r="F25" s="456">
        <v>885760</v>
      </c>
    </row>
    <row r="26" spans="1:6">
      <c r="A26" s="426" t="s">
        <v>569</v>
      </c>
      <c r="B26" s="453">
        <v>11913000</v>
      </c>
      <c r="C26" s="453">
        <v>11913000</v>
      </c>
      <c r="D26" s="453">
        <v>11913000</v>
      </c>
      <c r="E26" s="453">
        <v>11913000</v>
      </c>
      <c r="F26" s="453">
        <f>11913000-133000</f>
        <v>11780000</v>
      </c>
    </row>
    <row r="27" spans="1:6">
      <c r="A27" s="426" t="s">
        <v>570</v>
      </c>
      <c r="B27" s="453">
        <v>13950428</v>
      </c>
      <c r="C27" s="453">
        <v>13950428</v>
      </c>
      <c r="D27" s="453">
        <v>13950428</v>
      </c>
      <c r="E27" s="453">
        <f>13950428-2762886</f>
        <v>11187542</v>
      </c>
      <c r="F27" s="453">
        <f>13950428-2762886</f>
        <v>11187542</v>
      </c>
    </row>
    <row r="28" spans="1:6">
      <c r="A28" s="771" t="s">
        <v>736</v>
      </c>
      <c r="B28" s="453"/>
      <c r="C28" s="453"/>
      <c r="D28" s="453"/>
      <c r="E28" s="453">
        <f>E29+E30</f>
        <v>1414000</v>
      </c>
      <c r="F28" s="453">
        <f>F29+F30</f>
        <v>1414000</v>
      </c>
    </row>
    <row r="29" spans="1:6">
      <c r="A29" s="426" t="s">
        <v>737</v>
      </c>
      <c r="B29" s="453"/>
      <c r="C29" s="453"/>
      <c r="D29" s="453"/>
      <c r="E29" s="453">
        <v>160000</v>
      </c>
      <c r="F29" s="453">
        <v>160000</v>
      </c>
    </row>
    <row r="30" spans="1:6">
      <c r="A30" s="426" t="s">
        <v>738</v>
      </c>
      <c r="B30" s="453"/>
      <c r="C30" s="453"/>
      <c r="D30" s="453"/>
      <c r="E30" s="453">
        <v>1254000</v>
      </c>
      <c r="F30" s="453">
        <v>1254000</v>
      </c>
    </row>
    <row r="31" spans="1:6">
      <c r="A31" s="426"/>
      <c r="B31" s="453"/>
      <c r="C31" s="453"/>
      <c r="D31" s="453"/>
      <c r="E31" s="453"/>
      <c r="F31" s="453"/>
    </row>
    <row r="32" spans="1:6">
      <c r="A32" s="428" t="s">
        <v>586</v>
      </c>
      <c r="B32" s="457">
        <f>B33+B34+B35+B36</f>
        <v>3085500</v>
      </c>
      <c r="C32" s="457">
        <f>C33+C34+C35+C36</f>
        <v>3430376</v>
      </c>
      <c r="D32" s="457">
        <f>D33+D34+D35+D36</f>
        <v>4186097</v>
      </c>
      <c r="E32" s="457">
        <f>E33+E34+E35+E36</f>
        <v>4618364</v>
      </c>
      <c r="F32" s="457">
        <f>F33+F34+F35+F36</f>
        <v>4833547</v>
      </c>
    </row>
    <row r="33" spans="1:6">
      <c r="A33" s="430" t="s">
        <v>584</v>
      </c>
      <c r="B33" s="456">
        <v>3085500</v>
      </c>
      <c r="C33" s="456">
        <v>3085500</v>
      </c>
      <c r="D33" s="456">
        <v>3085500</v>
      </c>
      <c r="E33" s="456">
        <v>3085500</v>
      </c>
      <c r="F33" s="456">
        <v>3085500</v>
      </c>
    </row>
    <row r="34" spans="1:6">
      <c r="A34" s="430" t="s">
        <v>626</v>
      </c>
      <c r="B34" s="456"/>
      <c r="C34" s="456">
        <f>344876</f>
        <v>344876</v>
      </c>
      <c r="D34" s="456">
        <f>344876+236721</f>
        <v>581597</v>
      </c>
      <c r="E34" s="456">
        <f>581597+327267</f>
        <v>908864</v>
      </c>
      <c r="F34" s="456">
        <f>581597+327267+215183</f>
        <v>1124047</v>
      </c>
    </row>
    <row r="35" spans="1:6">
      <c r="A35" s="430" t="s">
        <v>639</v>
      </c>
      <c r="B35" s="456"/>
      <c r="C35" s="456"/>
      <c r="D35" s="456">
        <v>519000</v>
      </c>
      <c r="E35" s="456">
        <v>519000</v>
      </c>
      <c r="F35" s="456">
        <v>519000</v>
      </c>
    </row>
    <row r="36" spans="1:6">
      <c r="A36" s="426" t="s">
        <v>736</v>
      </c>
      <c r="B36" s="456"/>
      <c r="C36" s="456"/>
      <c r="D36" s="456"/>
      <c r="E36" s="456">
        <v>105000</v>
      </c>
      <c r="F36" s="456">
        <v>105000</v>
      </c>
    </row>
    <row r="37" spans="1:6" s="431" customFormat="1">
      <c r="A37" s="428" t="s">
        <v>638</v>
      </c>
      <c r="B37" s="457">
        <f>B38+B39+B41+B42+B40</f>
        <v>0</v>
      </c>
      <c r="C37" s="457">
        <f>C38+C39+C41+C42+C40</f>
        <v>8520000</v>
      </c>
      <c r="D37" s="457">
        <f>D38+D39+D41+D42+D40</f>
        <v>8520000</v>
      </c>
      <c r="E37" s="457">
        <f>E38+E39+E41+E42+E40</f>
        <v>10921050</v>
      </c>
      <c r="F37" s="457">
        <f>F38+F39+F41+F42+F40</f>
        <v>31879650</v>
      </c>
    </row>
    <row r="38" spans="1:6">
      <c r="A38" s="426" t="s">
        <v>642</v>
      </c>
      <c r="B38" s="453"/>
      <c r="C38" s="453"/>
      <c r="D38" s="453"/>
      <c r="E38" s="453">
        <v>2051050</v>
      </c>
      <c r="F38" s="453">
        <v>2051050</v>
      </c>
    </row>
    <row r="39" spans="1:6">
      <c r="A39" s="426" t="s">
        <v>572</v>
      </c>
      <c r="B39" s="453"/>
      <c r="C39" s="453"/>
      <c r="D39" s="453"/>
      <c r="E39" s="453"/>
      <c r="F39" s="453"/>
    </row>
    <row r="40" spans="1:6">
      <c r="A40" s="426" t="s">
        <v>742</v>
      </c>
      <c r="B40" s="453"/>
      <c r="C40" s="453"/>
      <c r="D40" s="453"/>
      <c r="E40" s="453">
        <v>350000</v>
      </c>
      <c r="F40" s="453">
        <v>350000</v>
      </c>
    </row>
    <row r="41" spans="1:6">
      <c r="A41" s="426" t="s">
        <v>637</v>
      </c>
      <c r="B41" s="453"/>
      <c r="C41" s="453"/>
      <c r="D41" s="453"/>
      <c r="E41" s="453"/>
      <c r="F41" s="453">
        <v>20958600</v>
      </c>
    </row>
    <row r="42" spans="1:6">
      <c r="A42" s="426" t="s">
        <v>717</v>
      </c>
      <c r="B42" s="453"/>
      <c r="C42" s="453">
        <v>8520000</v>
      </c>
      <c r="D42" s="453">
        <v>8520000</v>
      </c>
      <c r="E42" s="453">
        <v>8520000</v>
      </c>
      <c r="F42" s="453">
        <v>8520000</v>
      </c>
    </row>
    <row r="43" spans="1:6">
      <c r="A43" s="428" t="s">
        <v>427</v>
      </c>
      <c r="B43" s="457">
        <f>B44</f>
        <v>0</v>
      </c>
      <c r="C43" s="457">
        <f>C44</f>
        <v>0</v>
      </c>
      <c r="D43" s="457">
        <f>D44</f>
        <v>0</v>
      </c>
      <c r="E43" s="457">
        <f>E44</f>
        <v>0</v>
      </c>
      <c r="F43" s="457">
        <f>F44</f>
        <v>0</v>
      </c>
    </row>
    <row r="44" spans="1:6">
      <c r="A44" s="426" t="s">
        <v>695</v>
      </c>
      <c r="B44" s="453"/>
      <c r="C44" s="453"/>
      <c r="D44" s="453"/>
      <c r="E44" s="453"/>
      <c r="F44" s="453"/>
    </row>
    <row r="45" spans="1:6">
      <c r="A45" s="428" t="s">
        <v>668</v>
      </c>
      <c r="B45" s="457">
        <f>B46</f>
        <v>0</v>
      </c>
      <c r="C45" s="457">
        <f>C46</f>
        <v>0</v>
      </c>
      <c r="D45" s="457">
        <f>D46</f>
        <v>0</v>
      </c>
      <c r="E45" s="457">
        <f>E46</f>
        <v>0</v>
      </c>
      <c r="F45" s="457">
        <f>F46</f>
        <v>0</v>
      </c>
    </row>
    <row r="46" spans="1:6">
      <c r="A46" s="426" t="s">
        <v>668</v>
      </c>
      <c r="B46" s="453"/>
      <c r="C46" s="453"/>
      <c r="D46" s="453"/>
      <c r="E46" s="453"/>
      <c r="F46" s="453"/>
    </row>
    <row r="47" spans="1:6">
      <c r="A47" s="432" t="s">
        <v>48</v>
      </c>
      <c r="B47" s="450">
        <f>B7+B19+B23+B32+B37+B43+B45</f>
        <v>223966276</v>
      </c>
      <c r="C47" s="450">
        <f>C7+C19+C23+C32+C37+C43+C45</f>
        <v>233099072</v>
      </c>
      <c r="D47" s="450">
        <f>D7+D19+D23+D32+D37+D43+D45</f>
        <v>234553676</v>
      </c>
      <c r="E47" s="450">
        <f>E7+E19+E23+E32+E37+E43+E45</f>
        <v>239005928</v>
      </c>
      <c r="F47" s="450">
        <f>F7+F19+F23+F32+F37+F43+F45</f>
        <v>260181308</v>
      </c>
    </row>
  </sheetData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48" orientation="landscape" verticalDpi="300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3">
    <tabColor rgb="FFFFFF00"/>
  </sheetPr>
  <dimension ref="A1:H25"/>
  <sheetViews>
    <sheetView topLeftCell="C16" zoomScaleNormal="100" workbookViewId="0">
      <selection activeCell="D27" sqref="D27"/>
    </sheetView>
  </sheetViews>
  <sheetFormatPr defaultColWidth="14" defaultRowHeight="15.75"/>
  <cols>
    <col min="1" max="1" width="10.5" style="262" bestFit="1" customWidth="1"/>
    <col min="2" max="2" width="78.33203125" style="262" bestFit="1" customWidth="1"/>
    <col min="3" max="3" width="47.6640625" style="262" bestFit="1" customWidth="1"/>
    <col min="4" max="8" width="14.33203125" style="262" bestFit="1" customWidth="1"/>
    <col min="9" max="16384" width="14" style="262"/>
  </cols>
  <sheetData>
    <row r="1" spans="1:8" ht="22.5" customHeight="1">
      <c r="A1" s="838" t="s">
        <v>580</v>
      </c>
      <c r="B1" s="838"/>
      <c r="C1" s="838"/>
    </row>
    <row r="2" spans="1:8" ht="17.25" customHeight="1">
      <c r="A2" s="838" t="s">
        <v>683</v>
      </c>
      <c r="B2" s="838"/>
      <c r="C2" s="838"/>
      <c r="D2" s="326"/>
      <c r="E2" s="326"/>
      <c r="F2" s="326"/>
      <c r="G2" s="326"/>
      <c r="H2" s="326"/>
    </row>
    <row r="3" spans="1:8" ht="17.25" customHeight="1">
      <c r="A3" s="326"/>
      <c r="B3" s="326"/>
      <c r="C3" s="326"/>
      <c r="D3" s="326"/>
      <c r="E3" s="326"/>
      <c r="F3" s="326"/>
      <c r="G3" s="326"/>
      <c r="H3" s="326"/>
    </row>
    <row r="4" spans="1:8" ht="16.5" thickBot="1">
      <c r="C4" s="366" t="s">
        <v>581</v>
      </c>
    </row>
    <row r="5" spans="1:8" ht="55.5" customHeight="1">
      <c r="A5" s="327" t="s">
        <v>578</v>
      </c>
      <c r="B5" s="327" t="s">
        <v>120</v>
      </c>
      <c r="C5" s="327" t="s">
        <v>121</v>
      </c>
      <c r="D5" s="447" t="s">
        <v>684</v>
      </c>
      <c r="E5" s="447" t="s">
        <v>713</v>
      </c>
      <c r="F5" s="447" t="s">
        <v>722</v>
      </c>
      <c r="G5" s="447" t="s">
        <v>731</v>
      </c>
      <c r="H5" s="447" t="s">
        <v>753</v>
      </c>
    </row>
    <row r="6" spans="1:8" ht="15.95" customHeight="1">
      <c r="A6" s="328" t="s">
        <v>14</v>
      </c>
      <c r="B6" s="329" t="s">
        <v>550</v>
      </c>
      <c r="C6" s="329" t="s">
        <v>574</v>
      </c>
      <c r="D6" s="445">
        <v>200000</v>
      </c>
      <c r="E6" s="445">
        <v>200000</v>
      </c>
      <c r="F6" s="445">
        <v>200000</v>
      </c>
      <c r="G6" s="445">
        <v>200000</v>
      </c>
      <c r="H6" s="445">
        <v>200000</v>
      </c>
    </row>
    <row r="7" spans="1:8" ht="15.95" customHeight="1">
      <c r="A7" s="328" t="s">
        <v>15</v>
      </c>
      <c r="B7" s="376" t="s">
        <v>542</v>
      </c>
      <c r="C7" s="376" t="s">
        <v>574</v>
      </c>
      <c r="D7" s="446">
        <v>300000</v>
      </c>
      <c r="E7" s="446">
        <v>300000</v>
      </c>
      <c r="F7" s="446">
        <v>300000</v>
      </c>
      <c r="G7" s="446">
        <v>300000</v>
      </c>
      <c r="H7" s="446">
        <v>300000</v>
      </c>
    </row>
    <row r="8" spans="1:8" ht="15.95" customHeight="1">
      <c r="A8" s="328" t="s">
        <v>16</v>
      </c>
      <c r="B8" s="329" t="s">
        <v>543</v>
      </c>
      <c r="C8" s="329" t="s">
        <v>574</v>
      </c>
      <c r="D8" s="445">
        <v>100000</v>
      </c>
      <c r="E8" s="445">
        <v>100000</v>
      </c>
      <c r="F8" s="445">
        <v>100000</v>
      </c>
      <c r="G8" s="445">
        <v>100000</v>
      </c>
      <c r="H8" s="445">
        <v>100000</v>
      </c>
    </row>
    <row r="9" spans="1:8" ht="18.75" customHeight="1">
      <c r="A9" s="328" t="s">
        <v>17</v>
      </c>
      <c r="B9" s="330" t="s">
        <v>545</v>
      </c>
      <c r="C9" s="329" t="s">
        <v>574</v>
      </c>
      <c r="D9" s="445">
        <v>1150000</v>
      </c>
      <c r="E9" s="445">
        <v>1150000</v>
      </c>
      <c r="F9" s="445">
        <v>1150000</v>
      </c>
      <c r="G9" s="445">
        <f>1150000+150000</f>
        <v>1300000</v>
      </c>
      <c r="H9" s="445">
        <f>1150000+150000</f>
        <v>1300000</v>
      </c>
    </row>
    <row r="10" spans="1:8" ht="15.95" customHeight="1">
      <c r="A10" s="328" t="s">
        <v>18</v>
      </c>
      <c r="B10" s="329" t="s">
        <v>546</v>
      </c>
      <c r="C10" s="329" t="s">
        <v>574</v>
      </c>
      <c r="D10" s="445">
        <v>200000</v>
      </c>
      <c r="E10" s="445">
        <v>200000</v>
      </c>
      <c r="F10" s="445">
        <v>200000</v>
      </c>
      <c r="G10" s="445">
        <v>200000</v>
      </c>
      <c r="H10" s="445">
        <v>200000</v>
      </c>
    </row>
    <row r="11" spans="1:8" ht="15.95" customHeight="1">
      <c r="A11" s="328" t="s">
        <v>19</v>
      </c>
      <c r="B11" s="329" t="s">
        <v>546</v>
      </c>
      <c r="C11" s="329" t="s">
        <v>574</v>
      </c>
      <c r="D11" s="445">
        <v>500000</v>
      </c>
      <c r="E11" s="445">
        <v>500000</v>
      </c>
      <c r="F11" s="445">
        <v>500000</v>
      </c>
      <c r="G11" s="445">
        <f>500000-300000</f>
        <v>200000</v>
      </c>
      <c r="H11" s="445">
        <f>500000-300000-200000</f>
        <v>0</v>
      </c>
    </row>
    <row r="12" spans="1:8" ht="15.95" customHeight="1">
      <c r="A12" s="328" t="s">
        <v>20</v>
      </c>
      <c r="B12" s="329" t="s">
        <v>643</v>
      </c>
      <c r="C12" s="329" t="s">
        <v>574</v>
      </c>
      <c r="D12" s="445">
        <v>80000</v>
      </c>
      <c r="E12" s="445">
        <v>80000</v>
      </c>
      <c r="F12" s="445">
        <v>80000</v>
      </c>
      <c r="G12" s="445">
        <v>80000</v>
      </c>
      <c r="H12" s="445">
        <v>80000</v>
      </c>
    </row>
    <row r="13" spans="1:8" ht="15.95" customHeight="1">
      <c r="A13" s="328" t="s">
        <v>21</v>
      </c>
      <c r="B13" s="329" t="s">
        <v>547</v>
      </c>
      <c r="C13" s="329" t="s">
        <v>574</v>
      </c>
      <c r="D13" s="445">
        <v>7600000</v>
      </c>
      <c r="E13" s="445">
        <v>7600000</v>
      </c>
      <c r="F13" s="445">
        <v>7600000</v>
      </c>
      <c r="G13" s="445">
        <v>7600000</v>
      </c>
      <c r="H13" s="445">
        <v>7600000</v>
      </c>
    </row>
    <row r="14" spans="1:8" ht="15.95" customHeight="1">
      <c r="A14" s="328" t="s">
        <v>22</v>
      </c>
      <c r="B14" s="329" t="s">
        <v>548</v>
      </c>
      <c r="C14" s="329" t="s">
        <v>574</v>
      </c>
      <c r="D14" s="445">
        <v>700000</v>
      </c>
      <c r="E14" s="445">
        <v>700000</v>
      </c>
      <c r="F14" s="445">
        <v>700000</v>
      </c>
      <c r="G14" s="445">
        <v>700000</v>
      </c>
      <c r="H14" s="445">
        <v>700000</v>
      </c>
    </row>
    <row r="15" spans="1:8" ht="16.5" customHeight="1">
      <c r="A15" s="328" t="s">
        <v>23</v>
      </c>
      <c r="B15" s="329" t="s">
        <v>544</v>
      </c>
      <c r="C15" s="329" t="s">
        <v>574</v>
      </c>
      <c r="D15" s="445">
        <v>900000</v>
      </c>
      <c r="E15" s="445">
        <v>900000</v>
      </c>
      <c r="F15" s="445">
        <v>900000</v>
      </c>
      <c r="G15" s="445">
        <v>900000</v>
      </c>
      <c r="H15" s="445">
        <v>900000</v>
      </c>
    </row>
    <row r="16" spans="1:8" ht="15.95" customHeight="1">
      <c r="A16" s="328" t="s">
        <v>24</v>
      </c>
      <c r="B16" s="329" t="s">
        <v>636</v>
      </c>
      <c r="C16" s="329" t="s">
        <v>574</v>
      </c>
      <c r="D16" s="445">
        <v>5600000</v>
      </c>
      <c r="E16" s="445">
        <v>5600000</v>
      </c>
      <c r="F16" s="445">
        <v>5600000</v>
      </c>
      <c r="G16" s="445">
        <v>5600000</v>
      </c>
      <c r="H16" s="445">
        <v>5600000</v>
      </c>
    </row>
    <row r="17" spans="1:8" ht="15.95" customHeight="1">
      <c r="A17" s="328" t="s">
        <v>25</v>
      </c>
      <c r="B17" s="329" t="s">
        <v>549</v>
      </c>
      <c r="C17" s="329" t="s">
        <v>574</v>
      </c>
      <c r="D17" s="445">
        <v>200000</v>
      </c>
      <c r="E17" s="445">
        <v>200000</v>
      </c>
      <c r="F17" s="445">
        <v>200000</v>
      </c>
      <c r="G17" s="445">
        <v>200000</v>
      </c>
      <c r="H17" s="445">
        <v>200000</v>
      </c>
    </row>
    <row r="18" spans="1:8" ht="15.95" customHeight="1">
      <c r="A18" s="328" t="s">
        <v>26</v>
      </c>
      <c r="B18" s="329" t="s">
        <v>612</v>
      </c>
      <c r="C18" s="329" t="s">
        <v>574</v>
      </c>
      <c r="D18" s="445">
        <v>95000</v>
      </c>
      <c r="E18" s="445">
        <v>95000</v>
      </c>
      <c r="F18" s="445">
        <v>95000</v>
      </c>
      <c r="G18" s="445">
        <v>95000</v>
      </c>
      <c r="H18" s="445">
        <v>95000</v>
      </c>
    </row>
    <row r="19" spans="1:8" ht="15.95" customHeight="1">
      <c r="A19" s="328" t="s">
        <v>27</v>
      </c>
      <c r="B19" s="329" t="s">
        <v>579</v>
      </c>
      <c r="C19" s="329" t="s">
        <v>574</v>
      </c>
      <c r="D19" s="445">
        <v>1440000</v>
      </c>
      <c r="E19" s="445">
        <v>1440000</v>
      </c>
      <c r="F19" s="445">
        <v>1440000</v>
      </c>
      <c r="G19" s="445">
        <v>1440000</v>
      </c>
      <c r="H19" s="445">
        <v>1440000</v>
      </c>
    </row>
    <row r="20" spans="1:8" ht="15.95" customHeight="1">
      <c r="A20" s="328" t="s">
        <v>28</v>
      </c>
      <c r="B20" s="329" t="s">
        <v>727</v>
      </c>
      <c r="C20" s="329" t="s">
        <v>574</v>
      </c>
      <c r="D20" s="445"/>
      <c r="E20" s="445"/>
      <c r="F20" s="445">
        <v>30000</v>
      </c>
      <c r="G20" s="445">
        <v>30000</v>
      </c>
      <c r="H20" s="445">
        <v>30000</v>
      </c>
    </row>
    <row r="21" spans="1:8" ht="15.95" customHeight="1">
      <c r="A21" s="328" t="s">
        <v>29</v>
      </c>
      <c r="B21" s="329" t="s">
        <v>728</v>
      </c>
      <c r="C21" s="329" t="s">
        <v>574</v>
      </c>
      <c r="D21" s="445"/>
      <c r="E21" s="445"/>
      <c r="F21" s="445">
        <v>30000</v>
      </c>
      <c r="G21" s="445">
        <v>30000</v>
      </c>
      <c r="H21" s="445">
        <v>30000</v>
      </c>
    </row>
    <row r="22" spans="1:8" ht="15.95" customHeight="1">
      <c r="A22" s="328" t="s">
        <v>30</v>
      </c>
      <c r="B22" s="329" t="s">
        <v>547</v>
      </c>
      <c r="C22" s="329" t="s">
        <v>667</v>
      </c>
      <c r="D22" s="445">
        <v>600000</v>
      </c>
      <c r="E22" s="445">
        <v>600000</v>
      </c>
      <c r="F22" s="445">
        <v>600000</v>
      </c>
      <c r="G22" s="445">
        <v>600000</v>
      </c>
      <c r="H22" s="445">
        <v>600000</v>
      </c>
    </row>
    <row r="23" spans="1:8" ht="15.95" customHeight="1">
      <c r="A23" s="328" t="s">
        <v>31</v>
      </c>
      <c r="B23" s="329" t="s">
        <v>712</v>
      </c>
      <c r="C23" s="329" t="s">
        <v>667</v>
      </c>
      <c r="D23" s="445">
        <v>50000</v>
      </c>
      <c r="E23" s="445">
        <v>50000</v>
      </c>
      <c r="F23" s="445">
        <v>50000</v>
      </c>
      <c r="G23" s="445">
        <v>50000</v>
      </c>
      <c r="H23" s="445">
        <v>50000</v>
      </c>
    </row>
    <row r="24" spans="1:8" ht="15.95" customHeight="1" thickBot="1">
      <c r="A24" s="328" t="s">
        <v>32</v>
      </c>
      <c r="B24" s="329" t="s">
        <v>546</v>
      </c>
      <c r="C24" s="329" t="s">
        <v>667</v>
      </c>
      <c r="D24" s="445"/>
      <c r="E24" s="445"/>
      <c r="F24" s="445"/>
      <c r="G24" s="445">
        <v>300000</v>
      </c>
      <c r="H24" s="445">
        <f>300000+200000</f>
        <v>500000</v>
      </c>
    </row>
    <row r="25" spans="1:8" ht="15.95" customHeight="1" thickBot="1">
      <c r="A25" s="858" t="s">
        <v>48</v>
      </c>
      <c r="B25" s="859"/>
      <c r="C25" s="331"/>
      <c r="D25" s="448">
        <f>SUM(D6:D24)</f>
        <v>19715000</v>
      </c>
      <c r="E25" s="448">
        <f>SUM(E6:E24)</f>
        <v>19715000</v>
      </c>
      <c r="F25" s="448">
        <f>SUM(F6:F24)</f>
        <v>19775000</v>
      </c>
      <c r="G25" s="448">
        <f>SUM(G6:G24)</f>
        <v>19925000</v>
      </c>
      <c r="H25" s="448">
        <f>SUM(H6:H24)</f>
        <v>19925000</v>
      </c>
    </row>
  </sheetData>
  <mergeCells count="3">
    <mergeCell ref="A1:C1"/>
    <mergeCell ref="A25:B25"/>
    <mergeCell ref="A2:C2"/>
  </mergeCells>
  <phoneticPr fontId="6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45" orientation="portrait" copies="4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4">
    <tabColor rgb="FFFFFF00"/>
  </sheetPr>
  <dimension ref="A1:F48"/>
  <sheetViews>
    <sheetView zoomScale="120" zoomScaleNormal="120" zoomScaleSheetLayoutView="100" workbookViewId="0">
      <selection activeCell="H4" sqref="H4"/>
    </sheetView>
  </sheetViews>
  <sheetFormatPr defaultRowHeight="15.75"/>
  <cols>
    <col min="1" max="1" width="9" style="657" customWidth="1"/>
    <col min="2" max="2" width="66.33203125" style="657" bestFit="1" customWidth="1"/>
    <col min="3" max="5" width="15.5" style="770" customWidth="1"/>
    <col min="6" max="6" width="9" style="657" customWidth="1"/>
    <col min="7" max="16384" width="9.33203125" style="657"/>
  </cols>
  <sheetData>
    <row r="1" spans="1:5" ht="15.95" customHeight="1">
      <c r="A1" s="789" t="s">
        <v>11</v>
      </c>
      <c r="B1" s="789"/>
      <c r="C1" s="789"/>
      <c r="D1" s="789"/>
      <c r="E1" s="789"/>
    </row>
    <row r="2" spans="1:5" ht="15.95" customHeight="1" thickBot="1">
      <c r="A2" s="790" t="s">
        <v>142</v>
      </c>
      <c r="B2" s="790"/>
    </row>
    <row r="3" spans="1:5" ht="38.1" customHeight="1" thickBot="1">
      <c r="A3" s="33" t="s">
        <v>64</v>
      </c>
      <c r="B3" s="34" t="s">
        <v>13</v>
      </c>
      <c r="C3" s="34" t="s">
        <v>660</v>
      </c>
      <c r="D3" s="34" t="s">
        <v>661</v>
      </c>
      <c r="E3" s="34" t="s">
        <v>682</v>
      </c>
    </row>
    <row r="4" spans="1:5" s="37" customFormat="1" ht="12" customHeight="1" thickBot="1">
      <c r="A4" s="72" t="s">
        <v>483</v>
      </c>
      <c r="B4" s="73" t="s">
        <v>484</v>
      </c>
      <c r="C4" s="73" t="s">
        <v>485</v>
      </c>
      <c r="D4" s="73" t="s">
        <v>485</v>
      </c>
      <c r="E4" s="73" t="s">
        <v>485</v>
      </c>
    </row>
    <row r="5" spans="1:5" s="41" customFormat="1" ht="12" customHeight="1" thickBot="1">
      <c r="A5" s="38" t="s">
        <v>14</v>
      </c>
      <c r="B5" s="39" t="s">
        <v>522</v>
      </c>
      <c r="C5" s="433">
        <v>224000000</v>
      </c>
      <c r="D5" s="433">
        <v>224000000</v>
      </c>
      <c r="E5" s="433">
        <v>224000000</v>
      </c>
    </row>
    <row r="6" spans="1:5" s="41" customFormat="1" ht="12" customHeight="1" thickBot="1">
      <c r="A6" s="38" t="s">
        <v>15</v>
      </c>
      <c r="B6" s="51" t="s">
        <v>370</v>
      </c>
      <c r="C6" s="433">
        <v>37000000</v>
      </c>
      <c r="D6" s="433">
        <v>37000000</v>
      </c>
      <c r="E6" s="433">
        <v>37000000</v>
      </c>
    </row>
    <row r="7" spans="1:5" s="41" customFormat="1" ht="12" customHeight="1" thickBot="1">
      <c r="A7" s="38" t="s">
        <v>16</v>
      </c>
      <c r="B7" s="39" t="s">
        <v>378</v>
      </c>
      <c r="C7" s="433"/>
      <c r="D7" s="433"/>
      <c r="E7" s="433"/>
    </row>
    <row r="8" spans="1:5" s="41" customFormat="1" ht="12" customHeight="1" thickBot="1">
      <c r="A8" s="38" t="s">
        <v>162</v>
      </c>
      <c r="B8" s="39" t="s">
        <v>256</v>
      </c>
      <c r="C8" s="434">
        <f>+C9+C13+C14+C15</f>
        <v>136700000</v>
      </c>
      <c r="D8" s="434">
        <f>+D9+D13+D14+D15</f>
        <v>136700000</v>
      </c>
      <c r="E8" s="434">
        <f>+E9+E13+E14+E15</f>
        <v>136700000</v>
      </c>
    </row>
    <row r="9" spans="1:5" s="41" customFormat="1" ht="12" customHeight="1">
      <c r="A9" s="42" t="s">
        <v>257</v>
      </c>
      <c r="B9" s="43" t="s">
        <v>433</v>
      </c>
      <c r="C9" s="435">
        <f>+C10+C11+C12</f>
        <v>100000000</v>
      </c>
      <c r="D9" s="435">
        <f>+D10+D11+D12</f>
        <v>100000000</v>
      </c>
      <c r="E9" s="435">
        <f>+E10+E11+E12</f>
        <v>100000000</v>
      </c>
    </row>
    <row r="10" spans="1:5" s="41" customFormat="1" ht="12" customHeight="1">
      <c r="A10" s="45" t="s">
        <v>258</v>
      </c>
      <c r="B10" s="46" t="s">
        <v>263</v>
      </c>
      <c r="C10" s="436">
        <v>58000000</v>
      </c>
      <c r="D10" s="436">
        <v>58000000</v>
      </c>
      <c r="E10" s="436">
        <v>58000000</v>
      </c>
    </row>
    <row r="11" spans="1:5" s="41" customFormat="1" ht="12" customHeight="1">
      <c r="A11" s="45" t="s">
        <v>259</v>
      </c>
      <c r="B11" s="46" t="s">
        <v>264</v>
      </c>
      <c r="C11" s="436"/>
      <c r="D11" s="436"/>
      <c r="E11" s="436"/>
    </row>
    <row r="12" spans="1:5" s="41" customFormat="1" ht="12" customHeight="1">
      <c r="A12" s="45" t="s">
        <v>431</v>
      </c>
      <c r="B12" s="56" t="s">
        <v>432</v>
      </c>
      <c r="C12" s="436">
        <v>42000000</v>
      </c>
      <c r="D12" s="436">
        <v>42000000</v>
      </c>
      <c r="E12" s="436">
        <v>42000000</v>
      </c>
    </row>
    <row r="13" spans="1:5" s="41" customFormat="1" ht="12" customHeight="1">
      <c r="A13" s="45" t="s">
        <v>260</v>
      </c>
      <c r="B13" s="46" t="s">
        <v>265</v>
      </c>
      <c r="C13" s="436">
        <v>9000000</v>
      </c>
      <c r="D13" s="436">
        <v>9000000</v>
      </c>
      <c r="E13" s="436">
        <v>9000000</v>
      </c>
    </row>
    <row r="14" spans="1:5" s="41" customFormat="1" ht="12" customHeight="1">
      <c r="A14" s="45" t="s">
        <v>261</v>
      </c>
      <c r="B14" s="46" t="s">
        <v>266</v>
      </c>
      <c r="C14" s="436">
        <v>27500000</v>
      </c>
      <c r="D14" s="436">
        <v>27500000</v>
      </c>
      <c r="E14" s="436">
        <v>27500000</v>
      </c>
    </row>
    <row r="15" spans="1:5" s="41" customFormat="1" ht="12" customHeight="1" thickBot="1">
      <c r="A15" s="49" t="s">
        <v>262</v>
      </c>
      <c r="B15" s="53" t="s">
        <v>267</v>
      </c>
      <c r="C15" s="437">
        <v>200000</v>
      </c>
      <c r="D15" s="437">
        <v>200000</v>
      </c>
      <c r="E15" s="437">
        <v>200000</v>
      </c>
    </row>
    <row r="16" spans="1:5" s="41" customFormat="1" ht="12" customHeight="1" thickBot="1">
      <c r="A16" s="38" t="s">
        <v>18</v>
      </c>
      <c r="B16" s="39" t="s">
        <v>525</v>
      </c>
      <c r="C16" s="433">
        <v>130000000</v>
      </c>
      <c r="D16" s="433">
        <v>130000000</v>
      </c>
      <c r="E16" s="433">
        <v>130000000</v>
      </c>
    </row>
    <row r="17" spans="1:5" s="41" customFormat="1" ht="12" customHeight="1" thickBot="1">
      <c r="A17" s="38" t="s">
        <v>19</v>
      </c>
      <c r="B17" s="39" t="s">
        <v>8</v>
      </c>
      <c r="C17" s="433"/>
      <c r="D17" s="433"/>
      <c r="E17" s="433"/>
    </row>
    <row r="18" spans="1:5" s="41" customFormat="1" ht="12" customHeight="1" thickBot="1">
      <c r="A18" s="38" t="s">
        <v>169</v>
      </c>
      <c r="B18" s="39" t="s">
        <v>524</v>
      </c>
      <c r="C18" s="433"/>
      <c r="D18" s="433"/>
      <c r="E18" s="433"/>
    </row>
    <row r="19" spans="1:5" s="41" customFormat="1" ht="12" customHeight="1" thickBot="1">
      <c r="A19" s="38" t="s">
        <v>21</v>
      </c>
      <c r="B19" s="51" t="s">
        <v>523</v>
      </c>
      <c r="C19" s="433"/>
      <c r="D19" s="433"/>
      <c r="E19" s="433"/>
    </row>
    <row r="20" spans="1:5" s="41" customFormat="1" ht="12" customHeight="1" thickBot="1">
      <c r="A20" s="38" t="s">
        <v>22</v>
      </c>
      <c r="B20" s="39" t="s">
        <v>300</v>
      </c>
      <c r="C20" s="434">
        <f>+C5+C6+C7+C8+C16+C17+C18+C19</f>
        <v>527700000</v>
      </c>
      <c r="D20" s="434">
        <f>+D5+D6+D7+D8+D16+D17+D18+D19</f>
        <v>527700000</v>
      </c>
      <c r="E20" s="434">
        <f>+E5+E6+E7+E8+E16+E17+E18+E19</f>
        <v>527700000</v>
      </c>
    </row>
    <row r="21" spans="1:5" s="41" customFormat="1" ht="12" customHeight="1" thickBot="1">
      <c r="A21" s="38" t="s">
        <v>23</v>
      </c>
      <c r="B21" s="39" t="s">
        <v>526</v>
      </c>
      <c r="C21" s="438"/>
      <c r="D21" s="438"/>
      <c r="E21" s="438"/>
    </row>
    <row r="22" spans="1:5" s="41" customFormat="1" ht="12" customHeight="1" thickBot="1">
      <c r="A22" s="38" t="s">
        <v>24</v>
      </c>
      <c r="B22" s="39" t="s">
        <v>527</v>
      </c>
      <c r="C22" s="434">
        <f>+C20+C21</f>
        <v>527700000</v>
      </c>
      <c r="D22" s="434">
        <f>+D20+D21</f>
        <v>527700000</v>
      </c>
      <c r="E22" s="434">
        <f>+E20+E21</f>
        <v>527700000</v>
      </c>
    </row>
    <row r="23" spans="1:5" s="41" customFormat="1" ht="12" customHeight="1">
      <c r="A23" s="360"/>
      <c r="B23" s="361"/>
      <c r="C23" s="439"/>
      <c r="D23" s="439"/>
      <c r="E23" s="439"/>
    </row>
    <row r="24" spans="1:5" s="41" customFormat="1" ht="12" customHeight="1">
      <c r="A24" s="789" t="s">
        <v>42</v>
      </c>
      <c r="B24" s="789"/>
      <c r="C24" s="789"/>
      <c r="D24" s="789"/>
      <c r="E24" s="789"/>
    </row>
    <row r="25" spans="1:5" s="41" customFormat="1" ht="12" customHeight="1" thickBot="1">
      <c r="A25" s="791" t="s">
        <v>143</v>
      </c>
      <c r="B25" s="791"/>
      <c r="C25" s="770"/>
      <c r="D25" s="770"/>
      <c r="E25" s="770"/>
    </row>
    <row r="26" spans="1:5" s="41" customFormat="1" ht="24" customHeight="1" thickBot="1">
      <c r="A26" s="33" t="s">
        <v>12</v>
      </c>
      <c r="B26" s="34" t="s">
        <v>43</v>
      </c>
      <c r="C26" s="34" t="str">
        <f>+C3</f>
        <v>2020. évi</v>
      </c>
      <c r="D26" s="34" t="str">
        <f>+D3</f>
        <v>2021. évi</v>
      </c>
      <c r="E26" s="34" t="str">
        <f>+E3</f>
        <v>2022. évi</v>
      </c>
    </row>
    <row r="27" spans="1:5" s="41" customFormat="1" ht="12" customHeight="1" thickBot="1">
      <c r="A27" s="35" t="s">
        <v>483</v>
      </c>
      <c r="B27" s="36" t="s">
        <v>484</v>
      </c>
      <c r="C27" s="36" t="s">
        <v>485</v>
      </c>
      <c r="D27" s="36" t="s">
        <v>485</v>
      </c>
      <c r="E27" s="36" t="s">
        <v>485</v>
      </c>
    </row>
    <row r="28" spans="1:5" s="41" customFormat="1" ht="15" customHeight="1" thickBot="1">
      <c r="A28" s="38" t="s">
        <v>14</v>
      </c>
      <c r="B28" s="99" t="s">
        <v>528</v>
      </c>
      <c r="C28" s="433">
        <v>328100000</v>
      </c>
      <c r="D28" s="433">
        <v>328100000</v>
      </c>
      <c r="E28" s="433">
        <v>328100000</v>
      </c>
    </row>
    <row r="29" spans="1:5" ht="12" customHeight="1" thickBot="1">
      <c r="A29" s="88" t="s">
        <v>15</v>
      </c>
      <c r="B29" s="362" t="s">
        <v>533</v>
      </c>
      <c r="C29" s="440">
        <f>C30+C31+C32</f>
        <v>15600000</v>
      </c>
      <c r="D29" s="440">
        <f>D30+D31+D32</f>
        <v>15600000</v>
      </c>
      <c r="E29" s="440">
        <f>E30+E31+E32</f>
        <v>15600000</v>
      </c>
    </row>
    <row r="30" spans="1:5" ht="12" customHeight="1">
      <c r="A30" s="42" t="s">
        <v>99</v>
      </c>
      <c r="B30" s="16" t="s">
        <v>217</v>
      </c>
      <c r="C30" s="441">
        <v>10000000</v>
      </c>
      <c r="D30" s="441">
        <v>10000000</v>
      </c>
      <c r="E30" s="441">
        <v>10000000</v>
      </c>
    </row>
    <row r="31" spans="1:5" ht="12" customHeight="1">
      <c r="A31" s="42" t="s">
        <v>100</v>
      </c>
      <c r="B31" s="90" t="s">
        <v>176</v>
      </c>
      <c r="C31" s="436">
        <v>5000000</v>
      </c>
      <c r="D31" s="436">
        <v>5000000</v>
      </c>
      <c r="E31" s="436">
        <v>5000000</v>
      </c>
    </row>
    <row r="32" spans="1:5" ht="12" customHeight="1" thickBot="1">
      <c r="A32" s="42" t="s">
        <v>101</v>
      </c>
      <c r="B32" s="50" t="s">
        <v>219</v>
      </c>
      <c r="C32" s="436">
        <v>600000</v>
      </c>
      <c r="D32" s="436">
        <v>600000</v>
      </c>
      <c r="E32" s="436">
        <v>600000</v>
      </c>
    </row>
    <row r="33" spans="1:6" ht="12" customHeight="1" thickBot="1">
      <c r="A33" s="38" t="s">
        <v>16</v>
      </c>
      <c r="B33" s="19" t="s">
        <v>444</v>
      </c>
      <c r="C33" s="442">
        <f>+C28+C29</f>
        <v>343700000</v>
      </c>
      <c r="D33" s="442">
        <f>+D28+D29</f>
        <v>343700000</v>
      </c>
      <c r="E33" s="442">
        <f>+E28+E29</f>
        <v>343700000</v>
      </c>
    </row>
    <row r="34" spans="1:6" ht="15" customHeight="1" thickBot="1">
      <c r="A34" s="38" t="s">
        <v>17</v>
      </c>
      <c r="B34" s="19" t="s">
        <v>529</v>
      </c>
      <c r="C34" s="443">
        <v>184000000</v>
      </c>
      <c r="D34" s="443">
        <v>184000000</v>
      </c>
      <c r="E34" s="443">
        <v>184000000</v>
      </c>
      <c r="F34" s="96"/>
    </row>
    <row r="35" spans="1:6" s="41" customFormat="1" ht="12.95" customHeight="1" thickBot="1">
      <c r="A35" s="97" t="s">
        <v>18</v>
      </c>
      <c r="B35" s="98" t="s">
        <v>530</v>
      </c>
      <c r="C35" s="444">
        <f>+C33+C34</f>
        <v>527700000</v>
      </c>
      <c r="D35" s="444">
        <f>+D33+D34</f>
        <v>527700000</v>
      </c>
      <c r="E35" s="444">
        <f>+E33+E34</f>
        <v>527700000</v>
      </c>
    </row>
    <row r="36" spans="1:6">
      <c r="C36" s="657"/>
      <c r="D36" s="657"/>
      <c r="E36" s="657"/>
    </row>
    <row r="37" spans="1:6">
      <c r="C37" s="657"/>
      <c r="D37" s="657"/>
      <c r="E37" s="657"/>
    </row>
    <row r="38" spans="1:6">
      <c r="C38" s="657"/>
      <c r="D38" s="657"/>
      <c r="E38" s="657"/>
    </row>
    <row r="39" spans="1:6" ht="16.5" customHeight="1">
      <c r="C39" s="657"/>
      <c r="D39" s="657"/>
      <c r="E39" s="657"/>
    </row>
    <row r="40" spans="1:6">
      <c r="C40" s="657"/>
      <c r="D40" s="657"/>
      <c r="E40" s="657"/>
    </row>
    <row r="41" spans="1:6">
      <c r="C41" s="657"/>
      <c r="D41" s="657"/>
      <c r="E41" s="657"/>
    </row>
    <row r="42" spans="1:6">
      <c r="C42" s="657"/>
      <c r="D42" s="657"/>
      <c r="E42" s="657"/>
    </row>
    <row r="43" spans="1:6">
      <c r="C43" s="657"/>
      <c r="D43" s="657"/>
      <c r="E43" s="657"/>
    </row>
    <row r="44" spans="1:6">
      <c r="C44" s="657"/>
      <c r="D44" s="657"/>
      <c r="E44" s="657"/>
    </row>
    <row r="45" spans="1:6">
      <c r="C45" s="657"/>
      <c r="D45" s="657"/>
      <c r="E45" s="657"/>
    </row>
    <row r="46" spans="1:6">
      <c r="C46" s="657"/>
      <c r="D46" s="657"/>
      <c r="E46" s="657"/>
    </row>
    <row r="47" spans="1:6">
      <c r="C47" s="657"/>
      <c r="D47" s="657"/>
      <c r="E47" s="657"/>
    </row>
    <row r="48" spans="1:6">
      <c r="C48" s="657"/>
      <c r="D48" s="657"/>
      <c r="E48" s="657"/>
    </row>
  </sheetData>
  <mergeCells count="4">
    <mergeCell ref="A1:E1"/>
    <mergeCell ref="A2:B2"/>
    <mergeCell ref="A24:E24"/>
    <mergeCell ref="A25:B25"/>
  </mergeCells>
  <phoneticPr fontId="6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78" fitToWidth="3" fitToHeight="2" orientation="portrait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FFC000"/>
  </sheetPr>
  <dimension ref="A1:G159"/>
  <sheetViews>
    <sheetView view="pageLayout" topLeftCell="H92" zoomScaleNormal="100" zoomScaleSheetLayoutView="100" workbookViewId="0">
      <selection activeCell="I97" sqref="I97"/>
    </sheetView>
  </sheetViews>
  <sheetFormatPr defaultRowHeight="15.75"/>
  <cols>
    <col min="1" max="1" width="9.5" style="657" customWidth="1"/>
    <col min="2" max="2" width="91.6640625" style="657" customWidth="1"/>
    <col min="3" max="7" width="21.6640625" style="770" customWidth="1"/>
    <col min="8" max="16384" width="9.33203125" style="657"/>
  </cols>
  <sheetData>
    <row r="1" spans="1:7">
      <c r="B1" s="364" t="s">
        <v>644</v>
      </c>
    </row>
    <row r="2" spans="1:7">
      <c r="B2" s="364" t="s">
        <v>691</v>
      </c>
    </row>
    <row r="3" spans="1:7">
      <c r="B3" s="367" t="s">
        <v>647</v>
      </c>
    </row>
    <row r="5" spans="1:7" ht="15.95" customHeight="1">
      <c r="A5" s="789" t="s">
        <v>11</v>
      </c>
      <c r="B5" s="789"/>
      <c r="C5" s="657"/>
      <c r="D5" s="657"/>
      <c r="E5" s="657"/>
      <c r="F5" s="657"/>
      <c r="G5" s="657"/>
    </row>
    <row r="6" spans="1:7" ht="15.95" customHeight="1" thickBot="1">
      <c r="A6" s="790" t="s">
        <v>142</v>
      </c>
      <c r="B6" s="790"/>
      <c r="C6" s="484" t="s">
        <v>581</v>
      </c>
      <c r="D6" s="484" t="s">
        <v>581</v>
      </c>
      <c r="E6" s="484" t="s">
        <v>581</v>
      </c>
      <c r="F6" s="484" t="s">
        <v>581</v>
      </c>
      <c r="G6" s="484" t="s">
        <v>581</v>
      </c>
    </row>
    <row r="7" spans="1:7" ht="38.1" customHeight="1" thickBot="1">
      <c r="A7" s="33" t="s">
        <v>64</v>
      </c>
      <c r="B7" s="34" t="s">
        <v>13</v>
      </c>
      <c r="C7" s="569" t="s">
        <v>690</v>
      </c>
      <c r="D7" s="569" t="s">
        <v>716</v>
      </c>
      <c r="E7" s="569" t="s">
        <v>719</v>
      </c>
      <c r="F7" s="569" t="s">
        <v>729</v>
      </c>
      <c r="G7" s="569" t="s">
        <v>729</v>
      </c>
    </row>
    <row r="8" spans="1:7" s="37" customFormat="1" ht="12" customHeight="1" thickBot="1">
      <c r="A8" s="35" t="s">
        <v>483</v>
      </c>
      <c r="B8" s="36" t="s">
        <v>484</v>
      </c>
      <c r="C8" s="536" t="s">
        <v>485</v>
      </c>
      <c r="D8" s="536" t="s">
        <v>485</v>
      </c>
      <c r="E8" s="536" t="s">
        <v>485</v>
      </c>
      <c r="F8" s="536" t="s">
        <v>485</v>
      </c>
      <c r="G8" s="536" t="s">
        <v>485</v>
      </c>
    </row>
    <row r="9" spans="1:7" s="41" customFormat="1" ht="12" customHeight="1" thickBot="1">
      <c r="A9" s="38" t="s">
        <v>14</v>
      </c>
      <c r="B9" s="39" t="s">
        <v>241</v>
      </c>
      <c r="C9" s="40">
        <f>+C10+C11+C12+C13+C14+C15</f>
        <v>0</v>
      </c>
      <c r="D9" s="40">
        <f>+D10+D11+D12+D13+D14+D15</f>
        <v>0</v>
      </c>
      <c r="E9" s="40">
        <f>+E10+E11+E12+E13+E14+E15</f>
        <v>0</v>
      </c>
      <c r="F9" s="40">
        <f>+F10+F11+F12+F13+F14+F15</f>
        <v>0</v>
      </c>
      <c r="G9" s="40">
        <f>+G10+G11+G12+G13+G14+G15</f>
        <v>0</v>
      </c>
    </row>
    <row r="10" spans="1:7" s="41" customFormat="1" ht="12" customHeight="1">
      <c r="A10" s="42" t="s">
        <v>93</v>
      </c>
      <c r="B10" s="43" t="s">
        <v>242</v>
      </c>
      <c r="C10" s="44"/>
      <c r="D10" s="44"/>
      <c r="E10" s="44"/>
      <c r="F10" s="44"/>
      <c r="G10" s="44"/>
    </row>
    <row r="11" spans="1:7" s="41" customFormat="1" ht="12" customHeight="1">
      <c r="A11" s="45" t="s">
        <v>94</v>
      </c>
      <c r="B11" s="46" t="s">
        <v>243</v>
      </c>
      <c r="C11" s="47"/>
      <c r="D11" s="47"/>
      <c r="E11" s="47"/>
      <c r="F11" s="47"/>
      <c r="G11" s="47"/>
    </row>
    <row r="12" spans="1:7" s="41" customFormat="1" ht="12" customHeight="1">
      <c r="A12" s="45" t="s">
        <v>95</v>
      </c>
      <c r="B12" s="46" t="s">
        <v>244</v>
      </c>
      <c r="C12" s="47"/>
      <c r="D12" s="47"/>
      <c r="E12" s="47"/>
      <c r="F12" s="47"/>
      <c r="G12" s="47"/>
    </row>
    <row r="13" spans="1:7" s="41" customFormat="1" ht="12" customHeight="1">
      <c r="A13" s="45" t="s">
        <v>96</v>
      </c>
      <c r="B13" s="46" t="s">
        <v>245</v>
      </c>
      <c r="C13" s="47"/>
      <c r="D13" s="47"/>
      <c r="E13" s="47"/>
      <c r="F13" s="47"/>
      <c r="G13" s="47"/>
    </row>
    <row r="14" spans="1:7" s="41" customFormat="1" ht="12" customHeight="1">
      <c r="A14" s="45" t="s">
        <v>139</v>
      </c>
      <c r="B14" s="48" t="s">
        <v>426</v>
      </c>
      <c r="C14" s="47"/>
      <c r="D14" s="47"/>
      <c r="E14" s="47"/>
      <c r="F14" s="47"/>
      <c r="G14" s="47"/>
    </row>
    <row r="15" spans="1:7" s="41" customFormat="1" ht="12" customHeight="1" thickBot="1">
      <c r="A15" s="49" t="s">
        <v>97</v>
      </c>
      <c r="B15" s="50" t="s">
        <v>427</v>
      </c>
      <c r="C15" s="47"/>
      <c r="D15" s="47"/>
      <c r="E15" s="47"/>
      <c r="F15" s="47"/>
      <c r="G15" s="47"/>
    </row>
    <row r="16" spans="1:7" s="41" customFormat="1" ht="12" customHeight="1" thickBot="1">
      <c r="A16" s="38" t="s">
        <v>15</v>
      </c>
      <c r="B16" s="51" t="s">
        <v>246</v>
      </c>
      <c r="C16" s="40">
        <f>+C17+C18+C19+C20+C21</f>
        <v>0</v>
      </c>
      <c r="D16" s="40">
        <f>+D17+D18+D19+D20+D21</f>
        <v>0</v>
      </c>
      <c r="E16" s="40">
        <f>+E17+E18+E19+E20+E21</f>
        <v>0</v>
      </c>
      <c r="F16" s="40">
        <f>+F17+F18+F19+F20+F21</f>
        <v>0</v>
      </c>
      <c r="G16" s="40">
        <f>+G17+G18+G19+G20+G21</f>
        <v>0</v>
      </c>
    </row>
    <row r="17" spans="1:7" s="41" customFormat="1" ht="12" customHeight="1">
      <c r="A17" s="42" t="s">
        <v>99</v>
      </c>
      <c r="B17" s="43" t="s">
        <v>247</v>
      </c>
      <c r="C17" s="44"/>
      <c r="D17" s="44"/>
      <c r="E17" s="44"/>
      <c r="F17" s="44"/>
      <c r="G17" s="44"/>
    </row>
    <row r="18" spans="1:7" s="41" customFormat="1" ht="12" customHeight="1">
      <c r="A18" s="45" t="s">
        <v>100</v>
      </c>
      <c r="B18" s="46" t="s">
        <v>248</v>
      </c>
      <c r="C18" s="47"/>
      <c r="D18" s="47"/>
      <c r="E18" s="47"/>
      <c r="F18" s="47"/>
      <c r="G18" s="47"/>
    </row>
    <row r="19" spans="1:7" s="41" customFormat="1" ht="12" customHeight="1">
      <c r="A19" s="45" t="s">
        <v>101</v>
      </c>
      <c r="B19" s="46" t="s">
        <v>416</v>
      </c>
      <c r="C19" s="47"/>
      <c r="D19" s="47"/>
      <c r="E19" s="47"/>
      <c r="F19" s="47"/>
      <c r="G19" s="47"/>
    </row>
    <row r="20" spans="1:7" s="41" customFormat="1" ht="12" customHeight="1">
      <c r="A20" s="45" t="s">
        <v>102</v>
      </c>
      <c r="B20" s="46" t="s">
        <v>417</v>
      </c>
      <c r="C20" s="47"/>
      <c r="D20" s="47"/>
      <c r="E20" s="47"/>
      <c r="F20" s="47"/>
      <c r="G20" s="47"/>
    </row>
    <row r="21" spans="1:7" s="41" customFormat="1" ht="12" customHeight="1">
      <c r="A21" s="45" t="s">
        <v>103</v>
      </c>
      <c r="B21" s="46" t="s">
        <v>249</v>
      </c>
      <c r="C21" s="47"/>
      <c r="D21" s="47"/>
      <c r="E21" s="47"/>
      <c r="F21" s="47"/>
      <c r="G21" s="47"/>
    </row>
    <row r="22" spans="1:7" s="41" customFormat="1" ht="12" customHeight="1" thickBot="1">
      <c r="A22" s="49" t="s">
        <v>112</v>
      </c>
      <c r="B22" s="50" t="s">
        <v>250</v>
      </c>
      <c r="C22" s="52"/>
      <c r="D22" s="52"/>
      <c r="E22" s="52"/>
      <c r="F22" s="52"/>
      <c r="G22" s="52"/>
    </row>
    <row r="23" spans="1:7" s="41" customFormat="1" ht="12" customHeight="1" thickBot="1">
      <c r="A23" s="38" t="s">
        <v>16</v>
      </c>
      <c r="B23" s="39" t="s">
        <v>251</v>
      </c>
      <c r="C23" s="40">
        <f>+C24+C25+C26+C27+C28</f>
        <v>0</v>
      </c>
      <c r="D23" s="40">
        <f>+D24+D25+D26+D27+D28</f>
        <v>0</v>
      </c>
      <c r="E23" s="40">
        <f>+E24+E25+E26+E27+E28</f>
        <v>0</v>
      </c>
      <c r="F23" s="40">
        <f>+F24+F25+F26+F27+F28</f>
        <v>0</v>
      </c>
      <c r="G23" s="40">
        <f>+G24+G25+G26+G27+G28</f>
        <v>0</v>
      </c>
    </row>
    <row r="24" spans="1:7" s="41" customFormat="1" ht="12" customHeight="1">
      <c r="A24" s="42" t="s">
        <v>82</v>
      </c>
      <c r="B24" s="43" t="s">
        <v>252</v>
      </c>
      <c r="C24" s="44"/>
      <c r="D24" s="44"/>
      <c r="E24" s="44"/>
      <c r="F24" s="44"/>
      <c r="G24" s="44"/>
    </row>
    <row r="25" spans="1:7" s="41" customFormat="1" ht="12" customHeight="1">
      <c r="A25" s="45" t="s">
        <v>83</v>
      </c>
      <c r="B25" s="46" t="s">
        <v>253</v>
      </c>
      <c r="C25" s="47"/>
      <c r="D25" s="47"/>
      <c r="E25" s="47"/>
      <c r="F25" s="47"/>
      <c r="G25" s="47"/>
    </row>
    <row r="26" spans="1:7" s="41" customFormat="1" ht="12" customHeight="1">
      <c r="A26" s="45" t="s">
        <v>84</v>
      </c>
      <c r="B26" s="46" t="s">
        <v>418</v>
      </c>
      <c r="C26" s="47"/>
      <c r="D26" s="47"/>
      <c r="E26" s="47"/>
      <c r="F26" s="47"/>
      <c r="G26" s="47"/>
    </row>
    <row r="27" spans="1:7" s="41" customFormat="1" ht="12" customHeight="1">
      <c r="A27" s="45" t="s">
        <v>85</v>
      </c>
      <c r="B27" s="46" t="s">
        <v>419</v>
      </c>
      <c r="C27" s="47"/>
      <c r="D27" s="47"/>
      <c r="E27" s="47"/>
      <c r="F27" s="47"/>
      <c r="G27" s="47"/>
    </row>
    <row r="28" spans="1:7" s="41" customFormat="1" ht="12" customHeight="1">
      <c r="A28" s="45" t="s">
        <v>160</v>
      </c>
      <c r="B28" s="46" t="s">
        <v>254</v>
      </c>
      <c r="C28" s="47"/>
      <c r="D28" s="47"/>
      <c r="E28" s="47"/>
      <c r="F28" s="47"/>
      <c r="G28" s="47"/>
    </row>
    <row r="29" spans="1:7" s="41" customFormat="1" ht="12" customHeight="1" thickBot="1">
      <c r="A29" s="49" t="s">
        <v>161</v>
      </c>
      <c r="B29" s="53" t="s">
        <v>255</v>
      </c>
      <c r="C29" s="52"/>
      <c r="D29" s="52"/>
      <c r="E29" s="52"/>
      <c r="F29" s="52"/>
      <c r="G29" s="52"/>
    </row>
    <row r="30" spans="1:7" s="41" customFormat="1" ht="12" customHeight="1" thickBot="1">
      <c r="A30" s="38" t="s">
        <v>162</v>
      </c>
      <c r="B30" s="39" t="s">
        <v>256</v>
      </c>
      <c r="C30" s="54">
        <f>+C31+C35+C36+C37</f>
        <v>0</v>
      </c>
      <c r="D30" s="54">
        <f>+D31+D35+D36+D37</f>
        <v>0</v>
      </c>
      <c r="E30" s="54">
        <f>+E31+E35+E36+E37</f>
        <v>0</v>
      </c>
      <c r="F30" s="54">
        <f>+F31+F35+F36+F37</f>
        <v>0</v>
      </c>
      <c r="G30" s="54">
        <f>+G31+G35+G36+G37</f>
        <v>0</v>
      </c>
    </row>
    <row r="31" spans="1:7" s="41" customFormat="1" ht="12" customHeight="1">
      <c r="A31" s="42" t="s">
        <v>257</v>
      </c>
      <c r="B31" s="43" t="s">
        <v>433</v>
      </c>
      <c r="C31" s="55">
        <f>+C32+C33+C34</f>
        <v>0</v>
      </c>
      <c r="D31" s="55">
        <f>+D32+D33+D34</f>
        <v>0</v>
      </c>
      <c r="E31" s="55">
        <f>+E32+E33+E34</f>
        <v>0</v>
      </c>
      <c r="F31" s="55">
        <f>+F32+F33+F34</f>
        <v>0</v>
      </c>
      <c r="G31" s="55">
        <f>+G32+G33+G34</f>
        <v>0</v>
      </c>
    </row>
    <row r="32" spans="1:7" s="41" customFormat="1" ht="12" customHeight="1">
      <c r="A32" s="45" t="s">
        <v>258</v>
      </c>
      <c r="B32" s="46" t="s">
        <v>263</v>
      </c>
      <c r="C32" s="47"/>
      <c r="D32" s="47"/>
      <c r="E32" s="47"/>
      <c r="F32" s="47"/>
      <c r="G32" s="47"/>
    </row>
    <row r="33" spans="1:7" s="41" customFormat="1" ht="12" customHeight="1">
      <c r="A33" s="45" t="s">
        <v>259</v>
      </c>
      <c r="B33" s="46" t="s">
        <v>264</v>
      </c>
      <c r="C33" s="47"/>
      <c r="D33" s="47"/>
      <c r="E33" s="47"/>
      <c r="F33" s="47"/>
      <c r="G33" s="47"/>
    </row>
    <row r="34" spans="1:7" s="41" customFormat="1" ht="12" customHeight="1">
      <c r="A34" s="45" t="s">
        <v>431</v>
      </c>
      <c r="B34" s="56" t="s">
        <v>432</v>
      </c>
      <c r="C34" s="47"/>
      <c r="D34" s="47"/>
      <c r="E34" s="47"/>
      <c r="F34" s="47"/>
      <c r="G34" s="47"/>
    </row>
    <row r="35" spans="1:7" s="41" customFormat="1" ht="12" customHeight="1">
      <c r="A35" s="45" t="s">
        <v>260</v>
      </c>
      <c r="B35" s="46" t="s">
        <v>265</v>
      </c>
      <c r="C35" s="47"/>
      <c r="D35" s="47"/>
      <c r="E35" s="47"/>
      <c r="F35" s="47"/>
      <c r="G35" s="47"/>
    </row>
    <row r="36" spans="1:7" s="41" customFormat="1" ht="12" customHeight="1">
      <c r="A36" s="45" t="s">
        <v>261</v>
      </c>
      <c r="B36" s="46" t="s">
        <v>266</v>
      </c>
      <c r="C36" s="47"/>
      <c r="D36" s="47"/>
      <c r="E36" s="47"/>
      <c r="F36" s="47"/>
      <c r="G36" s="47"/>
    </row>
    <row r="37" spans="1:7" s="41" customFormat="1" ht="12" customHeight="1" thickBot="1">
      <c r="A37" s="49" t="s">
        <v>262</v>
      </c>
      <c r="B37" s="53" t="s">
        <v>267</v>
      </c>
      <c r="C37" s="52"/>
      <c r="D37" s="52"/>
      <c r="E37" s="52"/>
      <c r="F37" s="52"/>
      <c r="G37" s="52"/>
    </row>
    <row r="38" spans="1:7" s="41" customFormat="1" ht="12" customHeight="1" thickBot="1">
      <c r="A38" s="38" t="s">
        <v>18</v>
      </c>
      <c r="B38" s="39" t="s">
        <v>428</v>
      </c>
      <c r="C38" s="40">
        <f>SUM(C39:C49)</f>
        <v>0</v>
      </c>
      <c r="D38" s="40">
        <f>SUM(D39:D49)</f>
        <v>0</v>
      </c>
      <c r="E38" s="40">
        <f>SUM(E39:E49)</f>
        <v>0</v>
      </c>
      <c r="F38" s="40">
        <f>SUM(F39:F49)</f>
        <v>0</v>
      </c>
      <c r="G38" s="40">
        <f>SUM(G39:G49)</f>
        <v>0</v>
      </c>
    </row>
    <row r="39" spans="1:7" s="41" customFormat="1" ht="12" customHeight="1">
      <c r="A39" s="42" t="s">
        <v>86</v>
      </c>
      <c r="B39" s="43" t="s">
        <v>270</v>
      </c>
      <c r="C39" s="44"/>
      <c r="D39" s="44"/>
      <c r="E39" s="44"/>
      <c r="F39" s="44"/>
      <c r="G39" s="44"/>
    </row>
    <row r="40" spans="1:7" s="41" customFormat="1" ht="12" customHeight="1">
      <c r="A40" s="45" t="s">
        <v>87</v>
      </c>
      <c r="B40" s="46" t="s">
        <v>271</v>
      </c>
      <c r="C40" s="47"/>
      <c r="D40" s="47"/>
      <c r="E40" s="47"/>
      <c r="F40" s="47"/>
      <c r="G40" s="47"/>
    </row>
    <row r="41" spans="1:7" s="41" customFormat="1" ht="12" customHeight="1">
      <c r="A41" s="45" t="s">
        <v>88</v>
      </c>
      <c r="B41" s="46" t="s">
        <v>272</v>
      </c>
      <c r="C41" s="47"/>
      <c r="D41" s="47"/>
      <c r="E41" s="47"/>
      <c r="F41" s="47"/>
      <c r="G41" s="47"/>
    </row>
    <row r="42" spans="1:7" s="41" customFormat="1" ht="12" customHeight="1">
      <c r="A42" s="45" t="s">
        <v>164</v>
      </c>
      <c r="B42" s="46" t="s">
        <v>273</v>
      </c>
      <c r="C42" s="47"/>
      <c r="D42" s="47"/>
      <c r="E42" s="47"/>
      <c r="F42" s="47"/>
      <c r="G42" s="47"/>
    </row>
    <row r="43" spans="1:7" s="41" customFormat="1" ht="12" customHeight="1">
      <c r="A43" s="45" t="s">
        <v>165</v>
      </c>
      <c r="B43" s="46" t="s">
        <v>274</v>
      </c>
      <c r="C43" s="47"/>
      <c r="D43" s="47"/>
      <c r="E43" s="47"/>
      <c r="F43" s="47"/>
      <c r="G43" s="47"/>
    </row>
    <row r="44" spans="1:7" s="41" customFormat="1" ht="12" customHeight="1">
      <c r="A44" s="45" t="s">
        <v>166</v>
      </c>
      <c r="B44" s="46" t="s">
        <v>275</v>
      </c>
      <c r="C44" s="47"/>
      <c r="D44" s="47"/>
      <c r="E44" s="47"/>
      <c r="F44" s="47"/>
      <c r="G44" s="47"/>
    </row>
    <row r="45" spans="1:7" s="41" customFormat="1" ht="12" customHeight="1">
      <c r="A45" s="45" t="s">
        <v>167</v>
      </c>
      <c r="B45" s="46" t="s">
        <v>276</v>
      </c>
      <c r="C45" s="47"/>
      <c r="D45" s="47"/>
      <c r="E45" s="47"/>
      <c r="F45" s="47"/>
      <c r="G45" s="47"/>
    </row>
    <row r="46" spans="1:7" s="41" customFormat="1" ht="12" customHeight="1">
      <c r="A46" s="45" t="s">
        <v>168</v>
      </c>
      <c r="B46" s="46" t="s">
        <v>277</v>
      </c>
      <c r="C46" s="47"/>
      <c r="D46" s="47"/>
      <c r="E46" s="47"/>
      <c r="F46" s="47"/>
      <c r="G46" s="47"/>
    </row>
    <row r="47" spans="1:7" s="41" customFormat="1" ht="12" customHeight="1">
      <c r="A47" s="45" t="s">
        <v>268</v>
      </c>
      <c r="B47" s="46" t="s">
        <v>278</v>
      </c>
      <c r="C47" s="57"/>
      <c r="D47" s="57"/>
      <c r="E47" s="57"/>
      <c r="F47" s="57"/>
      <c r="G47" s="57"/>
    </row>
    <row r="48" spans="1:7" s="41" customFormat="1" ht="12" customHeight="1">
      <c r="A48" s="49" t="s">
        <v>269</v>
      </c>
      <c r="B48" s="53" t="s">
        <v>430</v>
      </c>
      <c r="C48" s="58"/>
      <c r="D48" s="58"/>
      <c r="E48" s="58"/>
      <c r="F48" s="58"/>
      <c r="G48" s="58"/>
    </row>
    <row r="49" spans="1:7" s="41" customFormat="1" ht="12" customHeight="1" thickBot="1">
      <c r="A49" s="49" t="s">
        <v>429</v>
      </c>
      <c r="B49" s="50" t="s">
        <v>279</v>
      </c>
      <c r="C49" s="58"/>
      <c r="D49" s="58"/>
      <c r="E49" s="58"/>
      <c r="F49" s="58"/>
      <c r="G49" s="58"/>
    </row>
    <row r="50" spans="1:7" s="41" customFormat="1" ht="12" customHeight="1" thickBot="1">
      <c r="A50" s="38" t="s">
        <v>19</v>
      </c>
      <c r="B50" s="39" t="s">
        <v>280</v>
      </c>
      <c r="C50" s="40">
        <f>SUM(C51:C55)</f>
        <v>0</v>
      </c>
      <c r="D50" s="40">
        <f>SUM(D51:D55)</f>
        <v>0</v>
      </c>
      <c r="E50" s="40">
        <f>SUM(E51:E55)</f>
        <v>0</v>
      </c>
      <c r="F50" s="40">
        <f>SUM(F51:F55)</f>
        <v>0</v>
      </c>
      <c r="G50" s="40">
        <f>SUM(G51:G55)</f>
        <v>0</v>
      </c>
    </row>
    <row r="51" spans="1:7" s="41" customFormat="1" ht="12" customHeight="1">
      <c r="A51" s="42" t="s">
        <v>89</v>
      </c>
      <c r="B51" s="43" t="s">
        <v>284</v>
      </c>
      <c r="C51" s="59"/>
      <c r="D51" s="59"/>
      <c r="E51" s="59"/>
      <c r="F51" s="59"/>
      <c r="G51" s="59"/>
    </row>
    <row r="52" spans="1:7" s="41" customFormat="1" ht="12" customHeight="1">
      <c r="A52" s="45" t="s">
        <v>90</v>
      </c>
      <c r="B52" s="46" t="s">
        <v>285</v>
      </c>
      <c r="C52" s="57"/>
      <c r="D52" s="57"/>
      <c r="E52" s="57"/>
      <c r="F52" s="57"/>
      <c r="G52" s="57"/>
    </row>
    <row r="53" spans="1:7" s="41" customFormat="1" ht="12" customHeight="1">
      <c r="A53" s="45" t="s">
        <v>281</v>
      </c>
      <c r="B53" s="46" t="s">
        <v>286</v>
      </c>
      <c r="C53" s="57"/>
      <c r="D53" s="57"/>
      <c r="E53" s="57"/>
      <c r="F53" s="57"/>
      <c r="G53" s="57"/>
    </row>
    <row r="54" spans="1:7" s="41" customFormat="1" ht="12" customHeight="1">
      <c r="A54" s="45" t="s">
        <v>282</v>
      </c>
      <c r="B54" s="46" t="s">
        <v>287</v>
      </c>
      <c r="C54" s="57"/>
      <c r="D54" s="57"/>
      <c r="E54" s="57"/>
      <c r="F54" s="57"/>
      <c r="G54" s="57"/>
    </row>
    <row r="55" spans="1:7" s="41" customFormat="1" ht="12" customHeight="1" thickBot="1">
      <c r="A55" s="49" t="s">
        <v>283</v>
      </c>
      <c r="B55" s="50" t="s">
        <v>288</v>
      </c>
      <c r="C55" s="58"/>
      <c r="D55" s="58"/>
      <c r="E55" s="58"/>
      <c r="F55" s="58"/>
      <c r="G55" s="58"/>
    </row>
    <row r="56" spans="1:7" s="41" customFormat="1" ht="12" customHeight="1" thickBot="1">
      <c r="A56" s="38" t="s">
        <v>169</v>
      </c>
      <c r="B56" s="39" t="s">
        <v>289</v>
      </c>
      <c r="C56" s="40">
        <f>SUM(C57:C59)</f>
        <v>0</v>
      </c>
      <c r="D56" s="40">
        <f>SUM(D57:D59)</f>
        <v>0</v>
      </c>
      <c r="E56" s="40">
        <f>SUM(E57:E59)</f>
        <v>0</v>
      </c>
      <c r="F56" s="40">
        <f>SUM(F57:F59)</f>
        <v>0</v>
      </c>
      <c r="G56" s="40">
        <f>SUM(G57:G59)</f>
        <v>0</v>
      </c>
    </row>
    <row r="57" spans="1:7" s="41" customFormat="1" ht="12" customHeight="1">
      <c r="A57" s="42" t="s">
        <v>91</v>
      </c>
      <c r="B57" s="43" t="s">
        <v>290</v>
      </c>
      <c r="C57" s="44"/>
      <c r="D57" s="44"/>
      <c r="E57" s="44"/>
      <c r="F57" s="44"/>
      <c r="G57" s="44"/>
    </row>
    <row r="58" spans="1:7" s="41" customFormat="1" ht="12" customHeight="1">
      <c r="A58" s="45" t="s">
        <v>92</v>
      </c>
      <c r="B58" s="46" t="s">
        <v>420</v>
      </c>
      <c r="C58" s="47"/>
      <c r="D58" s="47"/>
      <c r="E58" s="47"/>
      <c r="F58" s="47"/>
      <c r="G58" s="47"/>
    </row>
    <row r="59" spans="1:7" s="41" customFormat="1" ht="12" customHeight="1">
      <c r="A59" s="45" t="s">
        <v>293</v>
      </c>
      <c r="B59" s="46" t="s">
        <v>291</v>
      </c>
      <c r="C59" s="47"/>
      <c r="D59" s="47"/>
      <c r="E59" s="47"/>
      <c r="F59" s="47"/>
      <c r="G59" s="47"/>
    </row>
    <row r="60" spans="1:7" s="41" customFormat="1" ht="12" customHeight="1" thickBot="1">
      <c r="A60" s="49" t="s">
        <v>294</v>
      </c>
      <c r="B60" s="50" t="s">
        <v>292</v>
      </c>
      <c r="C60" s="52"/>
      <c r="D60" s="52"/>
      <c r="E60" s="52"/>
      <c r="F60" s="52"/>
      <c r="G60" s="52"/>
    </row>
    <row r="61" spans="1:7" s="41" customFormat="1" ht="12" customHeight="1" thickBot="1">
      <c r="A61" s="38" t="s">
        <v>21</v>
      </c>
      <c r="B61" s="51" t="s">
        <v>295</v>
      </c>
      <c r="C61" s="40">
        <f>SUM(C62:C64)</f>
        <v>0</v>
      </c>
      <c r="D61" s="40">
        <f>SUM(D62:D64)</f>
        <v>0</v>
      </c>
      <c r="E61" s="40">
        <f>SUM(E62:E64)</f>
        <v>0</v>
      </c>
      <c r="F61" s="40">
        <f>SUM(F62:F64)</f>
        <v>0</v>
      </c>
      <c r="G61" s="40">
        <f>SUM(G62:G64)</f>
        <v>0</v>
      </c>
    </row>
    <row r="62" spans="1:7" s="41" customFormat="1" ht="12" customHeight="1">
      <c r="A62" s="42" t="s">
        <v>170</v>
      </c>
      <c r="B62" s="43" t="s">
        <v>297</v>
      </c>
      <c r="C62" s="57"/>
      <c r="D62" s="57"/>
      <c r="E62" s="57"/>
      <c r="F62" s="57"/>
      <c r="G62" s="57"/>
    </row>
    <row r="63" spans="1:7" s="41" customFormat="1" ht="12" customHeight="1">
      <c r="A63" s="45" t="s">
        <v>171</v>
      </c>
      <c r="B63" s="46" t="s">
        <v>421</v>
      </c>
      <c r="C63" s="57"/>
      <c r="D63" s="57"/>
      <c r="E63" s="57"/>
      <c r="F63" s="57"/>
      <c r="G63" s="57"/>
    </row>
    <row r="64" spans="1:7" s="41" customFormat="1" ht="12" customHeight="1">
      <c r="A64" s="45" t="s">
        <v>218</v>
      </c>
      <c r="B64" s="46" t="s">
        <v>298</v>
      </c>
      <c r="C64" s="57"/>
      <c r="D64" s="57"/>
      <c r="E64" s="57"/>
      <c r="F64" s="57"/>
      <c r="G64" s="57"/>
    </row>
    <row r="65" spans="1:7" s="41" customFormat="1" ht="12" customHeight="1" thickBot="1">
      <c r="A65" s="49" t="s">
        <v>296</v>
      </c>
      <c r="B65" s="50" t="s">
        <v>299</v>
      </c>
      <c r="C65" s="57"/>
      <c r="D65" s="57"/>
      <c r="E65" s="57"/>
      <c r="F65" s="57"/>
      <c r="G65" s="57"/>
    </row>
    <row r="66" spans="1:7" s="41" customFormat="1" ht="12" customHeight="1" thickBot="1">
      <c r="A66" s="60" t="s">
        <v>472</v>
      </c>
      <c r="B66" s="39" t="s">
        <v>300</v>
      </c>
      <c r="C66" s="54">
        <f>+C9+C16+C23+C30+C38+C50+C56+C61</f>
        <v>0</v>
      </c>
      <c r="D66" s="54">
        <f>+D9+D16+D23+D30+D38+D50+D56+D61</f>
        <v>0</v>
      </c>
      <c r="E66" s="54">
        <f>+E9+E16+E23+E30+E38+E50+E56+E61</f>
        <v>0</v>
      </c>
      <c r="F66" s="54">
        <f>+F9+F16+F23+F30+F38+F50+F56+F61</f>
        <v>0</v>
      </c>
      <c r="G66" s="54">
        <f>+G9+G16+G23+G30+G38+G50+G56+G61</f>
        <v>0</v>
      </c>
    </row>
    <row r="67" spans="1:7" s="41" customFormat="1" ht="12" customHeight="1" thickBot="1">
      <c r="A67" s="61" t="s">
        <v>301</v>
      </c>
      <c r="B67" s="51" t="s">
        <v>302</v>
      </c>
      <c r="C67" s="40">
        <f>SUM(C68:C70)</f>
        <v>0</v>
      </c>
      <c r="D67" s="40">
        <f>SUM(D68:D70)</f>
        <v>0</v>
      </c>
      <c r="E67" s="40">
        <f>SUM(E68:E70)</f>
        <v>0</v>
      </c>
      <c r="F67" s="40">
        <f>SUM(F68:F70)</f>
        <v>0</v>
      </c>
      <c r="G67" s="40">
        <f>SUM(G68:G70)</f>
        <v>0</v>
      </c>
    </row>
    <row r="68" spans="1:7" s="41" customFormat="1" ht="12" customHeight="1">
      <c r="A68" s="42" t="s">
        <v>333</v>
      </c>
      <c r="B68" s="43" t="s">
        <v>303</v>
      </c>
      <c r="C68" s="57"/>
      <c r="D68" s="57"/>
      <c r="E68" s="57"/>
      <c r="F68" s="57"/>
      <c r="G68" s="57"/>
    </row>
    <row r="69" spans="1:7" s="41" customFormat="1" ht="12" customHeight="1">
      <c r="A69" s="45" t="s">
        <v>342</v>
      </c>
      <c r="B69" s="46" t="s">
        <v>304</v>
      </c>
      <c r="C69" s="57"/>
      <c r="D69" s="57"/>
      <c r="E69" s="57"/>
      <c r="F69" s="57"/>
      <c r="G69" s="57"/>
    </row>
    <row r="70" spans="1:7" s="41" customFormat="1" ht="12" customHeight="1" thickBot="1">
      <c r="A70" s="49" t="s">
        <v>343</v>
      </c>
      <c r="B70" s="62" t="s">
        <v>457</v>
      </c>
      <c r="C70" s="57"/>
      <c r="D70" s="57"/>
      <c r="E70" s="57"/>
      <c r="F70" s="57"/>
      <c r="G70" s="57"/>
    </row>
    <row r="71" spans="1:7" s="41" customFormat="1" ht="12" customHeight="1" thickBot="1">
      <c r="A71" s="61" t="s">
        <v>306</v>
      </c>
      <c r="B71" s="51" t="s">
        <v>307</v>
      </c>
      <c r="C71" s="40">
        <f>SUM(C72:C75)</f>
        <v>0</v>
      </c>
      <c r="D71" s="40">
        <f>SUM(D72:D75)</f>
        <v>0</v>
      </c>
      <c r="E71" s="40">
        <f>SUM(E72:E75)</f>
        <v>0</v>
      </c>
      <c r="F71" s="40">
        <f>SUM(F72:F75)</f>
        <v>0</v>
      </c>
      <c r="G71" s="40">
        <f>SUM(G72:G75)</f>
        <v>0</v>
      </c>
    </row>
    <row r="72" spans="1:7" s="41" customFormat="1" ht="12" customHeight="1">
      <c r="A72" s="42" t="s">
        <v>140</v>
      </c>
      <c r="B72" s="43" t="s">
        <v>308</v>
      </c>
      <c r="C72" s="57"/>
      <c r="D72" s="57"/>
      <c r="E72" s="57"/>
      <c r="F72" s="57"/>
      <c r="G72" s="57"/>
    </row>
    <row r="73" spans="1:7" s="41" customFormat="1" ht="12" customHeight="1">
      <c r="A73" s="45" t="s">
        <v>141</v>
      </c>
      <c r="B73" s="46" t="s">
        <v>309</v>
      </c>
      <c r="C73" s="57"/>
      <c r="D73" s="57"/>
      <c r="E73" s="57"/>
      <c r="F73" s="57"/>
      <c r="G73" s="57"/>
    </row>
    <row r="74" spans="1:7" s="41" customFormat="1" ht="12" customHeight="1">
      <c r="A74" s="45" t="s">
        <v>334</v>
      </c>
      <c r="B74" s="46" t="s">
        <v>310</v>
      </c>
      <c r="C74" s="57"/>
      <c r="D74" s="57"/>
      <c r="E74" s="57"/>
      <c r="F74" s="57"/>
      <c r="G74" s="57"/>
    </row>
    <row r="75" spans="1:7" s="41" customFormat="1" ht="12" customHeight="1" thickBot="1">
      <c r="A75" s="49" t="s">
        <v>335</v>
      </c>
      <c r="B75" s="50" t="s">
        <v>311</v>
      </c>
      <c r="C75" s="57"/>
      <c r="D75" s="57"/>
      <c r="E75" s="57"/>
      <c r="F75" s="57"/>
      <c r="G75" s="57"/>
    </row>
    <row r="76" spans="1:7" s="41" customFormat="1" ht="12" customHeight="1" thickBot="1">
      <c r="A76" s="61" t="s">
        <v>312</v>
      </c>
      <c r="B76" s="51" t="s">
        <v>313</v>
      </c>
      <c r="C76" s="40">
        <f>SUM(C77:C78)</f>
        <v>0</v>
      </c>
      <c r="D76" s="40">
        <f>SUM(D77:D78)</f>
        <v>0</v>
      </c>
      <c r="E76" s="40">
        <f>SUM(E77:E78)</f>
        <v>0</v>
      </c>
      <c r="F76" s="40">
        <f>SUM(F77:F78)</f>
        <v>0</v>
      </c>
      <c r="G76" s="40">
        <f>SUM(G77:G78)</f>
        <v>0</v>
      </c>
    </row>
    <row r="77" spans="1:7" s="41" customFormat="1" ht="12" customHeight="1">
      <c r="A77" s="42" t="s">
        <v>336</v>
      </c>
      <c r="B77" s="43" t="s">
        <v>314</v>
      </c>
      <c r="C77" s="57"/>
      <c r="D77" s="57"/>
      <c r="E77" s="57"/>
      <c r="F77" s="57"/>
      <c r="G77" s="57"/>
    </row>
    <row r="78" spans="1:7" s="41" customFormat="1" ht="12" customHeight="1" thickBot="1">
      <c r="A78" s="49" t="s">
        <v>337</v>
      </c>
      <c r="B78" s="50" t="s">
        <v>315</v>
      </c>
      <c r="C78" s="57"/>
      <c r="D78" s="57"/>
      <c r="E78" s="57"/>
      <c r="F78" s="57"/>
      <c r="G78" s="57"/>
    </row>
    <row r="79" spans="1:7" s="41" customFormat="1" ht="12" customHeight="1" thickBot="1">
      <c r="A79" s="61" t="s">
        <v>316</v>
      </c>
      <c r="B79" s="51" t="s">
        <v>317</v>
      </c>
      <c r="C79" s="40">
        <f>SUM(C80:C82)</f>
        <v>0</v>
      </c>
      <c r="D79" s="40">
        <f>SUM(D80:D82)</f>
        <v>0</v>
      </c>
      <c r="E79" s="40">
        <f>SUM(E80:E82)</f>
        <v>0</v>
      </c>
      <c r="F79" s="40">
        <f>SUM(F80:F82)</f>
        <v>0</v>
      </c>
      <c r="G79" s="40">
        <f>SUM(G80:G82)</f>
        <v>0</v>
      </c>
    </row>
    <row r="80" spans="1:7" s="41" customFormat="1" ht="12" customHeight="1">
      <c r="A80" s="42" t="s">
        <v>338</v>
      </c>
      <c r="B80" s="43" t="s">
        <v>318</v>
      </c>
      <c r="C80" s="57"/>
      <c r="D80" s="57"/>
      <c r="E80" s="57"/>
      <c r="F80" s="57"/>
      <c r="G80" s="57"/>
    </row>
    <row r="81" spans="1:7" s="41" customFormat="1" ht="12" customHeight="1">
      <c r="A81" s="45" t="s">
        <v>339</v>
      </c>
      <c r="B81" s="46" t="s">
        <v>319</v>
      </c>
      <c r="C81" s="57"/>
      <c r="D81" s="57"/>
      <c r="E81" s="57"/>
      <c r="F81" s="57"/>
      <c r="G81" s="57"/>
    </row>
    <row r="82" spans="1:7" s="41" customFormat="1" ht="12" customHeight="1" thickBot="1">
      <c r="A82" s="49" t="s">
        <v>340</v>
      </c>
      <c r="B82" s="50" t="s">
        <v>320</v>
      </c>
      <c r="C82" s="57"/>
      <c r="D82" s="57"/>
      <c r="E82" s="57"/>
      <c r="F82" s="57"/>
      <c r="G82" s="57"/>
    </row>
    <row r="83" spans="1:7" s="41" customFormat="1" ht="12" customHeight="1" thickBot="1">
      <c r="A83" s="61" t="s">
        <v>321</v>
      </c>
      <c r="B83" s="51" t="s">
        <v>341</v>
      </c>
      <c r="C83" s="40">
        <f>SUM(C84:C87)</f>
        <v>0</v>
      </c>
      <c r="D83" s="40">
        <f>SUM(D84:D87)</f>
        <v>0</v>
      </c>
      <c r="E83" s="40">
        <f>SUM(E84:E87)</f>
        <v>0</v>
      </c>
      <c r="F83" s="40">
        <f>SUM(F84:F87)</f>
        <v>0</v>
      </c>
      <c r="G83" s="40">
        <f>SUM(G84:G87)</f>
        <v>0</v>
      </c>
    </row>
    <row r="84" spans="1:7" s="41" customFormat="1" ht="12" customHeight="1">
      <c r="A84" s="63" t="s">
        <v>322</v>
      </c>
      <c r="B84" s="43" t="s">
        <v>323</v>
      </c>
      <c r="C84" s="57"/>
      <c r="D84" s="57"/>
      <c r="E84" s="57"/>
      <c r="F84" s="57"/>
      <c r="G84" s="57"/>
    </row>
    <row r="85" spans="1:7" s="41" customFormat="1" ht="12" customHeight="1">
      <c r="A85" s="64" t="s">
        <v>324</v>
      </c>
      <c r="B85" s="46" t="s">
        <v>325</v>
      </c>
      <c r="C85" s="57"/>
      <c r="D85" s="57"/>
      <c r="E85" s="57"/>
      <c r="F85" s="57"/>
      <c r="G85" s="57"/>
    </row>
    <row r="86" spans="1:7" s="41" customFormat="1" ht="12" customHeight="1">
      <c r="A86" s="64" t="s">
        <v>326</v>
      </c>
      <c r="B86" s="46" t="s">
        <v>327</v>
      </c>
      <c r="C86" s="57"/>
      <c r="D86" s="57"/>
      <c r="E86" s="57"/>
      <c r="F86" s="57"/>
      <c r="G86" s="57"/>
    </row>
    <row r="87" spans="1:7" s="41" customFormat="1" ht="12" customHeight="1" thickBot="1">
      <c r="A87" s="65" t="s">
        <v>328</v>
      </c>
      <c r="B87" s="50" t="s">
        <v>329</v>
      </c>
      <c r="C87" s="57"/>
      <c r="D87" s="57"/>
      <c r="E87" s="57"/>
      <c r="F87" s="57"/>
      <c r="G87" s="57"/>
    </row>
    <row r="88" spans="1:7" s="41" customFormat="1" ht="12" customHeight="1" thickBot="1">
      <c r="A88" s="61" t="s">
        <v>330</v>
      </c>
      <c r="B88" s="51" t="s">
        <v>471</v>
      </c>
      <c r="C88" s="66"/>
      <c r="D88" s="66"/>
      <c r="E88" s="66"/>
      <c r="F88" s="66"/>
      <c r="G88" s="66"/>
    </row>
    <row r="89" spans="1:7" s="41" customFormat="1" ht="13.5" customHeight="1" thickBot="1">
      <c r="A89" s="61" t="s">
        <v>332</v>
      </c>
      <c r="B89" s="51" t="s">
        <v>331</v>
      </c>
      <c r="C89" s="66"/>
      <c r="D89" s="66"/>
      <c r="E89" s="66"/>
      <c r="F89" s="66"/>
      <c r="G89" s="66"/>
    </row>
    <row r="90" spans="1:7" s="41" customFormat="1" ht="15.75" customHeight="1" thickBot="1">
      <c r="A90" s="61" t="s">
        <v>344</v>
      </c>
      <c r="B90" s="67" t="s">
        <v>474</v>
      </c>
      <c r="C90" s="54">
        <f>+C67+C71+C76+C79+C83+C89+C88</f>
        <v>0</v>
      </c>
      <c r="D90" s="54">
        <f>+D67+D71+D76+D79+D83+D89+D88</f>
        <v>0</v>
      </c>
      <c r="E90" s="54">
        <f>+E67+E71+E76+E79+E83+E89+E88</f>
        <v>0</v>
      </c>
      <c r="F90" s="54">
        <f>+F67+F71+F76+F79+F83+F89+F88</f>
        <v>0</v>
      </c>
      <c r="G90" s="54">
        <f>+G67+G71+G76+G79+G83+G89+G88</f>
        <v>0</v>
      </c>
    </row>
    <row r="91" spans="1:7" s="41" customFormat="1" ht="16.5" customHeight="1" thickBot="1">
      <c r="A91" s="68" t="s">
        <v>473</v>
      </c>
      <c r="B91" s="69" t="s">
        <v>475</v>
      </c>
      <c r="C91" s="54">
        <f>+C66+C90</f>
        <v>0</v>
      </c>
      <c r="D91" s="54">
        <f>+D66+D90</f>
        <v>0</v>
      </c>
      <c r="E91" s="54">
        <f>+E66+E90</f>
        <v>0</v>
      </c>
      <c r="F91" s="54">
        <f>+F66+F90</f>
        <v>0</v>
      </c>
      <c r="G91" s="54">
        <f>+G66+G90</f>
        <v>0</v>
      </c>
    </row>
    <row r="92" spans="1:7" s="41" customFormat="1" ht="83.25" customHeight="1">
      <c r="A92" s="70"/>
      <c r="B92" s="71"/>
      <c r="C92" s="537"/>
      <c r="D92" s="537"/>
      <c r="E92" s="537"/>
      <c r="F92" s="537"/>
      <c r="G92" s="537"/>
    </row>
    <row r="93" spans="1:7" ht="16.5" customHeight="1">
      <c r="A93" s="789" t="s">
        <v>42</v>
      </c>
      <c r="B93" s="789"/>
      <c r="C93" s="657"/>
      <c r="D93" s="657"/>
      <c r="E93" s="657"/>
      <c r="F93" s="657"/>
      <c r="G93" s="657"/>
    </row>
    <row r="94" spans="1:7" ht="16.5" customHeight="1" thickBot="1">
      <c r="A94" s="791" t="s">
        <v>143</v>
      </c>
      <c r="B94" s="791"/>
      <c r="C94" s="534" t="s">
        <v>662</v>
      </c>
      <c r="D94" s="534" t="s">
        <v>662</v>
      </c>
      <c r="E94" s="534" t="s">
        <v>662</v>
      </c>
      <c r="F94" s="534" t="s">
        <v>662</v>
      </c>
      <c r="G94" s="534" t="s">
        <v>662</v>
      </c>
    </row>
    <row r="95" spans="1:7" ht="38.1" customHeight="1" thickBot="1">
      <c r="A95" s="33" t="s">
        <v>64</v>
      </c>
      <c r="B95" s="34" t="s">
        <v>43</v>
      </c>
      <c r="C95" s="569" t="s">
        <v>690</v>
      </c>
      <c r="D95" s="569" t="s">
        <v>716</v>
      </c>
      <c r="E95" s="569" t="s">
        <v>719</v>
      </c>
      <c r="F95" s="569" t="s">
        <v>729</v>
      </c>
      <c r="G95" s="569" t="s">
        <v>750</v>
      </c>
    </row>
    <row r="96" spans="1:7" s="37" customFormat="1" ht="12" customHeight="1" thickBot="1">
      <c r="A96" s="72" t="s">
        <v>483</v>
      </c>
      <c r="B96" s="73" t="s">
        <v>484</v>
      </c>
      <c r="C96" s="538" t="s">
        <v>485</v>
      </c>
      <c r="D96" s="538" t="s">
        <v>485</v>
      </c>
      <c r="E96" s="538" t="s">
        <v>485</v>
      </c>
      <c r="F96" s="538" t="s">
        <v>485</v>
      </c>
      <c r="G96" s="538" t="s">
        <v>485</v>
      </c>
    </row>
    <row r="97" spans="1:7" ht="12" customHeight="1" thickBot="1">
      <c r="A97" s="74" t="s">
        <v>14</v>
      </c>
      <c r="B97" s="75" t="s">
        <v>624</v>
      </c>
      <c r="C97" s="76">
        <f>C98+C99+C100+C101+C102+C115</f>
        <v>0</v>
      </c>
      <c r="D97" s="76">
        <f>D98+D99+D100+D101+D102+D115</f>
        <v>0</v>
      </c>
      <c r="E97" s="76">
        <f>E98+E99+E100+E101+E102+E115</f>
        <v>0</v>
      </c>
      <c r="F97" s="76">
        <f>F98+F99+F100+F101+F102+F115</f>
        <v>0</v>
      </c>
      <c r="G97" s="76">
        <f>G98+G99+G100+G101+G102+G115</f>
        <v>0</v>
      </c>
    </row>
    <row r="98" spans="1:7" ht="12" customHeight="1">
      <c r="A98" s="77" t="s">
        <v>93</v>
      </c>
      <c r="B98" s="15" t="s">
        <v>44</v>
      </c>
      <c r="C98" s="78"/>
      <c r="D98" s="78"/>
      <c r="E98" s="78"/>
      <c r="F98" s="78"/>
      <c r="G98" s="78"/>
    </row>
    <row r="99" spans="1:7" ht="12" customHeight="1">
      <c r="A99" s="45" t="s">
        <v>94</v>
      </c>
      <c r="B99" s="16" t="s">
        <v>172</v>
      </c>
      <c r="C99" s="47"/>
      <c r="D99" s="47"/>
      <c r="E99" s="47"/>
      <c r="F99" s="47"/>
      <c r="G99" s="47"/>
    </row>
    <row r="100" spans="1:7" ht="12" customHeight="1">
      <c r="A100" s="45" t="s">
        <v>95</v>
      </c>
      <c r="B100" s="16" t="s">
        <v>131</v>
      </c>
      <c r="C100" s="52"/>
      <c r="D100" s="52"/>
      <c r="E100" s="52"/>
      <c r="F100" s="52"/>
      <c r="G100" s="52"/>
    </row>
    <row r="101" spans="1:7" ht="12" customHeight="1">
      <c r="A101" s="45" t="s">
        <v>96</v>
      </c>
      <c r="B101" s="79" t="s">
        <v>173</v>
      </c>
      <c r="C101" s="52"/>
      <c r="D101" s="52"/>
      <c r="E101" s="52"/>
      <c r="F101" s="52"/>
      <c r="G101" s="52"/>
    </row>
    <row r="102" spans="1:7" ht="12" customHeight="1">
      <c r="A102" s="45" t="s">
        <v>107</v>
      </c>
      <c r="B102" s="80" t="s">
        <v>174</v>
      </c>
      <c r="C102" s="52"/>
      <c r="D102" s="52"/>
      <c r="E102" s="52"/>
      <c r="F102" s="52"/>
      <c r="G102" s="52"/>
    </row>
    <row r="103" spans="1:7" ht="12" customHeight="1">
      <c r="A103" s="45" t="s">
        <v>97</v>
      </c>
      <c r="B103" s="16" t="s">
        <v>438</v>
      </c>
      <c r="C103" s="52"/>
      <c r="D103" s="52"/>
      <c r="E103" s="52"/>
      <c r="F103" s="52"/>
      <c r="G103" s="52"/>
    </row>
    <row r="104" spans="1:7" ht="12" customHeight="1">
      <c r="A104" s="45" t="s">
        <v>98</v>
      </c>
      <c r="B104" s="81" t="s">
        <v>437</v>
      </c>
      <c r="C104" s="52"/>
      <c r="D104" s="52"/>
      <c r="E104" s="52"/>
      <c r="F104" s="52"/>
      <c r="G104" s="52"/>
    </row>
    <row r="105" spans="1:7" ht="12" customHeight="1">
      <c r="A105" s="45" t="s">
        <v>108</v>
      </c>
      <c r="B105" s="81" t="s">
        <v>436</v>
      </c>
      <c r="C105" s="52"/>
      <c r="D105" s="52"/>
      <c r="E105" s="52"/>
      <c r="F105" s="52"/>
      <c r="G105" s="52"/>
    </row>
    <row r="106" spans="1:7" ht="12" customHeight="1">
      <c r="A106" s="45" t="s">
        <v>109</v>
      </c>
      <c r="B106" s="82" t="s">
        <v>347</v>
      </c>
      <c r="C106" s="52"/>
      <c r="D106" s="52"/>
      <c r="E106" s="52"/>
      <c r="F106" s="52"/>
      <c r="G106" s="52"/>
    </row>
    <row r="107" spans="1:7" ht="12" customHeight="1">
      <c r="A107" s="45" t="s">
        <v>110</v>
      </c>
      <c r="B107" s="83" t="s">
        <v>348</v>
      </c>
      <c r="C107" s="52"/>
      <c r="D107" s="52"/>
      <c r="E107" s="52"/>
      <c r="F107" s="52"/>
      <c r="G107" s="52"/>
    </row>
    <row r="108" spans="1:7" ht="12" customHeight="1">
      <c r="A108" s="45" t="s">
        <v>111</v>
      </c>
      <c r="B108" s="83" t="s">
        <v>349</v>
      </c>
      <c r="C108" s="52"/>
      <c r="D108" s="52"/>
      <c r="E108" s="52"/>
      <c r="F108" s="52"/>
      <c r="G108" s="52"/>
    </row>
    <row r="109" spans="1:7" ht="12" customHeight="1">
      <c r="A109" s="45" t="s">
        <v>113</v>
      </c>
      <c r="B109" s="82" t="s">
        <v>350</v>
      </c>
      <c r="C109" s="52"/>
      <c r="D109" s="52"/>
      <c r="E109" s="52"/>
      <c r="F109" s="52"/>
      <c r="G109" s="52"/>
    </row>
    <row r="110" spans="1:7" ht="12" customHeight="1">
      <c r="A110" s="45" t="s">
        <v>175</v>
      </c>
      <c r="B110" s="82" t="s">
        <v>351</v>
      </c>
      <c r="C110" s="52"/>
      <c r="D110" s="52"/>
      <c r="E110" s="52"/>
      <c r="F110" s="52"/>
      <c r="G110" s="52"/>
    </row>
    <row r="111" spans="1:7" ht="12" customHeight="1">
      <c r="A111" s="45" t="s">
        <v>345</v>
      </c>
      <c r="B111" s="83" t="s">
        <v>352</v>
      </c>
      <c r="C111" s="52"/>
      <c r="D111" s="52"/>
      <c r="E111" s="52"/>
      <c r="F111" s="52"/>
      <c r="G111" s="52"/>
    </row>
    <row r="112" spans="1:7" ht="12" customHeight="1">
      <c r="A112" s="84" t="s">
        <v>346</v>
      </c>
      <c r="B112" s="81" t="s">
        <v>353</v>
      </c>
      <c r="C112" s="52"/>
      <c r="D112" s="52"/>
      <c r="E112" s="52"/>
      <c r="F112" s="52"/>
      <c r="G112" s="52"/>
    </row>
    <row r="113" spans="1:7" ht="12" customHeight="1">
      <c r="A113" s="45" t="s">
        <v>434</v>
      </c>
      <c r="B113" s="81" t="s">
        <v>354</v>
      </c>
      <c r="C113" s="52"/>
      <c r="D113" s="52"/>
      <c r="E113" s="52"/>
      <c r="F113" s="52"/>
      <c r="G113" s="52"/>
    </row>
    <row r="114" spans="1:7" ht="12" customHeight="1">
      <c r="A114" s="49" t="s">
        <v>435</v>
      </c>
      <c r="B114" s="81" t="s">
        <v>355</v>
      </c>
      <c r="C114" s="52"/>
      <c r="D114" s="52"/>
      <c r="E114" s="52"/>
      <c r="F114" s="52"/>
      <c r="G114" s="52"/>
    </row>
    <row r="115" spans="1:7" ht="12" customHeight="1">
      <c r="A115" s="45" t="s">
        <v>439</v>
      </c>
      <c r="B115" s="79" t="s">
        <v>45</v>
      </c>
      <c r="C115" s="47"/>
      <c r="D115" s="47"/>
      <c r="E115" s="47"/>
      <c r="F115" s="47"/>
      <c r="G115" s="47"/>
    </row>
    <row r="116" spans="1:7" ht="12" customHeight="1">
      <c r="A116" s="45" t="s">
        <v>440</v>
      </c>
      <c r="B116" s="16" t="s">
        <v>442</v>
      </c>
      <c r="C116" s="47"/>
      <c r="D116" s="47"/>
      <c r="E116" s="47"/>
      <c r="F116" s="47"/>
      <c r="G116" s="47"/>
    </row>
    <row r="117" spans="1:7" ht="12" customHeight="1" thickBot="1">
      <c r="A117" s="85" t="s">
        <v>441</v>
      </c>
      <c r="B117" s="86" t="s">
        <v>443</v>
      </c>
      <c r="C117" s="87"/>
      <c r="D117" s="87"/>
      <c r="E117" s="87"/>
      <c r="F117" s="87"/>
      <c r="G117" s="87"/>
    </row>
    <row r="118" spans="1:7" ht="12" customHeight="1" thickBot="1">
      <c r="A118" s="88" t="s">
        <v>15</v>
      </c>
      <c r="B118" s="89" t="s">
        <v>625</v>
      </c>
      <c r="C118" s="539">
        <f>+C119+C121+C123</f>
        <v>0</v>
      </c>
      <c r="D118" s="539">
        <f>+D119+D121+D123</f>
        <v>0</v>
      </c>
      <c r="E118" s="539">
        <f>+E119+E121+E123</f>
        <v>0</v>
      </c>
      <c r="F118" s="539">
        <f>+F119+F121+F123</f>
        <v>0</v>
      </c>
      <c r="G118" s="539">
        <f>+G119+G121+G123</f>
        <v>0</v>
      </c>
    </row>
    <row r="119" spans="1:7" ht="12" customHeight="1">
      <c r="A119" s="42" t="s">
        <v>99</v>
      </c>
      <c r="B119" s="16" t="s">
        <v>217</v>
      </c>
      <c r="C119" s="44"/>
      <c r="D119" s="44"/>
      <c r="E119" s="44"/>
      <c r="F119" s="44"/>
      <c r="G119" s="44"/>
    </row>
    <row r="120" spans="1:7" ht="12" customHeight="1">
      <c r="A120" s="42" t="s">
        <v>100</v>
      </c>
      <c r="B120" s="90" t="s">
        <v>359</v>
      </c>
      <c r="C120" s="44"/>
      <c r="D120" s="44"/>
      <c r="E120" s="44"/>
      <c r="F120" s="44"/>
      <c r="G120" s="44"/>
    </row>
    <row r="121" spans="1:7" ht="12" customHeight="1">
      <c r="A121" s="42" t="s">
        <v>101</v>
      </c>
      <c r="B121" s="90" t="s">
        <v>176</v>
      </c>
      <c r="C121" s="47"/>
      <c r="D121" s="47"/>
      <c r="E121" s="47"/>
      <c r="F121" s="47"/>
      <c r="G121" s="47"/>
    </row>
    <row r="122" spans="1:7" ht="12" customHeight="1">
      <c r="A122" s="42" t="s">
        <v>102</v>
      </c>
      <c r="B122" s="90" t="s">
        <v>360</v>
      </c>
      <c r="C122" s="91"/>
      <c r="D122" s="91"/>
      <c r="E122" s="91"/>
      <c r="F122" s="91"/>
      <c r="G122" s="91"/>
    </row>
    <row r="123" spans="1:7" ht="12" customHeight="1">
      <c r="A123" s="42" t="s">
        <v>103</v>
      </c>
      <c r="B123" s="50" t="s">
        <v>219</v>
      </c>
      <c r="C123" s="91"/>
      <c r="D123" s="91"/>
      <c r="E123" s="91"/>
      <c r="F123" s="91"/>
      <c r="G123" s="91"/>
    </row>
    <row r="124" spans="1:7" ht="12" customHeight="1">
      <c r="A124" s="42" t="s">
        <v>112</v>
      </c>
      <c r="B124" s="48" t="s">
        <v>422</v>
      </c>
      <c r="C124" s="91"/>
      <c r="D124" s="91"/>
      <c r="E124" s="91"/>
      <c r="F124" s="91"/>
      <c r="G124" s="91"/>
    </row>
    <row r="125" spans="1:7" ht="12" customHeight="1">
      <c r="A125" s="42" t="s">
        <v>114</v>
      </c>
      <c r="B125" s="92" t="s">
        <v>365</v>
      </c>
      <c r="C125" s="91"/>
      <c r="D125" s="91"/>
      <c r="E125" s="91"/>
      <c r="F125" s="91"/>
      <c r="G125" s="91"/>
    </row>
    <row r="126" spans="1:7">
      <c r="A126" s="42" t="s">
        <v>177</v>
      </c>
      <c r="B126" s="83" t="s">
        <v>349</v>
      </c>
      <c r="C126" s="91"/>
      <c r="D126" s="91"/>
      <c r="E126" s="91"/>
      <c r="F126" s="91"/>
      <c r="G126" s="91"/>
    </row>
    <row r="127" spans="1:7" ht="12" customHeight="1">
      <c r="A127" s="42" t="s">
        <v>178</v>
      </c>
      <c r="B127" s="83" t="s">
        <v>364</v>
      </c>
      <c r="C127" s="91"/>
      <c r="D127" s="91"/>
      <c r="E127" s="91"/>
      <c r="F127" s="91"/>
      <c r="G127" s="91"/>
    </row>
    <row r="128" spans="1:7" ht="12" customHeight="1">
      <c r="A128" s="42" t="s">
        <v>179</v>
      </c>
      <c r="B128" s="83" t="s">
        <v>363</v>
      </c>
      <c r="C128" s="91"/>
      <c r="D128" s="91"/>
      <c r="E128" s="91"/>
      <c r="F128" s="91"/>
      <c r="G128" s="91"/>
    </row>
    <row r="129" spans="1:7" ht="12" customHeight="1">
      <c r="A129" s="42" t="s">
        <v>356</v>
      </c>
      <c r="B129" s="83" t="s">
        <v>352</v>
      </c>
      <c r="C129" s="91"/>
      <c r="D129" s="91"/>
      <c r="E129" s="91"/>
      <c r="F129" s="91"/>
      <c r="G129" s="91"/>
    </row>
    <row r="130" spans="1:7" ht="12" customHeight="1">
      <c r="A130" s="42" t="s">
        <v>357</v>
      </c>
      <c r="B130" s="83" t="s">
        <v>362</v>
      </c>
      <c r="C130" s="91"/>
      <c r="D130" s="91"/>
      <c r="E130" s="91"/>
      <c r="F130" s="91"/>
      <c r="G130" s="91"/>
    </row>
    <row r="131" spans="1:7" ht="16.5" thickBot="1">
      <c r="A131" s="84" t="s">
        <v>358</v>
      </c>
      <c r="B131" s="83" t="s">
        <v>361</v>
      </c>
      <c r="C131" s="93"/>
      <c r="D131" s="93"/>
      <c r="E131" s="93"/>
      <c r="F131" s="93"/>
      <c r="G131" s="93"/>
    </row>
    <row r="132" spans="1:7" ht="12" customHeight="1" thickBot="1">
      <c r="A132" s="38" t="s">
        <v>16</v>
      </c>
      <c r="B132" s="19" t="s">
        <v>444</v>
      </c>
      <c r="C132" s="40">
        <f>+C97+C118</f>
        <v>0</v>
      </c>
      <c r="D132" s="40">
        <f>+D97+D118</f>
        <v>0</v>
      </c>
      <c r="E132" s="40">
        <f>+E97+E118</f>
        <v>0</v>
      </c>
      <c r="F132" s="40">
        <f>+F97+F118</f>
        <v>0</v>
      </c>
      <c r="G132" s="40">
        <f>+G97+G118</f>
        <v>0</v>
      </c>
    </row>
    <row r="133" spans="1:7" ht="12" customHeight="1" thickBot="1">
      <c r="A133" s="38" t="s">
        <v>17</v>
      </c>
      <c r="B133" s="19" t="s">
        <v>445</v>
      </c>
      <c r="C133" s="40">
        <f>+C134+C135+C136</f>
        <v>0</v>
      </c>
      <c r="D133" s="40">
        <f>+D134+D135+D136</f>
        <v>0</v>
      </c>
      <c r="E133" s="40">
        <f>+E134+E135+E136</f>
        <v>0</v>
      </c>
      <c r="F133" s="40">
        <f>+F134+F135+F136</f>
        <v>0</v>
      </c>
      <c r="G133" s="40">
        <f>+G134+G135+G136</f>
        <v>0</v>
      </c>
    </row>
    <row r="134" spans="1:7" ht="12" customHeight="1">
      <c r="A134" s="42" t="s">
        <v>257</v>
      </c>
      <c r="B134" s="90" t="s">
        <v>452</v>
      </c>
      <c r="C134" s="91"/>
      <c r="D134" s="91"/>
      <c r="E134" s="91"/>
      <c r="F134" s="91"/>
      <c r="G134" s="91"/>
    </row>
    <row r="135" spans="1:7" ht="12" customHeight="1">
      <c r="A135" s="42" t="s">
        <v>260</v>
      </c>
      <c r="B135" s="90" t="s">
        <v>453</v>
      </c>
      <c r="C135" s="91"/>
      <c r="D135" s="91"/>
      <c r="E135" s="91"/>
      <c r="F135" s="91"/>
      <c r="G135" s="91"/>
    </row>
    <row r="136" spans="1:7" ht="12" customHeight="1" thickBot="1">
      <c r="A136" s="84" t="s">
        <v>261</v>
      </c>
      <c r="B136" s="90" t="s">
        <v>454</v>
      </c>
      <c r="C136" s="91"/>
      <c r="D136" s="91"/>
      <c r="E136" s="91"/>
      <c r="F136" s="91"/>
      <c r="G136" s="91"/>
    </row>
    <row r="137" spans="1:7" ht="12" customHeight="1" thickBot="1">
      <c r="A137" s="38" t="s">
        <v>18</v>
      </c>
      <c r="B137" s="19" t="s">
        <v>446</v>
      </c>
      <c r="C137" s="40">
        <f>SUM(C138:C143)</f>
        <v>0</v>
      </c>
      <c r="D137" s="40">
        <f>SUM(D138:D143)</f>
        <v>0</v>
      </c>
      <c r="E137" s="40">
        <f>SUM(E138:E143)</f>
        <v>0</v>
      </c>
      <c r="F137" s="40">
        <f>SUM(F138:F143)</f>
        <v>0</v>
      </c>
      <c r="G137" s="40">
        <f>SUM(G138:G143)</f>
        <v>0</v>
      </c>
    </row>
    <row r="138" spans="1:7" ht="12" customHeight="1">
      <c r="A138" s="42" t="s">
        <v>86</v>
      </c>
      <c r="B138" s="18" t="s">
        <v>455</v>
      </c>
      <c r="C138" s="91"/>
      <c r="D138" s="91"/>
      <c r="E138" s="91"/>
      <c r="F138" s="91"/>
      <c r="G138" s="91"/>
    </row>
    <row r="139" spans="1:7" ht="12" customHeight="1">
      <c r="A139" s="42" t="s">
        <v>87</v>
      </c>
      <c r="B139" s="18" t="s">
        <v>447</v>
      </c>
      <c r="C139" s="91"/>
      <c r="D139" s="91"/>
      <c r="E139" s="91"/>
      <c r="F139" s="91"/>
      <c r="G139" s="91"/>
    </row>
    <row r="140" spans="1:7" ht="12" customHeight="1">
      <c r="A140" s="42" t="s">
        <v>88</v>
      </c>
      <c r="B140" s="18" t="s">
        <v>448</v>
      </c>
      <c r="C140" s="91"/>
      <c r="D140" s="91"/>
      <c r="E140" s="91"/>
      <c r="F140" s="91"/>
      <c r="G140" s="91"/>
    </row>
    <row r="141" spans="1:7" ht="12" customHeight="1">
      <c r="A141" s="42" t="s">
        <v>164</v>
      </c>
      <c r="B141" s="18" t="s">
        <v>449</v>
      </c>
      <c r="C141" s="91"/>
      <c r="D141" s="91"/>
      <c r="E141" s="91"/>
      <c r="F141" s="91"/>
      <c r="G141" s="91"/>
    </row>
    <row r="142" spans="1:7" ht="12" customHeight="1">
      <c r="A142" s="42" t="s">
        <v>165</v>
      </c>
      <c r="B142" s="18" t="s">
        <v>450</v>
      </c>
      <c r="C142" s="91"/>
      <c r="D142" s="91"/>
      <c r="E142" s="91"/>
      <c r="F142" s="91"/>
      <c r="G142" s="91"/>
    </row>
    <row r="143" spans="1:7" ht="12" customHeight="1" thickBot="1">
      <c r="A143" s="84" t="s">
        <v>166</v>
      </c>
      <c r="B143" s="18" t="s">
        <v>451</v>
      </c>
      <c r="C143" s="91"/>
      <c r="D143" s="91"/>
      <c r="E143" s="91"/>
      <c r="F143" s="91"/>
      <c r="G143" s="91"/>
    </row>
    <row r="144" spans="1:7" ht="12" customHeight="1" thickBot="1">
      <c r="A144" s="38" t="s">
        <v>19</v>
      </c>
      <c r="B144" s="19" t="s">
        <v>459</v>
      </c>
      <c r="C144" s="54">
        <f>+C145+C146+C147+C148</f>
        <v>0</v>
      </c>
      <c r="D144" s="54">
        <f>+D145+D146+D147+D148</f>
        <v>0</v>
      </c>
      <c r="E144" s="54">
        <f>+E145+E146+E147+E148</f>
        <v>0</v>
      </c>
      <c r="F144" s="54">
        <f>+F145+F146+F147+F148</f>
        <v>0</v>
      </c>
      <c r="G144" s="54">
        <f>+G145+G146+G147+G148</f>
        <v>0</v>
      </c>
    </row>
    <row r="145" spans="1:7" ht="12" customHeight="1">
      <c r="A145" s="42" t="s">
        <v>89</v>
      </c>
      <c r="B145" s="18" t="s">
        <v>366</v>
      </c>
      <c r="C145" s="91"/>
      <c r="D145" s="91"/>
      <c r="E145" s="91"/>
      <c r="F145" s="91"/>
      <c r="G145" s="91"/>
    </row>
    <row r="146" spans="1:7" ht="12" customHeight="1">
      <c r="A146" s="42" t="s">
        <v>90</v>
      </c>
      <c r="B146" s="18" t="s">
        <v>367</v>
      </c>
      <c r="C146" s="91"/>
      <c r="D146" s="91"/>
      <c r="E146" s="91"/>
      <c r="F146" s="91"/>
      <c r="G146" s="91"/>
    </row>
    <row r="147" spans="1:7" ht="12" customHeight="1">
      <c r="A147" s="42" t="s">
        <v>281</v>
      </c>
      <c r="B147" s="18" t="s">
        <v>460</v>
      </c>
      <c r="C147" s="91"/>
      <c r="D147" s="91"/>
      <c r="E147" s="91"/>
      <c r="F147" s="91"/>
      <c r="G147" s="91"/>
    </row>
    <row r="148" spans="1:7" ht="12" customHeight="1" thickBot="1">
      <c r="A148" s="84" t="s">
        <v>282</v>
      </c>
      <c r="B148" s="17" t="s">
        <v>386</v>
      </c>
      <c r="C148" s="91"/>
      <c r="D148" s="91"/>
      <c r="E148" s="91"/>
      <c r="F148" s="91"/>
      <c r="G148" s="91"/>
    </row>
    <row r="149" spans="1:7" ht="12" customHeight="1" thickBot="1">
      <c r="A149" s="38" t="s">
        <v>20</v>
      </c>
      <c r="B149" s="19" t="s">
        <v>461</v>
      </c>
      <c r="C149" s="94">
        <f>SUM(C150:C154)</f>
        <v>0</v>
      </c>
      <c r="D149" s="94">
        <f>SUM(D150:D154)</f>
        <v>0</v>
      </c>
      <c r="E149" s="94">
        <f>SUM(E150:E154)</f>
        <v>0</v>
      </c>
      <c r="F149" s="94">
        <f>SUM(F150:F154)</f>
        <v>0</v>
      </c>
      <c r="G149" s="94">
        <f>SUM(G150:G154)</f>
        <v>0</v>
      </c>
    </row>
    <row r="150" spans="1:7" ht="12" customHeight="1">
      <c r="A150" s="42" t="s">
        <v>91</v>
      </c>
      <c r="B150" s="18" t="s">
        <v>456</v>
      </c>
      <c r="C150" s="91"/>
      <c r="D150" s="91"/>
      <c r="E150" s="91"/>
      <c r="F150" s="91"/>
      <c r="G150" s="91"/>
    </row>
    <row r="151" spans="1:7" ht="12" customHeight="1">
      <c r="A151" s="42" t="s">
        <v>92</v>
      </c>
      <c r="B151" s="18" t="s">
        <v>463</v>
      </c>
      <c r="C151" s="91"/>
      <c r="D151" s="91"/>
      <c r="E151" s="91"/>
      <c r="F151" s="91"/>
      <c r="G151" s="91"/>
    </row>
    <row r="152" spans="1:7" ht="12" customHeight="1">
      <c r="A152" s="42" t="s">
        <v>293</v>
      </c>
      <c r="B152" s="18" t="s">
        <v>458</v>
      </c>
      <c r="C152" s="91"/>
      <c r="D152" s="91"/>
      <c r="E152" s="91"/>
      <c r="F152" s="91"/>
      <c r="G152" s="91"/>
    </row>
    <row r="153" spans="1:7" ht="12" customHeight="1">
      <c r="A153" s="42" t="s">
        <v>294</v>
      </c>
      <c r="B153" s="18" t="s">
        <v>464</v>
      </c>
      <c r="C153" s="91"/>
      <c r="D153" s="91"/>
      <c r="E153" s="91"/>
      <c r="F153" s="91"/>
      <c r="G153" s="91"/>
    </row>
    <row r="154" spans="1:7" ht="12" customHeight="1" thickBot="1">
      <c r="A154" s="42" t="s">
        <v>462</v>
      </c>
      <c r="B154" s="18" t="s">
        <v>465</v>
      </c>
      <c r="C154" s="91"/>
      <c r="D154" s="91"/>
      <c r="E154" s="91"/>
      <c r="F154" s="91"/>
      <c r="G154" s="91"/>
    </row>
    <row r="155" spans="1:7" ht="12" customHeight="1" thickBot="1">
      <c r="A155" s="38" t="s">
        <v>21</v>
      </c>
      <c r="B155" s="19" t="s">
        <v>466</v>
      </c>
      <c r="C155" s="540"/>
      <c r="D155" s="540"/>
      <c r="E155" s="540"/>
      <c r="F155" s="540"/>
      <c r="G155" s="540"/>
    </row>
    <row r="156" spans="1:7" ht="12" customHeight="1" thickBot="1">
      <c r="A156" s="38" t="s">
        <v>22</v>
      </c>
      <c r="B156" s="19" t="s">
        <v>467</v>
      </c>
      <c r="C156" s="540"/>
      <c r="D156" s="540"/>
      <c r="E156" s="540"/>
      <c r="F156" s="540"/>
      <c r="G156" s="540"/>
    </row>
    <row r="157" spans="1:7" ht="15" customHeight="1" thickBot="1">
      <c r="A157" s="38" t="s">
        <v>23</v>
      </c>
      <c r="B157" s="19" t="s">
        <v>469</v>
      </c>
      <c r="C157" s="95">
        <f>+C133+C137+C144+C149+C155+C156</f>
        <v>0</v>
      </c>
      <c r="D157" s="95">
        <f>+D133+D137+D144+D149+D155+D156</f>
        <v>0</v>
      </c>
      <c r="E157" s="95">
        <f>+E133+E137+E144+E149+E155+E156</f>
        <v>0</v>
      </c>
      <c r="F157" s="95">
        <f>+F133+F137+F144+F149+F155+F156</f>
        <v>0</v>
      </c>
      <c r="G157" s="95">
        <f>+G133+G137+G144+G149+G155+G156</f>
        <v>0</v>
      </c>
    </row>
    <row r="158" spans="1:7" s="41" customFormat="1" ht="12.95" customHeight="1" thickBot="1">
      <c r="A158" s="97" t="s">
        <v>24</v>
      </c>
      <c r="B158" s="98" t="s">
        <v>468</v>
      </c>
      <c r="C158" s="95">
        <f>+C132+C157</f>
        <v>0</v>
      </c>
      <c r="D158" s="95">
        <f>+D132+D157</f>
        <v>0</v>
      </c>
      <c r="E158" s="95">
        <f>+E132+E157</f>
        <v>0</v>
      </c>
      <c r="F158" s="95">
        <f>+F132+F157</f>
        <v>0</v>
      </c>
      <c r="G158" s="95">
        <f>+G132+G157</f>
        <v>0</v>
      </c>
    </row>
    <row r="159" spans="1:7" ht="7.5" customHeight="1"/>
  </sheetData>
  <mergeCells count="4">
    <mergeCell ref="A5:B5"/>
    <mergeCell ref="A6:B6"/>
    <mergeCell ref="A93:B93"/>
    <mergeCell ref="A94:B94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53" fitToHeight="2" orientation="portrait" r:id="rId1"/>
  <headerFooter alignWithMargins="0">
    <oddHeader>&amp;R&amp;"Times New Roman CE,Félkövér dőlt"&amp;11 1.1. melléklet a 19/2019. (XII.20.) önkormányzati rendelethez</oddHeader>
    <oddFooter>&amp;P. oldal, összesen: &amp;N</oddFooter>
  </headerFooter>
  <rowBreaks count="3" manualBreakCount="3">
    <brk id="66" max="6" man="1"/>
    <brk id="91" max="6" man="1"/>
    <brk id="13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FFFF00"/>
  </sheetPr>
  <dimension ref="A1:M34"/>
  <sheetViews>
    <sheetView topLeftCell="G1" zoomScale="115" zoomScaleNormal="115" zoomScaleSheetLayoutView="100" workbookViewId="0">
      <selection activeCell="H1" sqref="H1"/>
    </sheetView>
  </sheetViews>
  <sheetFormatPr defaultRowHeight="12.75"/>
  <cols>
    <col min="1" max="1" width="4.83203125" style="752" bestFit="1" customWidth="1"/>
    <col min="2" max="2" width="47.6640625" style="754" bestFit="1" customWidth="1"/>
    <col min="3" max="7" width="21.33203125" style="752" bestFit="1" customWidth="1"/>
    <col min="8" max="8" width="43.33203125" style="752" bestFit="1" customWidth="1"/>
    <col min="9" max="13" width="18.83203125" style="752" customWidth="1"/>
    <col min="14" max="16384" width="9.33203125" style="752"/>
  </cols>
  <sheetData>
    <row r="1" spans="1:13">
      <c r="B1" s="752"/>
      <c r="H1" s="365" t="s">
        <v>758</v>
      </c>
    </row>
    <row r="2" spans="1:13" ht="31.5">
      <c r="B2" s="161" t="s">
        <v>147</v>
      </c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13" ht="14.25" thickBot="1">
      <c r="I3" s="599" t="s">
        <v>581</v>
      </c>
      <c r="J3" s="599" t="s">
        <v>581</v>
      </c>
      <c r="K3" s="599" t="s">
        <v>581</v>
      </c>
      <c r="L3" s="599" t="s">
        <v>581</v>
      </c>
      <c r="M3" s="599" t="s">
        <v>581</v>
      </c>
    </row>
    <row r="4" spans="1:13" ht="13.5" thickBot="1">
      <c r="A4" s="792" t="s">
        <v>64</v>
      </c>
      <c r="B4" s="162" t="s">
        <v>51</v>
      </c>
      <c r="C4" s="600"/>
      <c r="D4" s="600"/>
      <c r="E4" s="600"/>
      <c r="F4" s="600"/>
      <c r="G4" s="600"/>
      <c r="H4" s="162" t="s">
        <v>52</v>
      </c>
      <c r="I4" s="601"/>
      <c r="J4" s="601"/>
      <c r="K4" s="601"/>
      <c r="L4" s="601"/>
      <c r="M4" s="601"/>
    </row>
    <row r="5" spans="1:13" s="164" customFormat="1" ht="36.75" thickBot="1">
      <c r="A5" s="793"/>
      <c r="B5" s="163" t="s">
        <v>56</v>
      </c>
      <c r="C5" s="602" t="s">
        <v>690</v>
      </c>
      <c r="D5" s="602" t="s">
        <v>716</v>
      </c>
      <c r="E5" s="602" t="s">
        <v>719</v>
      </c>
      <c r="F5" s="602" t="s">
        <v>729</v>
      </c>
      <c r="G5" s="602" t="s">
        <v>750</v>
      </c>
      <c r="H5" s="163" t="s">
        <v>56</v>
      </c>
      <c r="I5" s="602" t="s">
        <v>690</v>
      </c>
      <c r="J5" s="602" t="s">
        <v>716</v>
      </c>
      <c r="K5" s="602" t="s">
        <v>719</v>
      </c>
      <c r="L5" s="602" t="s">
        <v>729</v>
      </c>
      <c r="M5" s="602" t="s">
        <v>750</v>
      </c>
    </row>
    <row r="6" spans="1:13" s="186" customFormat="1" ht="11.25" thickBot="1">
      <c r="A6" s="165" t="s">
        <v>483</v>
      </c>
      <c r="B6" s="166" t="s">
        <v>484</v>
      </c>
      <c r="C6" s="603" t="s">
        <v>485</v>
      </c>
      <c r="D6" s="603" t="s">
        <v>485</v>
      </c>
      <c r="E6" s="603" t="s">
        <v>485</v>
      </c>
      <c r="F6" s="603" t="s">
        <v>485</v>
      </c>
      <c r="G6" s="603" t="s">
        <v>485</v>
      </c>
      <c r="H6" s="166" t="s">
        <v>487</v>
      </c>
      <c r="I6" s="167" t="s">
        <v>486</v>
      </c>
      <c r="J6" s="167" t="s">
        <v>486</v>
      </c>
      <c r="K6" s="167" t="s">
        <v>486</v>
      </c>
      <c r="L6" s="167" t="s">
        <v>486</v>
      </c>
      <c r="M6" s="167" t="s">
        <v>486</v>
      </c>
    </row>
    <row r="7" spans="1:13">
      <c r="A7" s="755" t="s">
        <v>14</v>
      </c>
      <c r="B7" s="168" t="s">
        <v>369</v>
      </c>
      <c r="C7" s="604">
        <f>223966276</f>
        <v>223966276</v>
      </c>
      <c r="D7" s="604">
        <f>223966276+267920+344876+8520000</f>
        <v>233099072</v>
      </c>
      <c r="E7" s="604">
        <f>233099072+519000+236721+335241+363642</f>
        <v>234553676</v>
      </c>
      <c r="F7" s="604">
        <f>234553676+4189000+297821+327267+2051050+350000-2762886</f>
        <v>239005928</v>
      </c>
      <c r="G7" s="604">
        <f>234553676+4189000+297821+327267+2051050+350000-2762886+312781+215183-311184+20958600</f>
        <v>260181308</v>
      </c>
      <c r="H7" s="168" t="s">
        <v>57</v>
      </c>
      <c r="I7" s="20">
        <v>81039317</v>
      </c>
      <c r="J7" s="20">
        <f>81039317+775698+4647201-1006323</f>
        <v>85455893</v>
      </c>
      <c r="K7" s="20">
        <f>85455893+2000000</f>
        <v>87455893</v>
      </c>
      <c r="L7" s="20">
        <f>87455893+365106+1363823+280000+520000+1200000+500000+570710+1000000</f>
        <v>93255532</v>
      </c>
      <c r="M7" s="20">
        <f>87455893+365106+1363823+280000+520000+1200000+500000+570710+1000000+1000000+2100000</f>
        <v>96355532</v>
      </c>
    </row>
    <row r="8" spans="1:13" ht="22.5">
      <c r="A8" s="756" t="s">
        <v>15</v>
      </c>
      <c r="B8" s="169" t="s">
        <v>370</v>
      </c>
      <c r="C8" s="170">
        <f>75066371</f>
        <v>75066371</v>
      </c>
      <c r="D8" s="170">
        <f>75066371+695378+4151815</f>
        <v>79913564</v>
      </c>
      <c r="E8" s="170">
        <f>79913564+139498+3337921+316358</f>
        <v>83707341</v>
      </c>
      <c r="F8" s="170">
        <f>83707341+429000+803800+209700+43500+1602492+670586+293430</f>
        <v>87759849</v>
      </c>
      <c r="G8" s="170">
        <f>83707341+429000+803800+209700+43500+1602492+670586+293430+9125600+163200-23000000+287980</f>
        <v>74336629</v>
      </c>
      <c r="H8" s="169" t="s">
        <v>172</v>
      </c>
      <c r="I8" s="27">
        <v>17133121</v>
      </c>
      <c r="J8" s="27">
        <f>17133121+75631+453102-98116</f>
        <v>17563738</v>
      </c>
      <c r="K8" s="27">
        <f>17563738+390000</f>
        <v>17953738</v>
      </c>
      <c r="L8" s="27">
        <f>17953738+63894+238669+49000+91000+210000+87500+99876+175000</f>
        <v>18968677</v>
      </c>
      <c r="M8" s="27">
        <f>17953738+63894+238669+49000+91000+210000+87500+99876+175000+385100+370000</f>
        <v>19723777</v>
      </c>
    </row>
    <row r="9" spans="1:13">
      <c r="A9" s="756" t="s">
        <v>16</v>
      </c>
      <c r="B9" s="169" t="s">
        <v>391</v>
      </c>
      <c r="C9" s="170"/>
      <c r="D9" s="170"/>
      <c r="E9" s="170"/>
      <c r="F9" s="170"/>
      <c r="G9" s="170"/>
      <c r="H9" s="169" t="s">
        <v>222</v>
      </c>
      <c r="I9" s="27">
        <v>263854593</v>
      </c>
      <c r="J9" s="27">
        <f>263854593+215957-127000</f>
        <v>263943550</v>
      </c>
      <c r="K9" s="27">
        <f>263854593+215957-127000+5100+46000-2390000</f>
        <v>261604650</v>
      </c>
      <c r="L9" s="27">
        <f>261604650+100000+803800+205740-205740+209700+500000+70000+317500+2051050+7135000+635000+2000000+3810000+2794000+500000</f>
        <v>282530700</v>
      </c>
      <c r="M9" s="27">
        <f>261604650+100000+803800+205740-205740+209700+500000+70000+317500+2051050+7135000+635000+2000000+3810000+2794000+500000+9125600+163200-1838000+161000+169000-496260-330000+55000-55000-1385100</f>
        <v>288100140</v>
      </c>
    </row>
    <row r="10" spans="1:13">
      <c r="A10" s="756" t="s">
        <v>17</v>
      </c>
      <c r="B10" s="169" t="s">
        <v>163</v>
      </c>
      <c r="C10" s="170">
        <f>136700000</f>
        <v>136700000</v>
      </c>
      <c r="D10" s="170">
        <f>136700000</f>
        <v>136700000</v>
      </c>
      <c r="E10" s="170">
        <f>136700000</f>
        <v>136700000</v>
      </c>
      <c r="F10" s="170">
        <f>136700000+300000</f>
        <v>137000000</v>
      </c>
      <c r="G10" s="170">
        <f>136700000+300000+12000000</f>
        <v>149000000</v>
      </c>
      <c r="H10" s="169" t="s">
        <v>173</v>
      </c>
      <c r="I10" s="27">
        <v>7330000</v>
      </c>
      <c r="J10" s="27">
        <v>7330000</v>
      </c>
      <c r="K10" s="27">
        <f>7330000+1440000</f>
        <v>8770000</v>
      </c>
      <c r="L10" s="27">
        <f>7330000+1440000</f>
        <v>8770000</v>
      </c>
      <c r="M10" s="27">
        <f>7330000+1440000+2334260</f>
        <v>11104260</v>
      </c>
    </row>
    <row r="11" spans="1:13">
      <c r="A11" s="756" t="s">
        <v>18</v>
      </c>
      <c r="B11" s="187" t="s">
        <v>415</v>
      </c>
      <c r="C11" s="170">
        <f>130660612</f>
        <v>130660612</v>
      </c>
      <c r="D11" s="170">
        <f>130660612+215957</f>
        <v>130876569</v>
      </c>
      <c r="E11" s="170">
        <f>130876569+725120</f>
        <v>131601689</v>
      </c>
      <c r="F11" s="170">
        <f>130876569+725120+230000+4316000+3810000+29210000</f>
        <v>169167689</v>
      </c>
      <c r="G11" s="170">
        <f>130876569+725120+230000+4316000+3810000+29210000+1510000</f>
        <v>170677689</v>
      </c>
      <c r="H11" s="169" t="s">
        <v>174</v>
      </c>
      <c r="I11" s="27">
        <v>173511355</v>
      </c>
      <c r="J11" s="27">
        <f>173511355+2886754+64975</f>
        <v>176463084</v>
      </c>
      <c r="K11" s="27">
        <f>176463084-1537199+30000+30000+15000+917805-1440000</f>
        <v>174478690</v>
      </c>
      <c r="L11" s="27">
        <f>176463084-1537199+30000+30000+15000+917805-1440000-300000+150000</f>
        <v>174328690</v>
      </c>
      <c r="M11" s="27">
        <f>176463084-1537199+30000+30000+15000+917805-1440000-300000+150000-200000-2041400</f>
        <v>172087290</v>
      </c>
    </row>
    <row r="12" spans="1:13">
      <c r="A12" s="756" t="s">
        <v>19</v>
      </c>
      <c r="B12" s="169" t="s">
        <v>371</v>
      </c>
      <c r="C12" s="605">
        <v>505503</v>
      </c>
      <c r="D12" s="605">
        <v>505503</v>
      </c>
      <c r="E12" s="605">
        <v>505503</v>
      </c>
      <c r="F12" s="605">
        <v>505503</v>
      </c>
      <c r="G12" s="605">
        <v>505503</v>
      </c>
      <c r="H12" s="169" t="s">
        <v>45</v>
      </c>
      <c r="I12" s="27">
        <v>33170228</v>
      </c>
      <c r="J12" s="27">
        <f>33170228+267920+344876+8520000+7313613+475499-2886754-64975</f>
        <v>47140407</v>
      </c>
      <c r="K12" s="27">
        <f>47140407+236721+335241+519000+558279+1776671+931523-8520000+1537199+2650000-2650000-100000+363642+139498-30000-30000-15000+3337921-917805-5100-46000+725120-190500+316358</f>
        <v>48063175</v>
      </c>
      <c r="L12" s="27">
        <f>48063175+25000+10000-100000-500000-70000+43500+4189000-300000-14000-22200+297821+327267-500000-100000-2762886+230000+300000+4316000+3810000+29210000-329000-2021000-7135000-5100-635000-2000000-1270000-3810000-587500-1175000-262000-1219200-2794000-508000-1000000-500000-330315-150000</f>
        <v>60721562</v>
      </c>
      <c r="M12" s="27">
        <f>60721562+390000+312781+215183-311184+287980-85652+12000000+1510000-2470000</f>
        <v>72570670</v>
      </c>
    </row>
    <row r="13" spans="1:13">
      <c r="A13" s="756" t="s">
        <v>20</v>
      </c>
      <c r="B13" s="169" t="s">
        <v>477</v>
      </c>
      <c r="C13" s="170"/>
      <c r="D13" s="170"/>
      <c r="E13" s="170"/>
      <c r="F13" s="170"/>
      <c r="G13" s="170"/>
      <c r="H13" s="172"/>
      <c r="I13" s="27"/>
      <c r="J13" s="27"/>
      <c r="K13" s="27"/>
      <c r="L13" s="27"/>
      <c r="M13" s="27"/>
    </row>
    <row r="14" spans="1:13">
      <c r="A14" s="756" t="s">
        <v>21</v>
      </c>
      <c r="B14" s="169"/>
      <c r="C14" s="605"/>
      <c r="D14" s="605"/>
      <c r="E14" s="605"/>
      <c r="F14" s="605"/>
      <c r="G14" s="605"/>
      <c r="H14" s="169"/>
      <c r="I14" s="27"/>
      <c r="J14" s="27"/>
      <c r="K14" s="27"/>
      <c r="L14" s="27"/>
      <c r="M14" s="27"/>
    </row>
    <row r="15" spans="1:13">
      <c r="A15" s="756" t="s">
        <v>22</v>
      </c>
      <c r="B15" s="169"/>
      <c r="C15" s="605"/>
      <c r="D15" s="605"/>
      <c r="E15" s="605"/>
      <c r="F15" s="605"/>
      <c r="G15" s="605"/>
      <c r="H15" s="169"/>
      <c r="I15" s="27"/>
      <c r="J15" s="27"/>
      <c r="K15" s="27"/>
      <c r="L15" s="27"/>
      <c r="M15" s="27"/>
    </row>
    <row r="16" spans="1:13" ht="17.25" customHeight="1">
      <c r="A16" s="756" t="s">
        <v>23</v>
      </c>
      <c r="B16" s="169"/>
      <c r="C16" s="605"/>
      <c r="D16" s="605"/>
      <c r="E16" s="605"/>
      <c r="F16" s="605"/>
      <c r="G16" s="605"/>
      <c r="H16" s="169"/>
      <c r="I16" s="27"/>
      <c r="J16" s="27"/>
      <c r="K16" s="27"/>
      <c r="L16" s="27"/>
      <c r="M16" s="27"/>
    </row>
    <row r="17" spans="1:13" ht="15" customHeight="1">
      <c r="A17" s="756" t="s">
        <v>24</v>
      </c>
      <c r="B17" s="169"/>
      <c r="C17" s="605"/>
      <c r="D17" s="605"/>
      <c r="E17" s="605"/>
      <c r="F17" s="605"/>
      <c r="G17" s="605"/>
      <c r="H17" s="169"/>
      <c r="I17" s="27"/>
      <c r="J17" s="27"/>
      <c r="K17" s="27"/>
      <c r="L17" s="27"/>
      <c r="M17" s="27"/>
    </row>
    <row r="18" spans="1:13" ht="15" customHeight="1" thickBot="1">
      <c r="A18" s="756" t="s">
        <v>25</v>
      </c>
      <c r="B18" s="169"/>
      <c r="C18" s="605"/>
      <c r="D18" s="605"/>
      <c r="E18" s="605"/>
      <c r="F18" s="605"/>
      <c r="G18" s="605"/>
      <c r="H18" s="169"/>
      <c r="I18" s="27"/>
      <c r="J18" s="27"/>
      <c r="K18" s="27"/>
      <c r="L18" s="27"/>
      <c r="M18" s="27"/>
    </row>
    <row r="19" spans="1:13" ht="26.25" thickBot="1">
      <c r="A19" s="176" t="s">
        <v>26</v>
      </c>
      <c r="B19" s="177" t="s">
        <v>478</v>
      </c>
      <c r="C19" s="607">
        <f>SUM(C7:C18)</f>
        <v>566898762</v>
      </c>
      <c r="D19" s="607">
        <f>SUM(D7:D18)</f>
        <v>581094708</v>
      </c>
      <c r="E19" s="607">
        <f>SUM(E7:E18)</f>
        <v>587068209</v>
      </c>
      <c r="F19" s="607">
        <f>SUM(F7:F18)</f>
        <v>633438969</v>
      </c>
      <c r="G19" s="607">
        <f>SUM(G7:G18)</f>
        <v>654701129</v>
      </c>
      <c r="H19" s="177" t="s">
        <v>377</v>
      </c>
      <c r="I19" s="513">
        <f>SUM(I7:I18)</f>
        <v>576038614</v>
      </c>
      <c r="J19" s="513">
        <f>SUM(J7:J18)</f>
        <v>597896672</v>
      </c>
      <c r="K19" s="513">
        <f>SUM(K7:K18)</f>
        <v>598326146</v>
      </c>
      <c r="L19" s="513">
        <f>SUM(L7:L18)</f>
        <v>638575161</v>
      </c>
      <c r="M19" s="513">
        <f>SUM(M7:M18)</f>
        <v>659941669</v>
      </c>
    </row>
    <row r="20" spans="1:13" ht="25.5">
      <c r="A20" s="757" t="s">
        <v>27</v>
      </c>
      <c r="B20" s="175" t="s">
        <v>374</v>
      </c>
      <c r="C20" s="611">
        <f>+C21+C22+C23+C24</f>
        <v>193508260</v>
      </c>
      <c r="D20" s="611">
        <f>+D21+D22+D23+D24</f>
        <v>179312314</v>
      </c>
      <c r="E20" s="611">
        <f>+E21+E22+E23+E24</f>
        <v>200879872</v>
      </c>
      <c r="F20" s="611">
        <f>+F21+F22+F23+F24</f>
        <v>154509112</v>
      </c>
      <c r="G20" s="611">
        <f>+G21+G22+G23+G24</f>
        <v>195869220</v>
      </c>
      <c r="H20" s="169" t="s">
        <v>180</v>
      </c>
      <c r="I20" s="519"/>
      <c r="J20" s="519"/>
      <c r="K20" s="519"/>
      <c r="L20" s="519"/>
      <c r="M20" s="519"/>
    </row>
    <row r="21" spans="1:13" ht="25.5">
      <c r="A21" s="756" t="s">
        <v>28</v>
      </c>
      <c r="B21" s="169" t="s">
        <v>215</v>
      </c>
      <c r="C21" s="170">
        <f>I31-C19-C25-C29</f>
        <v>193508260</v>
      </c>
      <c r="D21" s="170">
        <f>I31-D19-D25-D29</f>
        <v>179312314</v>
      </c>
      <c r="E21" s="170">
        <f>K31-E19-E25-E29</f>
        <v>200879872</v>
      </c>
      <c r="F21" s="170">
        <f>K31-F19-F25-F29</f>
        <v>154509112</v>
      </c>
      <c r="G21" s="170">
        <f>M31-G19-G25-G29</f>
        <v>195869220</v>
      </c>
      <c r="H21" s="169" t="s">
        <v>376</v>
      </c>
      <c r="I21" s="27"/>
      <c r="J21" s="27"/>
      <c r="K21" s="27"/>
      <c r="L21" s="27"/>
      <c r="M21" s="27"/>
    </row>
    <row r="22" spans="1:13" ht="25.5">
      <c r="A22" s="756" t="s">
        <v>29</v>
      </c>
      <c r="B22" s="169" t="s">
        <v>216</v>
      </c>
      <c r="C22" s="170"/>
      <c r="D22" s="170"/>
      <c r="E22" s="170"/>
      <c r="F22" s="170"/>
      <c r="G22" s="170"/>
      <c r="H22" s="169" t="s">
        <v>145</v>
      </c>
      <c r="I22" s="27"/>
      <c r="J22" s="27"/>
      <c r="K22" s="27"/>
      <c r="L22" s="27"/>
      <c r="M22" s="27"/>
    </row>
    <row r="23" spans="1:13" ht="25.5">
      <c r="A23" s="756" t="s">
        <v>30</v>
      </c>
      <c r="B23" s="169" t="s">
        <v>220</v>
      </c>
      <c r="C23" s="170"/>
      <c r="D23" s="170"/>
      <c r="E23" s="170"/>
      <c r="F23" s="170"/>
      <c r="G23" s="170"/>
      <c r="H23" s="169" t="s">
        <v>146</v>
      </c>
      <c r="I23" s="27"/>
      <c r="J23" s="27"/>
      <c r="K23" s="27"/>
      <c r="L23" s="27"/>
      <c r="M23" s="27"/>
    </row>
    <row r="24" spans="1:13" ht="25.5">
      <c r="A24" s="756" t="s">
        <v>31</v>
      </c>
      <c r="B24" s="169" t="s">
        <v>221</v>
      </c>
      <c r="C24" s="170"/>
      <c r="D24" s="170"/>
      <c r="E24" s="170"/>
      <c r="F24" s="170"/>
      <c r="G24" s="170"/>
      <c r="H24" s="175" t="s">
        <v>223</v>
      </c>
      <c r="I24" s="27"/>
      <c r="J24" s="27"/>
      <c r="K24" s="27"/>
      <c r="L24" s="27"/>
      <c r="M24" s="27"/>
    </row>
    <row r="25" spans="1:13" ht="25.5">
      <c r="A25" s="756" t="s">
        <v>32</v>
      </c>
      <c r="B25" s="169" t="s">
        <v>375</v>
      </c>
      <c r="C25" s="609">
        <f>C26+C27</f>
        <v>0</v>
      </c>
      <c r="D25" s="609">
        <f>D26+D27</f>
        <v>0</v>
      </c>
      <c r="E25" s="609">
        <f>E26+E27</f>
        <v>0</v>
      </c>
      <c r="F25" s="609">
        <f>F26+F27</f>
        <v>0</v>
      </c>
      <c r="G25" s="609">
        <f>G26+G27</f>
        <v>0</v>
      </c>
      <c r="H25" s="169" t="s">
        <v>181</v>
      </c>
      <c r="I25" s="27"/>
      <c r="J25" s="27"/>
      <c r="K25" s="27"/>
      <c r="L25" s="27"/>
      <c r="M25" s="27"/>
    </row>
    <row r="26" spans="1:13" ht="25.5">
      <c r="A26" s="757" t="s">
        <v>33</v>
      </c>
      <c r="B26" s="175" t="s">
        <v>372</v>
      </c>
      <c r="C26" s="612"/>
      <c r="D26" s="612"/>
      <c r="E26" s="612"/>
      <c r="F26" s="612"/>
      <c r="G26" s="612"/>
      <c r="H26" s="168" t="s">
        <v>460</v>
      </c>
      <c r="I26" s="519"/>
      <c r="J26" s="519"/>
      <c r="K26" s="519"/>
      <c r="L26" s="519"/>
      <c r="M26" s="519"/>
    </row>
    <row r="27" spans="1:13" ht="25.5">
      <c r="A27" s="756" t="s">
        <v>34</v>
      </c>
      <c r="B27" s="169" t="s">
        <v>373</v>
      </c>
      <c r="C27" s="170"/>
      <c r="D27" s="170"/>
      <c r="E27" s="170"/>
      <c r="F27" s="170"/>
      <c r="G27" s="170"/>
      <c r="H27" s="169" t="s">
        <v>466</v>
      </c>
      <c r="I27" s="27"/>
      <c r="J27" s="27"/>
      <c r="K27" s="27"/>
      <c r="L27" s="27"/>
      <c r="M27" s="27"/>
    </row>
    <row r="28" spans="1:13" ht="25.5">
      <c r="A28" s="756" t="s">
        <v>35</v>
      </c>
      <c r="B28" s="169" t="s">
        <v>471</v>
      </c>
      <c r="C28" s="170"/>
      <c r="D28" s="170"/>
      <c r="E28" s="170"/>
      <c r="F28" s="170"/>
      <c r="G28" s="170"/>
      <c r="H28" s="169" t="s">
        <v>576</v>
      </c>
      <c r="I28" s="27">
        <f>8107720</f>
        <v>8107720</v>
      </c>
      <c r="J28" s="27">
        <f>8107720</f>
        <v>8107720</v>
      </c>
      <c r="K28" s="27">
        <f>8107720+262090</f>
        <v>8369810</v>
      </c>
      <c r="L28" s="27">
        <f>8107720+262090</f>
        <v>8369810</v>
      </c>
      <c r="M28" s="27">
        <f>8107720+262090</f>
        <v>8369810</v>
      </c>
    </row>
    <row r="29" spans="1:13" ht="26.25" thickBot="1">
      <c r="A29" s="757" t="s">
        <v>36</v>
      </c>
      <c r="B29" s="175" t="s">
        <v>318</v>
      </c>
      <c r="C29" s="612"/>
      <c r="D29" s="612"/>
      <c r="E29" s="612">
        <f>262090</f>
        <v>262090</v>
      </c>
      <c r="F29" s="612">
        <f>262090</f>
        <v>262090</v>
      </c>
      <c r="G29" s="612">
        <f>262090</f>
        <v>262090</v>
      </c>
      <c r="H29" s="174" t="s">
        <v>541</v>
      </c>
      <c r="I29" s="519">
        <f>176260688</f>
        <v>176260688</v>
      </c>
      <c r="J29" s="519">
        <f>176260688</f>
        <v>176260688</v>
      </c>
      <c r="K29" s="519">
        <f>176260688-558279+5811806</f>
        <v>181514215</v>
      </c>
      <c r="L29" s="519">
        <f>176260688-558279+5811806-25000-10000+350000+623745</f>
        <v>182452960</v>
      </c>
      <c r="M29" s="519">
        <f>176260688-558279+5811806-25000-10000+350000+623745+458000-390000</f>
        <v>182520960</v>
      </c>
    </row>
    <row r="30" spans="1:13" ht="26.25" thickBot="1">
      <c r="A30" s="176" t="s">
        <v>37</v>
      </c>
      <c r="B30" s="177" t="s">
        <v>479</v>
      </c>
      <c r="C30" s="607">
        <f>+C20+C25+C28+C29</f>
        <v>193508260</v>
      </c>
      <c r="D30" s="607">
        <f>+D20+D25+D28+D29</f>
        <v>179312314</v>
      </c>
      <c r="E30" s="607">
        <f>+E20+E25+E28+E29</f>
        <v>201141962</v>
      </c>
      <c r="F30" s="607">
        <f>+F20+F25+F28+F29</f>
        <v>154771202</v>
      </c>
      <c r="G30" s="607">
        <f>+G20+G25+G28+G29</f>
        <v>196131310</v>
      </c>
      <c r="H30" s="177" t="s">
        <v>481</v>
      </c>
      <c r="I30" s="513">
        <f>SUM(I20:I29)</f>
        <v>184368408</v>
      </c>
      <c r="J30" s="513">
        <f>SUM(J20:J29)</f>
        <v>184368408</v>
      </c>
      <c r="K30" s="513">
        <f>SUM(K20:K29)</f>
        <v>189884025</v>
      </c>
      <c r="L30" s="513">
        <f>SUM(L20:L29)</f>
        <v>190822770</v>
      </c>
      <c r="M30" s="513">
        <f>SUM(M20:M29)</f>
        <v>190890770</v>
      </c>
    </row>
    <row r="31" spans="1:13" ht="26.25" thickBot="1">
      <c r="A31" s="176" t="s">
        <v>38</v>
      </c>
      <c r="B31" s="185" t="s">
        <v>480</v>
      </c>
      <c r="C31" s="610">
        <f>+C19+C30</f>
        <v>760407022</v>
      </c>
      <c r="D31" s="610">
        <f>+D19+D30</f>
        <v>760407022</v>
      </c>
      <c r="E31" s="610">
        <f>+E19+E30</f>
        <v>788210171</v>
      </c>
      <c r="F31" s="610">
        <f>+F19+F30</f>
        <v>788210171</v>
      </c>
      <c r="G31" s="610">
        <f>+G19+G30</f>
        <v>850832439</v>
      </c>
      <c r="H31" s="185" t="s">
        <v>482</v>
      </c>
      <c r="I31" s="610">
        <f>+I19+I30</f>
        <v>760407022</v>
      </c>
      <c r="J31" s="610">
        <f>+J19+J30</f>
        <v>782265080</v>
      </c>
      <c r="K31" s="610">
        <f>+K19+K30</f>
        <v>788210171</v>
      </c>
      <c r="L31" s="610">
        <f>+L19+L30</f>
        <v>829397931</v>
      </c>
      <c r="M31" s="610">
        <f>+M19+M30</f>
        <v>850832439</v>
      </c>
    </row>
    <row r="32" spans="1:13" ht="26.25" thickBot="1">
      <c r="A32" s="176" t="s">
        <v>39</v>
      </c>
      <c r="B32" s="185" t="s">
        <v>158</v>
      </c>
      <c r="C32" s="610"/>
      <c r="D32" s="610"/>
      <c r="E32" s="610"/>
      <c r="F32" s="610"/>
      <c r="G32" s="610"/>
      <c r="H32" s="185" t="s">
        <v>159</v>
      </c>
      <c r="I32" s="610"/>
      <c r="J32" s="610"/>
      <c r="K32" s="610"/>
      <c r="L32" s="610"/>
      <c r="M32" s="610"/>
    </row>
    <row r="33" spans="1:13" ht="26.25" thickBot="1">
      <c r="A33" s="176" t="s">
        <v>40</v>
      </c>
      <c r="B33" s="185" t="s">
        <v>224</v>
      </c>
      <c r="C33" s="610"/>
      <c r="D33" s="610"/>
      <c r="E33" s="610"/>
      <c r="F33" s="610"/>
      <c r="G33" s="610"/>
      <c r="H33" s="185" t="s">
        <v>225</v>
      </c>
      <c r="I33" s="610"/>
      <c r="J33" s="610"/>
      <c r="K33" s="610"/>
      <c r="L33" s="610"/>
      <c r="M33" s="610"/>
    </row>
    <row r="34" spans="1:13" ht="18.75">
      <c r="B34" s="794"/>
      <c r="C34" s="794"/>
      <c r="D34" s="794"/>
      <c r="E34" s="794"/>
      <c r="F34" s="794"/>
      <c r="G34" s="794"/>
      <c r="H34" s="794"/>
    </row>
  </sheetData>
  <mergeCells count="2">
    <mergeCell ref="A4:A5"/>
    <mergeCell ref="B34:H3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50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FFFF00"/>
  </sheetPr>
  <dimension ref="A1:M34"/>
  <sheetViews>
    <sheetView topLeftCell="E1" zoomScaleNormal="100" zoomScaleSheetLayoutView="115" workbookViewId="0">
      <selection activeCell="H1" sqref="H1"/>
    </sheetView>
  </sheetViews>
  <sheetFormatPr defaultRowHeight="12.75"/>
  <cols>
    <col min="1" max="1" width="5.6640625" style="752" bestFit="1" customWidth="1"/>
    <col min="2" max="2" width="50.5" style="754" bestFit="1" customWidth="1"/>
    <col min="3" max="7" width="14.33203125" style="752" bestFit="1" customWidth="1"/>
    <col min="8" max="8" width="53" style="752" bestFit="1" customWidth="1"/>
    <col min="9" max="13" width="14.33203125" style="752" bestFit="1" customWidth="1"/>
    <col min="14" max="16384" width="9.33203125" style="752"/>
  </cols>
  <sheetData>
    <row r="1" spans="1:13">
      <c r="B1" s="752" t="s">
        <v>536</v>
      </c>
      <c r="H1" s="160" t="s">
        <v>759</v>
      </c>
      <c r="I1" s="160"/>
      <c r="J1" s="160"/>
      <c r="K1" s="160"/>
      <c r="L1" s="160"/>
      <c r="M1" s="160"/>
    </row>
    <row r="2" spans="1:13" ht="31.5">
      <c r="B2" s="161" t="s">
        <v>148</v>
      </c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13" ht="14.25" thickBot="1">
      <c r="I3" s="599" t="s">
        <v>581</v>
      </c>
      <c r="J3" s="599" t="s">
        <v>581</v>
      </c>
      <c r="K3" s="599" t="s">
        <v>581</v>
      </c>
      <c r="L3" s="599" t="s">
        <v>581</v>
      </c>
      <c r="M3" s="599" t="s">
        <v>581</v>
      </c>
    </row>
    <row r="4" spans="1:13" ht="13.5" thickBot="1">
      <c r="A4" s="795" t="s">
        <v>64</v>
      </c>
      <c r="B4" s="162" t="s">
        <v>51</v>
      </c>
      <c r="C4" s="600"/>
      <c r="D4" s="600"/>
      <c r="E4" s="600"/>
      <c r="F4" s="600"/>
      <c r="G4" s="600"/>
      <c r="H4" s="162" t="s">
        <v>52</v>
      </c>
      <c r="I4" s="601"/>
      <c r="J4" s="601"/>
      <c r="K4" s="601"/>
      <c r="L4" s="601"/>
      <c r="M4" s="601"/>
    </row>
    <row r="5" spans="1:13" s="164" customFormat="1" ht="36.75" thickBot="1">
      <c r="A5" s="796"/>
      <c r="B5" s="163" t="s">
        <v>56</v>
      </c>
      <c r="C5" s="602" t="s">
        <v>690</v>
      </c>
      <c r="D5" s="602" t="s">
        <v>716</v>
      </c>
      <c r="E5" s="602" t="s">
        <v>719</v>
      </c>
      <c r="F5" s="602" t="s">
        <v>729</v>
      </c>
      <c r="G5" s="602" t="s">
        <v>750</v>
      </c>
      <c r="H5" s="163" t="s">
        <v>56</v>
      </c>
      <c r="I5" s="602" t="s">
        <v>690</v>
      </c>
      <c r="J5" s="602" t="s">
        <v>716</v>
      </c>
      <c r="K5" s="602" t="s">
        <v>719</v>
      </c>
      <c r="L5" s="602" t="s">
        <v>729</v>
      </c>
      <c r="M5" s="602" t="s">
        <v>750</v>
      </c>
    </row>
    <row r="6" spans="1:13" s="164" customFormat="1" ht="13.5" thickBot="1">
      <c r="A6" s="165" t="s">
        <v>483</v>
      </c>
      <c r="B6" s="166" t="s">
        <v>484</v>
      </c>
      <c r="C6" s="603" t="s">
        <v>485</v>
      </c>
      <c r="D6" s="603" t="s">
        <v>485</v>
      </c>
      <c r="E6" s="603" t="s">
        <v>485</v>
      </c>
      <c r="F6" s="603" t="s">
        <v>485</v>
      </c>
      <c r="G6" s="603" t="s">
        <v>485</v>
      </c>
      <c r="H6" s="166" t="s">
        <v>487</v>
      </c>
      <c r="I6" s="167" t="s">
        <v>486</v>
      </c>
      <c r="J6" s="167" t="s">
        <v>486</v>
      </c>
      <c r="K6" s="167" t="s">
        <v>486</v>
      </c>
      <c r="L6" s="167" t="s">
        <v>486</v>
      </c>
      <c r="M6" s="167" t="s">
        <v>486</v>
      </c>
    </row>
    <row r="7" spans="1:13">
      <c r="A7" s="755" t="s">
        <v>14</v>
      </c>
      <c r="B7" s="168" t="s">
        <v>378</v>
      </c>
      <c r="C7" s="604">
        <v>39844721</v>
      </c>
      <c r="D7" s="604">
        <f>39844721-7313612</f>
        <v>32531109</v>
      </c>
      <c r="E7" s="604">
        <f>39844721-7313612</f>
        <v>32531109</v>
      </c>
      <c r="F7" s="604">
        <f>32531109+2790232</f>
        <v>35321341</v>
      </c>
      <c r="G7" s="604">
        <f>32531109+2790232+458000+27000000+219514227+3601136</f>
        <v>285894704</v>
      </c>
      <c r="H7" s="168" t="s">
        <v>217</v>
      </c>
      <c r="I7" s="20">
        <v>304198564</v>
      </c>
      <c r="J7" s="20">
        <f>304198564-14627225+127000</f>
        <v>289698339</v>
      </c>
      <c r="K7" s="20">
        <f>289698339+317500+190500</f>
        <v>290206339</v>
      </c>
      <c r="L7" s="20">
        <f>290206339+2790232+300000+14000+22200+500000+1270000+262000+508000</f>
        <v>295872771</v>
      </c>
      <c r="M7" s="20">
        <f>290206339+2790232+300000+14000+22200+500000+1270000+262000+508000+27000000+173580801+45933426+3601136+85652</f>
        <v>546073786</v>
      </c>
    </row>
    <row r="8" spans="1:13">
      <c r="A8" s="756" t="s">
        <v>15</v>
      </c>
      <c r="B8" s="169" t="s">
        <v>379</v>
      </c>
      <c r="C8" s="170"/>
      <c r="D8" s="170"/>
      <c r="E8" s="170"/>
      <c r="F8" s="170"/>
      <c r="G8" s="170"/>
      <c r="H8" s="169" t="s">
        <v>384</v>
      </c>
      <c r="I8" s="27"/>
      <c r="J8" s="27"/>
      <c r="K8" s="27"/>
      <c r="L8" s="27"/>
      <c r="M8" s="27"/>
    </row>
    <row r="9" spans="1:13">
      <c r="A9" s="756" t="s">
        <v>16</v>
      </c>
      <c r="B9" s="169" t="s">
        <v>8</v>
      </c>
      <c r="C9" s="170"/>
      <c r="D9" s="170"/>
      <c r="E9" s="170"/>
      <c r="F9" s="170"/>
      <c r="G9" s="170"/>
      <c r="H9" s="169" t="s">
        <v>176</v>
      </c>
      <c r="I9" s="27">
        <v>89587897</v>
      </c>
      <c r="J9" s="27">
        <v>89587897</v>
      </c>
      <c r="K9" s="27">
        <f>89587897+100000+635000</f>
        <v>90322897</v>
      </c>
      <c r="L9" s="27">
        <f>90322897-317500+100000+1219200</f>
        <v>91324597</v>
      </c>
      <c r="M9" s="27">
        <f>90322897-317500+100000+1219200</f>
        <v>91324597</v>
      </c>
    </row>
    <row r="10" spans="1:13">
      <c r="A10" s="756" t="s">
        <v>17</v>
      </c>
      <c r="B10" s="169" t="s">
        <v>380</v>
      </c>
      <c r="C10" s="170"/>
      <c r="D10" s="170"/>
      <c r="E10" s="170">
        <f>100000+317500+635000</f>
        <v>1052500</v>
      </c>
      <c r="F10" s="170">
        <f>100000+317500+635000</f>
        <v>1052500</v>
      </c>
      <c r="G10" s="170">
        <f>100000+317500+635000</f>
        <v>1052500</v>
      </c>
      <c r="H10" s="169" t="s">
        <v>385</v>
      </c>
      <c r="I10" s="27"/>
      <c r="J10" s="27"/>
      <c r="K10" s="27"/>
      <c r="L10" s="27"/>
      <c r="M10" s="27"/>
    </row>
    <row r="11" spans="1:13">
      <c r="A11" s="756" t="s">
        <v>18</v>
      </c>
      <c r="B11" s="169" t="s">
        <v>381</v>
      </c>
      <c r="C11" s="170"/>
      <c r="D11" s="170"/>
      <c r="E11" s="170"/>
      <c r="F11" s="170"/>
      <c r="G11" s="170"/>
      <c r="H11" s="169" t="s">
        <v>219</v>
      </c>
      <c r="I11" s="27">
        <v>650000</v>
      </c>
      <c r="J11" s="27">
        <v>650000</v>
      </c>
      <c r="K11" s="27">
        <v>650000</v>
      </c>
      <c r="L11" s="27">
        <f>650000+5100+1000000+300000</f>
        <v>1955100</v>
      </c>
      <c r="M11" s="27">
        <f>650000+5100+1000000+300000+200000</f>
        <v>2155100</v>
      </c>
    </row>
    <row r="12" spans="1:13">
      <c r="A12" s="756" t="s">
        <v>19</v>
      </c>
      <c r="B12" s="169" t="s">
        <v>382</v>
      </c>
      <c r="C12" s="605">
        <f>7100000</f>
        <v>7100000</v>
      </c>
      <c r="D12" s="605">
        <f>7100000</f>
        <v>7100000</v>
      </c>
      <c r="E12" s="605">
        <f>7000000</f>
        <v>7000000</v>
      </c>
      <c r="F12" s="605">
        <f>7000000</f>
        <v>7000000</v>
      </c>
      <c r="G12" s="605">
        <f>7000000</f>
        <v>7000000</v>
      </c>
      <c r="H12" s="171"/>
      <c r="I12" s="27"/>
      <c r="J12" s="27"/>
      <c r="K12" s="27"/>
      <c r="L12" s="27"/>
      <c r="M12" s="27"/>
    </row>
    <row r="13" spans="1:13">
      <c r="A13" s="756" t="s">
        <v>20</v>
      </c>
      <c r="B13" s="172"/>
      <c r="C13" s="170"/>
      <c r="D13" s="170"/>
      <c r="E13" s="170"/>
      <c r="F13" s="170"/>
      <c r="G13" s="170"/>
      <c r="H13" s="171"/>
      <c r="I13" s="27"/>
      <c r="J13" s="27"/>
      <c r="K13" s="27"/>
      <c r="L13" s="27"/>
      <c r="M13" s="27"/>
    </row>
    <row r="14" spans="1:13">
      <c r="A14" s="756" t="s">
        <v>21</v>
      </c>
      <c r="B14" s="172"/>
      <c r="C14" s="170"/>
      <c r="D14" s="170"/>
      <c r="E14" s="170"/>
      <c r="F14" s="170"/>
      <c r="G14" s="170"/>
      <c r="H14" s="171"/>
      <c r="I14" s="27"/>
      <c r="J14" s="27"/>
      <c r="K14" s="27"/>
      <c r="L14" s="27"/>
      <c r="M14" s="27"/>
    </row>
    <row r="15" spans="1:13">
      <c r="A15" s="756" t="s">
        <v>22</v>
      </c>
      <c r="B15" s="173"/>
      <c r="C15" s="605"/>
      <c r="D15" s="605"/>
      <c r="E15" s="605"/>
      <c r="F15" s="605"/>
      <c r="G15" s="605"/>
      <c r="H15" s="171"/>
      <c r="I15" s="27"/>
      <c r="J15" s="27"/>
      <c r="K15" s="27"/>
      <c r="L15" s="27"/>
      <c r="M15" s="27"/>
    </row>
    <row r="16" spans="1:13">
      <c r="A16" s="756" t="s">
        <v>23</v>
      </c>
      <c r="B16" s="172"/>
      <c r="C16" s="605"/>
      <c r="D16" s="605"/>
      <c r="E16" s="605"/>
      <c r="F16" s="605"/>
      <c r="G16" s="605"/>
      <c r="H16" s="171"/>
      <c r="I16" s="27"/>
      <c r="J16" s="27"/>
      <c r="K16" s="27"/>
      <c r="L16" s="27"/>
      <c r="M16" s="27"/>
    </row>
    <row r="17" spans="1:13" ht="13.5" thickBot="1">
      <c r="A17" s="757" t="s">
        <v>24</v>
      </c>
      <c r="B17" s="174"/>
      <c r="C17" s="606"/>
      <c r="D17" s="606"/>
      <c r="E17" s="606"/>
      <c r="F17" s="606"/>
      <c r="G17" s="606"/>
      <c r="H17" s="175" t="s">
        <v>45</v>
      </c>
      <c r="I17" s="519"/>
      <c r="J17" s="519"/>
      <c r="K17" s="519"/>
      <c r="L17" s="519"/>
      <c r="M17" s="519"/>
    </row>
    <row r="18" spans="1:13" ht="13.5" thickBot="1">
      <c r="A18" s="176" t="s">
        <v>25</v>
      </c>
      <c r="B18" s="177" t="s">
        <v>392</v>
      </c>
      <c r="C18" s="607">
        <f>+C7+C9+C10+C12+C13+C14+C15+C16+C17</f>
        <v>46944721</v>
      </c>
      <c r="D18" s="607">
        <f>+D7+D9+D10+D12+D13+D14+D15+D16+D17</f>
        <v>39631109</v>
      </c>
      <c r="E18" s="607">
        <f>+E7+E9+E10+E12+E13+E14+E15+E16+E17</f>
        <v>40583609</v>
      </c>
      <c r="F18" s="607">
        <f>+F7+F9+F10+F12+F13+F14+F15+F16+F17</f>
        <v>43373841</v>
      </c>
      <c r="G18" s="607">
        <f>+G7+G9+G10+G12+G13+G14+G15+G16+G17</f>
        <v>293947204</v>
      </c>
      <c r="H18" s="177" t="s">
        <v>393</v>
      </c>
      <c r="I18" s="513">
        <f>+I7+I9+I11+I12+I13+I14+I15+I16+I17</f>
        <v>394436461</v>
      </c>
      <c r="J18" s="513">
        <f>+J7+J9+J11+J12+J13+J14+J15+J16+J17</f>
        <v>379936236</v>
      </c>
      <c r="K18" s="513">
        <f>+K7+K9+K11+K12+K13+K14+K15+K16+K17</f>
        <v>381179236</v>
      </c>
      <c r="L18" s="513">
        <f>+L7+L9+L11+L12+L13+L14+L15+L16+L17</f>
        <v>389152468</v>
      </c>
      <c r="M18" s="513">
        <f>+M7+M9+M11+M12+M13+M14+M15+M16+M17</f>
        <v>639553483</v>
      </c>
    </row>
    <row r="19" spans="1:13">
      <c r="A19" s="755" t="s">
        <v>26</v>
      </c>
      <c r="B19" s="178" t="s">
        <v>237</v>
      </c>
      <c r="C19" s="608">
        <f>+C20+C21+C22+C23+C24</f>
        <v>347491740</v>
      </c>
      <c r="D19" s="608">
        <f>+D20+D21+D22+D23+D24</f>
        <v>354805352</v>
      </c>
      <c r="E19" s="608">
        <f>+E20+E21+E22+E23+E24</f>
        <v>340595627</v>
      </c>
      <c r="F19" s="608">
        <f>+F20+F21+F22+F23+F24</f>
        <v>337805395</v>
      </c>
      <c r="G19" s="608">
        <f>+G20+G21+G22+G23+G24</f>
        <v>345606279</v>
      </c>
      <c r="H19" s="169" t="s">
        <v>180</v>
      </c>
      <c r="I19" s="20"/>
      <c r="J19" s="20"/>
      <c r="K19" s="20"/>
      <c r="L19" s="20"/>
      <c r="M19" s="20"/>
    </row>
    <row r="20" spans="1:13">
      <c r="A20" s="756" t="s">
        <v>27</v>
      </c>
      <c r="B20" s="179" t="s">
        <v>226</v>
      </c>
      <c r="C20" s="170">
        <f>I32-C18</f>
        <v>347491740</v>
      </c>
      <c r="D20" s="170">
        <f>I32-D18</f>
        <v>354805352</v>
      </c>
      <c r="E20" s="170">
        <f>K32-E18</f>
        <v>340595627</v>
      </c>
      <c r="F20" s="170">
        <f>K32-F18</f>
        <v>337805395</v>
      </c>
      <c r="G20" s="170">
        <f>M32-G18</f>
        <v>345606279</v>
      </c>
      <c r="H20" s="169" t="s">
        <v>183</v>
      </c>
      <c r="I20" s="27"/>
      <c r="J20" s="27"/>
      <c r="K20" s="27"/>
      <c r="L20" s="27"/>
      <c r="M20" s="27"/>
    </row>
    <row r="21" spans="1:13">
      <c r="A21" s="755" t="s">
        <v>28</v>
      </c>
      <c r="B21" s="179" t="s">
        <v>227</v>
      </c>
      <c r="C21" s="170"/>
      <c r="D21" s="170"/>
      <c r="E21" s="170"/>
      <c r="F21" s="170"/>
      <c r="G21" s="170"/>
      <c r="H21" s="169" t="s">
        <v>145</v>
      </c>
      <c r="I21" s="27"/>
      <c r="J21" s="27"/>
      <c r="K21" s="27"/>
      <c r="L21" s="27"/>
      <c r="M21" s="27"/>
    </row>
    <row r="22" spans="1:13">
      <c r="A22" s="756" t="s">
        <v>29</v>
      </c>
      <c r="B22" s="179" t="s">
        <v>228</v>
      </c>
      <c r="C22" s="170"/>
      <c r="D22" s="170"/>
      <c r="E22" s="170"/>
      <c r="F22" s="170"/>
      <c r="G22" s="170"/>
      <c r="H22" s="169" t="s">
        <v>146</v>
      </c>
      <c r="I22" s="27"/>
      <c r="J22" s="27"/>
      <c r="K22" s="27"/>
      <c r="L22" s="27"/>
      <c r="M22" s="27"/>
    </row>
    <row r="23" spans="1:13">
      <c r="A23" s="755" t="s">
        <v>30</v>
      </c>
      <c r="B23" s="179" t="s">
        <v>229</v>
      </c>
      <c r="C23" s="170"/>
      <c r="D23" s="170"/>
      <c r="E23" s="170"/>
      <c r="F23" s="170"/>
      <c r="G23" s="170"/>
      <c r="H23" s="175" t="s">
        <v>223</v>
      </c>
      <c r="I23" s="27"/>
      <c r="J23" s="27"/>
      <c r="K23" s="27"/>
      <c r="L23" s="27"/>
      <c r="M23" s="27"/>
    </row>
    <row r="24" spans="1:13">
      <c r="A24" s="756" t="s">
        <v>31</v>
      </c>
      <c r="B24" s="180" t="s">
        <v>230</v>
      </c>
      <c r="C24" s="170"/>
      <c r="D24" s="170"/>
      <c r="E24" s="170"/>
      <c r="F24" s="170"/>
      <c r="G24" s="170"/>
      <c r="H24" s="169" t="s">
        <v>184</v>
      </c>
      <c r="I24" s="27"/>
      <c r="J24" s="27"/>
      <c r="K24" s="27"/>
      <c r="L24" s="27"/>
      <c r="M24" s="27"/>
    </row>
    <row r="25" spans="1:13">
      <c r="A25" s="755" t="s">
        <v>32</v>
      </c>
      <c r="B25" s="181" t="s">
        <v>231</v>
      </c>
      <c r="C25" s="609">
        <f>+C26+C27+C28+C29+C30</f>
        <v>0</v>
      </c>
      <c r="D25" s="609">
        <f>+D26+D27+D28+D29+D30</f>
        <v>0</v>
      </c>
      <c r="E25" s="609">
        <f>+E26+E27+E28+E29+E30</f>
        <v>0</v>
      </c>
      <c r="F25" s="609">
        <f>+F26+F27+F28+F29+F30</f>
        <v>0</v>
      </c>
      <c r="G25" s="609">
        <f>+G26+G27+G28+G29+G30</f>
        <v>0</v>
      </c>
      <c r="H25" s="168" t="s">
        <v>182</v>
      </c>
      <c r="I25" s="27"/>
      <c r="J25" s="27"/>
      <c r="K25" s="27"/>
      <c r="L25" s="27"/>
      <c r="M25" s="27"/>
    </row>
    <row r="26" spans="1:13">
      <c r="A26" s="756" t="s">
        <v>33</v>
      </c>
      <c r="B26" s="180" t="s">
        <v>232</v>
      </c>
      <c r="C26" s="170"/>
      <c r="D26" s="170"/>
      <c r="E26" s="170"/>
      <c r="F26" s="170"/>
      <c r="G26" s="170"/>
      <c r="H26" s="168" t="s">
        <v>386</v>
      </c>
      <c r="I26" s="27"/>
      <c r="J26" s="27"/>
      <c r="K26" s="27"/>
      <c r="L26" s="27"/>
      <c r="M26" s="27"/>
    </row>
    <row r="27" spans="1:13">
      <c r="A27" s="755" t="s">
        <v>34</v>
      </c>
      <c r="B27" s="180" t="s">
        <v>233</v>
      </c>
      <c r="C27" s="170"/>
      <c r="D27" s="170"/>
      <c r="E27" s="170"/>
      <c r="F27" s="170"/>
      <c r="G27" s="170"/>
      <c r="H27" s="182"/>
      <c r="I27" s="27"/>
      <c r="J27" s="27"/>
      <c r="K27" s="27"/>
      <c r="L27" s="27"/>
      <c r="M27" s="27"/>
    </row>
    <row r="28" spans="1:13">
      <c r="A28" s="756" t="s">
        <v>35</v>
      </c>
      <c r="B28" s="179" t="s">
        <v>234</v>
      </c>
      <c r="C28" s="170"/>
      <c r="D28" s="170"/>
      <c r="E28" s="170"/>
      <c r="F28" s="170"/>
      <c r="G28" s="170"/>
      <c r="H28" s="182"/>
      <c r="I28" s="27"/>
      <c r="J28" s="27"/>
      <c r="K28" s="27"/>
      <c r="L28" s="27"/>
      <c r="M28" s="27"/>
    </row>
    <row r="29" spans="1:13">
      <c r="A29" s="755" t="s">
        <v>36</v>
      </c>
      <c r="B29" s="183" t="s">
        <v>235</v>
      </c>
      <c r="C29" s="170"/>
      <c r="D29" s="170"/>
      <c r="E29" s="170"/>
      <c r="F29" s="170"/>
      <c r="G29" s="170"/>
      <c r="H29" s="172"/>
      <c r="I29" s="27"/>
      <c r="J29" s="27"/>
      <c r="K29" s="27"/>
      <c r="L29" s="27"/>
      <c r="M29" s="27"/>
    </row>
    <row r="30" spans="1:13" ht="13.5" thickBot="1">
      <c r="A30" s="756" t="s">
        <v>37</v>
      </c>
      <c r="B30" s="184" t="s">
        <v>236</v>
      </c>
      <c r="C30" s="170"/>
      <c r="D30" s="170"/>
      <c r="E30" s="170"/>
      <c r="F30" s="170"/>
      <c r="G30" s="170"/>
      <c r="H30" s="182"/>
      <c r="I30" s="27"/>
      <c r="J30" s="27"/>
      <c r="K30" s="27"/>
      <c r="L30" s="27"/>
      <c r="M30" s="27"/>
    </row>
    <row r="31" spans="1:13" ht="21.75" thickBot="1">
      <c r="A31" s="176" t="s">
        <v>38</v>
      </c>
      <c r="B31" s="177" t="s">
        <v>383</v>
      </c>
      <c r="C31" s="607">
        <f>+C19+C25</f>
        <v>347491740</v>
      </c>
      <c r="D31" s="607">
        <f>+D19+D25</f>
        <v>354805352</v>
      </c>
      <c r="E31" s="607">
        <f>+E19+E25</f>
        <v>340595627</v>
      </c>
      <c r="F31" s="607">
        <f>+F19+F25</f>
        <v>337805395</v>
      </c>
      <c r="G31" s="607">
        <f>+G19+G25</f>
        <v>345606279</v>
      </c>
      <c r="H31" s="177" t="s">
        <v>387</v>
      </c>
      <c r="I31" s="513">
        <f>SUM(I19:I30)</f>
        <v>0</v>
      </c>
      <c r="J31" s="513">
        <f>SUM(J19:J30)</f>
        <v>0</v>
      </c>
      <c r="K31" s="513">
        <f>SUM(K19:K30)</f>
        <v>0</v>
      </c>
      <c r="L31" s="513">
        <f>SUM(L19:L30)</f>
        <v>0</v>
      </c>
      <c r="M31" s="513">
        <f>SUM(M19:M30)</f>
        <v>0</v>
      </c>
    </row>
    <row r="32" spans="1:13" ht="13.5" thickBot="1">
      <c r="A32" s="176" t="s">
        <v>39</v>
      </c>
      <c r="B32" s="185" t="s">
        <v>388</v>
      </c>
      <c r="C32" s="610">
        <f>C18+C31</f>
        <v>394436461</v>
      </c>
      <c r="D32" s="610">
        <f>D18+D31</f>
        <v>394436461</v>
      </c>
      <c r="E32" s="610">
        <f>E18+E31</f>
        <v>381179236</v>
      </c>
      <c r="F32" s="610">
        <f>F18+F31</f>
        <v>381179236</v>
      </c>
      <c r="G32" s="610">
        <f>G18+G31</f>
        <v>639553483</v>
      </c>
      <c r="H32" s="185" t="s">
        <v>389</v>
      </c>
      <c r="I32" s="610">
        <f>I18+I31</f>
        <v>394436461</v>
      </c>
      <c r="J32" s="610">
        <f>J18+J31</f>
        <v>379936236</v>
      </c>
      <c r="K32" s="610">
        <f>K18+K31</f>
        <v>381179236</v>
      </c>
      <c r="L32" s="610">
        <f>L18+L31</f>
        <v>389152468</v>
      </c>
      <c r="M32" s="610">
        <f>M18+M31</f>
        <v>639553483</v>
      </c>
    </row>
    <row r="33" spans="1:13" ht="13.5" thickBot="1">
      <c r="A33" s="176" t="s">
        <v>40</v>
      </c>
      <c r="B33" s="185" t="s">
        <v>158</v>
      </c>
      <c r="C33" s="610"/>
      <c r="D33" s="610"/>
      <c r="E33" s="610"/>
      <c r="F33" s="610"/>
      <c r="G33" s="610"/>
      <c r="H33" s="185" t="s">
        <v>159</v>
      </c>
      <c r="I33" s="610"/>
      <c r="J33" s="610"/>
      <c r="K33" s="610"/>
      <c r="L33" s="610"/>
      <c r="M33" s="610"/>
    </row>
    <row r="34" spans="1:13" ht="13.5" thickBot="1">
      <c r="A34" s="176" t="s">
        <v>41</v>
      </c>
      <c r="B34" s="185" t="s">
        <v>224</v>
      </c>
      <c r="C34" s="610"/>
      <c r="D34" s="610"/>
      <c r="E34" s="610"/>
      <c r="F34" s="610"/>
      <c r="G34" s="610"/>
      <c r="H34" s="185" t="s">
        <v>225</v>
      </c>
      <c r="I34" s="610"/>
      <c r="J34" s="610"/>
      <c r="K34" s="610"/>
      <c r="L34" s="610"/>
      <c r="M34" s="610"/>
    </row>
  </sheetData>
  <mergeCells count="1">
    <mergeCell ref="A4:A5"/>
  </mergeCells>
  <phoneticPr fontId="0" type="noConversion"/>
  <printOptions horizontalCentered="1"/>
  <pageMargins left="0.33" right="0.48" top="0.9055118110236221" bottom="0.5" header="0.6692913385826772" footer="0.28000000000000003"/>
  <pageSetup paperSize="9" scale="59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FFFF00"/>
  </sheetPr>
  <dimension ref="A1:G11"/>
  <sheetViews>
    <sheetView view="pageLayout" zoomScaleNormal="120" workbookViewId="0">
      <selection activeCell="D8" sqref="D8"/>
    </sheetView>
  </sheetViews>
  <sheetFormatPr defaultRowHeight="15"/>
  <cols>
    <col min="1" max="1" width="5.1640625" style="116" bestFit="1" customWidth="1"/>
    <col min="2" max="2" width="28.83203125" style="116" bestFit="1" customWidth="1"/>
    <col min="3" max="6" width="16.33203125" style="116" bestFit="1" customWidth="1"/>
    <col min="7" max="16384" width="9.33203125" style="116"/>
  </cols>
  <sheetData>
    <row r="1" spans="1:7" ht="33" customHeight="1">
      <c r="A1" s="797" t="s">
        <v>539</v>
      </c>
      <c r="B1" s="797"/>
      <c r="C1" s="797"/>
      <c r="D1" s="797"/>
      <c r="E1" s="797"/>
      <c r="F1" s="797"/>
    </row>
    <row r="2" spans="1:7" ht="15.95" customHeight="1" thickBot="1">
      <c r="A2" s="117"/>
      <c r="B2" s="117"/>
      <c r="C2" s="798"/>
      <c r="D2" s="798"/>
      <c r="E2" s="805" t="s">
        <v>581</v>
      </c>
      <c r="F2" s="805"/>
      <c r="G2" s="119"/>
    </row>
    <row r="3" spans="1:7" ht="63" customHeight="1">
      <c r="A3" s="801" t="s">
        <v>12</v>
      </c>
      <c r="B3" s="803" t="s">
        <v>186</v>
      </c>
      <c r="C3" s="803" t="s">
        <v>240</v>
      </c>
      <c r="D3" s="803"/>
      <c r="E3" s="803"/>
      <c r="F3" s="799" t="s">
        <v>493</v>
      </c>
    </row>
    <row r="4" spans="1:7" ht="15.75" thickBot="1">
      <c r="A4" s="802"/>
      <c r="B4" s="804"/>
      <c r="C4" s="558" t="s">
        <v>595</v>
      </c>
      <c r="D4" s="558" t="s">
        <v>596</v>
      </c>
      <c r="E4" s="558" t="s">
        <v>648</v>
      </c>
      <c r="F4" s="800"/>
    </row>
    <row r="5" spans="1:7" ht="15.75" thickBot="1">
      <c r="A5" s="150" t="s">
        <v>483</v>
      </c>
      <c r="B5" s="151" t="s">
        <v>484</v>
      </c>
      <c r="C5" s="151" t="s">
        <v>485</v>
      </c>
      <c r="D5" s="151" t="s">
        <v>487</v>
      </c>
      <c r="E5" s="151" t="s">
        <v>486</v>
      </c>
      <c r="F5" s="559" t="s">
        <v>488</v>
      </c>
    </row>
    <row r="6" spans="1:7">
      <c r="A6" s="152" t="s">
        <v>14</v>
      </c>
      <c r="B6" s="153" t="s">
        <v>557</v>
      </c>
      <c r="C6" s="560">
        <v>127500000</v>
      </c>
      <c r="D6" s="560">
        <v>127500000</v>
      </c>
      <c r="E6" s="560">
        <v>127500000</v>
      </c>
      <c r="F6" s="561">
        <f>SUM(C6:E6)</f>
        <v>382500000</v>
      </c>
    </row>
    <row r="7" spans="1:7" ht="26.25">
      <c r="A7" s="154" t="s">
        <v>15</v>
      </c>
      <c r="B7" s="368" t="s">
        <v>649</v>
      </c>
      <c r="C7" s="562">
        <f>200000+300000</f>
        <v>500000</v>
      </c>
      <c r="D7" s="562">
        <v>200000</v>
      </c>
      <c r="E7" s="562">
        <v>200000</v>
      </c>
      <c r="F7" s="563">
        <f>SUM(C7:E7)</f>
        <v>900000</v>
      </c>
    </row>
    <row r="8" spans="1:7">
      <c r="A8" s="154" t="s">
        <v>16</v>
      </c>
      <c r="B8" s="155"/>
      <c r="C8" s="562"/>
      <c r="D8" s="562"/>
      <c r="E8" s="562"/>
      <c r="F8" s="563">
        <f>SUM(C8:E8)</f>
        <v>0</v>
      </c>
    </row>
    <row r="9" spans="1:7">
      <c r="A9" s="154" t="s">
        <v>17</v>
      </c>
      <c r="B9" s="155"/>
      <c r="C9" s="562"/>
      <c r="D9" s="562"/>
      <c r="E9" s="562"/>
      <c r="F9" s="563">
        <f>SUM(C9:E9)</f>
        <v>0</v>
      </c>
    </row>
    <row r="10" spans="1:7" ht="15.75" thickBot="1">
      <c r="A10" s="156" t="s">
        <v>18</v>
      </c>
      <c r="B10" s="157"/>
      <c r="C10" s="564"/>
      <c r="D10" s="564"/>
      <c r="E10" s="564"/>
      <c r="F10" s="563">
        <f>SUM(C10:E10)</f>
        <v>0</v>
      </c>
    </row>
    <row r="11" spans="1:7" s="138" customFormat="1" thickBot="1">
      <c r="A11" s="158" t="s">
        <v>19</v>
      </c>
      <c r="B11" s="159" t="s">
        <v>187</v>
      </c>
      <c r="C11" s="565">
        <f>SUM(C6:C10)</f>
        <v>128000000</v>
      </c>
      <c r="D11" s="565">
        <f>SUM(D6:D10)</f>
        <v>127700000</v>
      </c>
      <c r="E11" s="565">
        <f>SUM(E6:E10)</f>
        <v>127700000</v>
      </c>
      <c r="F11" s="566">
        <f>SUM(F6:F10)</f>
        <v>383400000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FFFF00"/>
  </sheetPr>
  <dimension ref="A1:G12"/>
  <sheetViews>
    <sheetView view="pageLayout" topLeftCell="G1" zoomScaleNormal="120" workbookViewId="0">
      <selection activeCell="G10" sqref="G10"/>
    </sheetView>
  </sheetViews>
  <sheetFormatPr defaultRowHeight="15"/>
  <cols>
    <col min="1" max="1" width="4.1640625" style="116" bestFit="1" customWidth="1"/>
    <col min="2" max="2" width="65.33203125" style="116" bestFit="1" customWidth="1"/>
    <col min="3" max="7" width="14.6640625" style="567" bestFit="1" customWidth="1"/>
    <col min="8" max="16384" width="9.33203125" style="116"/>
  </cols>
  <sheetData>
    <row r="1" spans="1:7" ht="43.5" customHeight="1">
      <c r="A1" s="797" t="s">
        <v>540</v>
      </c>
      <c r="B1" s="797"/>
    </row>
    <row r="2" spans="1:7" ht="15.95" customHeight="1" thickBot="1">
      <c r="A2" s="117"/>
      <c r="B2" s="117"/>
      <c r="C2" s="568" t="s">
        <v>581</v>
      </c>
      <c r="D2" s="568" t="s">
        <v>581</v>
      </c>
      <c r="E2" s="568" t="s">
        <v>581</v>
      </c>
      <c r="F2" s="568" t="s">
        <v>581</v>
      </c>
      <c r="G2" s="568" t="s">
        <v>581</v>
      </c>
    </row>
    <row r="3" spans="1:7" ht="36.75" thickBot="1">
      <c r="A3" s="139" t="s">
        <v>12</v>
      </c>
      <c r="B3" s="140" t="s">
        <v>185</v>
      </c>
      <c r="C3" s="569" t="s">
        <v>690</v>
      </c>
      <c r="D3" s="569" t="s">
        <v>716</v>
      </c>
      <c r="E3" s="602" t="s">
        <v>719</v>
      </c>
      <c r="F3" s="602" t="s">
        <v>729</v>
      </c>
      <c r="G3" s="602" t="s">
        <v>750</v>
      </c>
    </row>
    <row r="4" spans="1:7" ht="15.75" thickBot="1">
      <c r="A4" s="141" t="s">
        <v>483</v>
      </c>
      <c r="B4" s="142" t="s">
        <v>484</v>
      </c>
      <c r="C4" s="570" t="s">
        <v>485</v>
      </c>
      <c r="D4" s="570" t="s">
        <v>485</v>
      </c>
      <c r="E4" s="570" t="s">
        <v>485</v>
      </c>
      <c r="F4" s="570" t="s">
        <v>485</v>
      </c>
      <c r="G4" s="570" t="s">
        <v>485</v>
      </c>
    </row>
    <row r="5" spans="1:7">
      <c r="A5" s="143" t="s">
        <v>14</v>
      </c>
      <c r="B5" s="144" t="s">
        <v>494</v>
      </c>
      <c r="C5" s="571">
        <v>127500000</v>
      </c>
      <c r="D5" s="571">
        <v>127500000</v>
      </c>
      <c r="E5" s="571">
        <v>127500000</v>
      </c>
      <c r="F5" s="571">
        <v>127500000</v>
      </c>
      <c r="G5" s="571">
        <v>138530000</v>
      </c>
    </row>
    <row r="6" spans="1:7" ht="24.75">
      <c r="A6" s="145" t="s">
        <v>15</v>
      </c>
      <c r="B6" s="146" t="s">
        <v>238</v>
      </c>
      <c r="C6" s="572"/>
      <c r="D6" s="572"/>
      <c r="E6" s="572"/>
      <c r="F6" s="572"/>
      <c r="G6" s="572"/>
    </row>
    <row r="7" spans="1:7">
      <c r="A7" s="145" t="s">
        <v>16</v>
      </c>
      <c r="B7" s="147" t="s">
        <v>495</v>
      </c>
      <c r="C7" s="572"/>
      <c r="D7" s="572"/>
      <c r="E7" s="572"/>
      <c r="F7" s="572"/>
      <c r="G7" s="572"/>
    </row>
    <row r="8" spans="1:7" ht="24.75">
      <c r="A8" s="145" t="s">
        <v>17</v>
      </c>
      <c r="B8" s="147" t="s">
        <v>239</v>
      </c>
      <c r="C8" s="572"/>
      <c r="D8" s="572"/>
      <c r="E8" s="572"/>
      <c r="F8" s="572"/>
      <c r="G8" s="572"/>
    </row>
    <row r="9" spans="1:7">
      <c r="A9" s="148" t="s">
        <v>18</v>
      </c>
      <c r="B9" s="147" t="s">
        <v>650</v>
      </c>
      <c r="C9" s="573">
        <v>200000</v>
      </c>
      <c r="D9" s="573">
        <v>200000</v>
      </c>
      <c r="E9" s="573">
        <v>200000</v>
      </c>
      <c r="F9" s="573">
        <f>200000+300000</f>
        <v>500000</v>
      </c>
      <c r="G9" s="573">
        <v>700000</v>
      </c>
    </row>
    <row r="10" spans="1:7" ht="15.75" thickBot="1">
      <c r="A10" s="145" t="s">
        <v>19</v>
      </c>
      <c r="B10" s="149" t="s">
        <v>496</v>
      </c>
      <c r="C10" s="572"/>
      <c r="D10" s="572"/>
      <c r="E10" s="572"/>
      <c r="F10" s="572"/>
      <c r="G10" s="572"/>
    </row>
    <row r="11" spans="1:7" ht="15.75" thickBot="1">
      <c r="A11" s="806" t="s">
        <v>188</v>
      </c>
      <c r="B11" s="807"/>
      <c r="C11" s="574">
        <f>SUM(C5:C10)</f>
        <v>127700000</v>
      </c>
      <c r="D11" s="574">
        <f>SUM(D5:D10)</f>
        <v>127700000</v>
      </c>
      <c r="E11" s="574">
        <f>SUM(E5:E10)</f>
        <v>127700000</v>
      </c>
      <c r="F11" s="574">
        <f>SUM(F5:F10)</f>
        <v>128000000</v>
      </c>
      <c r="G11" s="574">
        <f>SUM(G5:G10)</f>
        <v>139230000</v>
      </c>
    </row>
    <row r="12" spans="1:7" ht="23.25" customHeight="1">
      <c r="A12" s="808" t="s">
        <v>214</v>
      </c>
      <c r="B12" s="808"/>
    </row>
  </sheetData>
  <mergeCells count="3">
    <mergeCell ref="A1:B1"/>
    <mergeCell ref="A11:B11"/>
    <mergeCell ref="A12:B12"/>
  </mergeCells>
  <phoneticPr fontId="6" type="noConversion"/>
  <printOptions horizontalCentered="1"/>
  <pageMargins left="0.33" right="0.48" top="0.9055118110236221" bottom="0.5" header="0.6692913385826772" footer="0.28000000000000003"/>
  <pageSetup paperSize="9" scale="77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tabColor rgb="FFFFFF00"/>
  </sheetPr>
  <dimension ref="A1:D8"/>
  <sheetViews>
    <sheetView view="pageLayout" zoomScaleNormal="120" workbookViewId="0">
      <selection activeCell="B12" sqref="B12"/>
    </sheetView>
  </sheetViews>
  <sheetFormatPr defaultRowHeight="15"/>
  <cols>
    <col min="1" max="1" width="5.6640625" style="116" customWidth="1"/>
    <col min="2" max="2" width="66.83203125" style="116" customWidth="1"/>
    <col min="3" max="3" width="27" style="116" customWidth="1"/>
    <col min="4" max="16384" width="9.33203125" style="116"/>
  </cols>
  <sheetData>
    <row r="1" spans="1:4" ht="33" customHeight="1">
      <c r="A1" s="797" t="s">
        <v>673</v>
      </c>
      <c r="B1" s="797"/>
      <c r="C1" s="797"/>
    </row>
    <row r="2" spans="1:4" ht="15.95" customHeight="1" thickBot="1">
      <c r="A2" s="117"/>
      <c r="B2" s="117"/>
      <c r="C2" s="118" t="s">
        <v>581</v>
      </c>
      <c r="D2" s="119"/>
    </row>
    <row r="3" spans="1:4" ht="26.25" customHeight="1" thickBot="1">
      <c r="A3" s="120" t="s">
        <v>12</v>
      </c>
      <c r="B3" s="121" t="s">
        <v>189</v>
      </c>
      <c r="C3" s="122" t="s">
        <v>213</v>
      </c>
    </row>
    <row r="4" spans="1:4" ht="15.75" thickBot="1">
      <c r="A4" s="123" t="s">
        <v>483</v>
      </c>
      <c r="B4" s="124" t="s">
        <v>484</v>
      </c>
      <c r="C4" s="125" t="s">
        <v>485</v>
      </c>
    </row>
    <row r="5" spans="1:4">
      <c r="A5" s="126" t="s">
        <v>14</v>
      </c>
      <c r="B5" s="127"/>
      <c r="C5" s="128"/>
    </row>
    <row r="6" spans="1:4">
      <c r="A6" s="129" t="s">
        <v>15</v>
      </c>
      <c r="B6" s="130"/>
      <c r="C6" s="131"/>
    </row>
    <row r="7" spans="1:4" ht="15.75" thickBot="1">
      <c r="A7" s="132" t="s">
        <v>16</v>
      </c>
      <c r="B7" s="133"/>
      <c r="C7" s="134"/>
    </row>
    <row r="8" spans="1:4" s="138" customFormat="1" ht="17.25" customHeight="1" thickBot="1">
      <c r="A8" s="135" t="s">
        <v>17</v>
      </c>
      <c r="B8" s="136" t="s">
        <v>190</v>
      </c>
      <c r="C8" s="137">
        <f>SUM(C5:C7)</f>
        <v>0</v>
      </c>
    </row>
  </sheetData>
  <mergeCells count="1">
    <mergeCell ref="A1:C1"/>
  </mergeCells>
  <phoneticPr fontId="6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17</vt:i4>
      </vt:variant>
    </vt:vector>
  </HeadingPairs>
  <TitlesOfParts>
    <vt:vector size="51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9.2.sz.mell.</vt:lpstr>
      <vt:lpstr>9.2.sz.mell.(2-1)</vt:lpstr>
      <vt:lpstr>9.2.sz.mell.(2-2)</vt:lpstr>
      <vt:lpstr>9.2.1.sz.mell.</vt:lpstr>
      <vt:lpstr>9.2.2.sz.mell.</vt:lpstr>
      <vt:lpstr>9.2.3.sz.mell.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 tájékoztató t.'!Nyomtatási_terület</vt:lpstr>
      <vt:lpstr>'7. sz tájékoztató t.'!Nyomtatási_terület</vt:lpstr>
      <vt:lpstr>'7.sz.mell.'!Nyomtatási_terület</vt:lpstr>
      <vt:lpstr>'8. sz. 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titkarsag</cp:lastModifiedBy>
  <cp:lastPrinted>2019-12-11T10:04:33Z</cp:lastPrinted>
  <dcterms:created xsi:type="dcterms:W3CDTF">1999-10-30T10:30:45Z</dcterms:created>
  <dcterms:modified xsi:type="dcterms:W3CDTF">2019-12-20T07:30:46Z</dcterms:modified>
</cp:coreProperties>
</file>