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6" activeTab="12"/>
  </bookViews>
  <sheets>
    <sheet name="bor." sheetId="1" r:id="rId1"/>
    <sheet name="Mérleg" sheetId="2" r:id="rId2"/>
    <sheet name="Bevételek" sheetId="3" r:id="rId3"/>
    <sheet name="Köt.önként v. bevétel " sheetId="4" r:id="rId4"/>
    <sheet name="Korm.funkciók" sheetId="5" r:id="rId5"/>
    <sheet name="Köt. önként v. kiadás" sheetId="6" r:id="rId6"/>
    <sheet name="Pénzeszköz átadás" sheetId="7" r:id="rId7"/>
    <sheet name="ellátottak juttatásai " sheetId="8" r:id="rId8"/>
    <sheet name="Beruházások" sheetId="9" r:id="rId9"/>
    <sheet name="Felújítások" sheetId="10" r:id="rId10"/>
    <sheet name="közgazd. mérleg" sheetId="11" r:id="rId11"/>
    <sheet name="előirányzat felh.ü." sheetId="12" r:id="rId12"/>
    <sheet name="Levezetés" sheetId="13" r:id="rId13"/>
  </sheets>
  <definedNames>
    <definedName name="_xlnm.Print_Area" localSheetId="3">'Köt.önként v. bevétel '!$A$1:$F$23</definedName>
  </definedNames>
  <calcPr fullCalcOnLoad="1"/>
</workbook>
</file>

<file path=xl/comments3.xml><?xml version="1.0" encoding="utf-8"?>
<comments xmlns="http://schemas.openxmlformats.org/spreadsheetml/2006/main">
  <authors>
    <author>halaszne</author>
  </authors>
  <commentList>
    <comment ref="H73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<sst xmlns="http://schemas.openxmlformats.org/spreadsheetml/2006/main" count="646" uniqueCount="423">
  <si>
    <t>( e Ft-ban)</t>
  </si>
  <si>
    <t>juttatások</t>
  </si>
  <si>
    <t>tervezett</t>
  </si>
  <si>
    <t>%-a</t>
  </si>
  <si>
    <t>2014. év</t>
  </si>
  <si>
    <t>Porpác község Önkormányzata</t>
  </si>
  <si>
    <t>Megnevezés</t>
  </si>
  <si>
    <t>tervezett előirányzat</t>
  </si>
  <si>
    <t>Társadalom-, szociálpolitikai  és egyéb társadalombiztosítási kiadásai</t>
  </si>
  <si>
    <t>ebből: igényel- hető költség- vetési támogatás</t>
  </si>
  <si>
    <t>hető költség-</t>
  </si>
  <si>
    <t>vetési támogatás</t>
  </si>
  <si>
    <t xml:space="preserve">Rendszeres társadalom, szociálpolitikai és egyéb társadalombiztosítási </t>
  </si>
  <si>
    <t>juttatások  összesen:</t>
  </si>
  <si>
    <t>Eseti társadalom, szociálpolitikai és egyéb társadalombiztosítási</t>
  </si>
  <si>
    <t>Működési célú szociális támogatások összesen:</t>
  </si>
  <si>
    <t>adatok e Ft-ban</t>
  </si>
  <si>
    <t>PORPÁC KÖZSÉG ÖNKORMÁNYZATA</t>
  </si>
  <si>
    <t>EGYÉB FELHALMOZÁSI KIADÁSOK</t>
  </si>
  <si>
    <t>EGYÉB FELHALMOZÁSI KIADÁSOK ÖSSZESEN: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</si>
  <si>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</si>
  <si>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</si>
  <si>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</si>
  <si>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</si>
  <si>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</si>
  <si>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</si>
  <si>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</si>
  <si>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Lakáshoz jutás támogatása</t>
  </si>
  <si>
    <t>EGYÉB FELHALMOZÁSI CÉLÚ KIADÁSOK ÁLLAMHÁZTARTÁSON KÍVÜLRE ÖSSZESEN:</t>
  </si>
  <si>
    <t>EGYÉB FELHALMOZÁSI CÉLÚ KIADÁSOK ÁLLAMHÁZTARTÁSON KÍVÜLRE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</si>
  <si>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</si>
  <si>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</si>
  <si>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</si>
  <si>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</si>
  <si>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</si>
  <si>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</si>
  <si>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</si>
  <si>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</si>
  <si>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</si>
  <si>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</si>
  <si>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</si>
  <si>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</si>
  <si>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</si>
  <si>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</si>
  <si>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</si>
  <si>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</si>
  <si>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</si>
  <si>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</si>
  <si>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</si>
  <si>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</si>
  <si>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</si>
  <si>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</si>
  <si>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</si>
  <si>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</si>
  <si>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</si>
  <si>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</si>
  <si>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</si>
  <si>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</si>
  <si>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</si>
  <si>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</si>
  <si>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</si>
  <si>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</si>
  <si>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</si>
  <si>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</si>
  <si>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</si>
  <si>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</si>
  <si>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</si>
  <si>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</si>
  <si>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</si>
  <si>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</si>
  <si>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</si>
  <si>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</si>
  <si>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</si>
  <si>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</si>
  <si>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</si>
  <si>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</si>
  <si>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</si>
  <si>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</si>
  <si>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</si>
  <si>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</si>
  <si>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</si>
  <si>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</si>
  <si>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</si>
  <si>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</si>
  <si>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</si>
  <si>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</si>
  <si>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</si>
  <si>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</si>
  <si>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</si>
  <si>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</si>
  <si>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</si>
  <si>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</si>
  <si>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</si>
  <si>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</si>
  <si>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</si>
  <si>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</si>
  <si>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</si>
  <si>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</si>
  <si>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</si>
  <si>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</si>
  <si>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</si>
  <si>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</si>
  <si>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</si>
  <si>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</si>
  <si>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</si>
  <si>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</si>
  <si>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</si>
  <si>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</si>
  <si>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</si>
  <si>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</si>
  <si>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</si>
  <si>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</si>
  <si>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</si>
  <si>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</si>
  <si>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</si>
  <si>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</si>
  <si>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</si>
  <si>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</si>
  <si>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</si>
  <si>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</si>
  <si>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</si>
  <si>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</si>
  <si>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</si>
  <si>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</si>
  <si>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</si>
  <si>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társadalom, szociálpolitikai és egyéb társadalombiztosítási juttatások</t>
  </si>
  <si>
    <t xml:space="preserve">       - egyéb működési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</si>
  <si>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</si>
  <si>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</si>
  <si>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</si>
  <si>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</si>
  <si>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</si>
  <si>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</si>
  <si>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</si>
  <si>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</si>
  <si>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</si>
  <si>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</si>
  <si>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</si>
  <si>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</si>
  <si>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</si>
  <si>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</si>
  <si>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</si>
  <si>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</si>
  <si>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</si>
  <si>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</si>
  <si>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</si>
  <si>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</si>
  <si>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</si>
  <si>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</si>
  <si>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</si>
  <si>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</si>
  <si>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</si>
  <si>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</si>
  <si>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</si>
  <si>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</si>
  <si>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</si>
  <si>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</si>
  <si>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</si>
  <si>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</si>
  <si>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Működési célú központosított előirányzatok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</si>
  <si>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</si>
  <si>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</si>
  <si>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</si>
  <si>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</si>
  <si>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</si>
  <si>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</si>
  <si>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Ívóvízminőség javítása KEOP pályázat önrész támogatása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</si>
  <si>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</si>
  <si>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</si>
  <si>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</si>
  <si>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</si>
  <si>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</si>
  <si>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</si>
  <si>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</si>
  <si>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</si>
  <si>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</si>
  <si>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</si>
  <si>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</si>
  <si>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</si>
  <si>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</si>
  <si>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</si>
  <si>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</si>
  <si>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</si>
  <si>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</si>
  <si>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</si>
  <si>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</si>
  <si>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</si>
  <si>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</si>
  <si>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</si>
  <si>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</si>
  <si>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</si>
  <si>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</si>
  <si>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</si>
  <si>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</si>
  <si>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</si>
  <si>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</si>
  <si>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</si>
  <si>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</si>
  <si>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</si>
  <si>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</si>
  <si>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</si>
  <si>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</si>
  <si>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</si>
  <si>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</si>
  <si>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</si>
  <si>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</si>
  <si>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</si>
  <si>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</si>
  <si>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</si>
  <si>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</si>
  <si>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</si>
  <si>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</si>
  <si>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</si>
  <si>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</si>
  <si>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</si>
  <si>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</si>
  <si>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</si>
  <si>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</si>
  <si>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</si>
  <si>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</si>
  <si>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</si>
  <si>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</si>
  <si>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</si>
  <si>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</si>
  <si>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</si>
  <si>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</si>
  <si>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</si>
  <si>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</si>
  <si>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</si>
  <si>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</si>
  <si>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</si>
  <si>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</si>
  <si>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</si>
  <si>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 xml:space="preserve">2015. évi </t>
  </si>
  <si>
    <t>POPRÁC KÖZSÉG ÖNKORMÁNYZATA</t>
  </si>
  <si>
    <t>2015. év</t>
  </si>
  <si>
    <t>változás</t>
  </si>
  <si>
    <t>egyéb önkormányzati feladatok támogatása</t>
  </si>
  <si>
    <t>d.  Lakott külterületettel kapcsolatos feladatok támogatása</t>
  </si>
  <si>
    <t>2015.év</t>
  </si>
  <si>
    <t>Pénzbeli szociális ellátások kiegészítése</t>
  </si>
  <si>
    <t>Települési önkormányzatok szociális feladatainak egyéb támogatása</t>
  </si>
  <si>
    <t>Egyes szociális feladatok támogatása -szociális étkeztetés</t>
  </si>
  <si>
    <t>Lakott külterülettek kapcsolatos feladatok támogatása</t>
  </si>
  <si>
    <t>Helyi önkormányzatok  működésének  általános támogatása összesen:</t>
  </si>
  <si>
    <t>Felhalmozási célú önkormányzati támogatások bevételei</t>
  </si>
  <si>
    <t>Ívóvízminőség javítása KEOP-7.1.0/11-2012-0060 támogatása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</si>
  <si>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</si>
  <si>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</si>
  <si>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</si>
  <si>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</si>
  <si>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</si>
  <si>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</si>
  <si>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Sárvár város Önkormányzata részére kölcsön visszafizetése</t>
  </si>
  <si>
    <t>041140</t>
  </si>
  <si>
    <t>Területfejlesztési igazgatás</t>
  </si>
  <si>
    <t>-2-</t>
  </si>
  <si>
    <t>települési önkormányzatok nyilvános könyvtári és közművelődési feladatainak támogatása</t>
  </si>
  <si>
    <t xml:space="preserve">       - Tartalék</t>
  </si>
  <si>
    <t>III.Települési önkormányzatok szociális, gyermekjóléti és gyermekétkeztetési feladatainak támogatása</t>
  </si>
  <si>
    <t>IV.Települési önkormányzatok kulturális feladatainak támogatása</t>
  </si>
  <si>
    <t>V. Beszámítás</t>
  </si>
  <si>
    <t>2015. évre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</si>
  <si>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</si>
  <si>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</si>
  <si>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</si>
  <si>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</si>
  <si>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Aktív korúak ellátása (2015. II. 28-ig hatályos Szoc.tr. alapján )</t>
  </si>
  <si>
    <t xml:space="preserve"> - foglalkoztatást helyettesítő támogatás</t>
  </si>
  <si>
    <t xml:space="preserve"> - rendszeres szociális segély</t>
  </si>
  <si>
    <t>Normatív lakásfenntartási támogatás</t>
  </si>
  <si>
    <t>Normatív lakásfenntartási támogatás 2015. március 01-jétől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</si>
  <si>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</si>
  <si>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</si>
  <si>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</si>
  <si>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</si>
  <si>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Tankönyvtámogatás</t>
  </si>
  <si>
    <t>A Képviselő-testület döntésén alapuló szociális ellátások:</t>
  </si>
  <si>
    <t>Időskorúak támogatása</t>
  </si>
  <si>
    <t>Gyermekek egyszeri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</si>
  <si>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</si>
  <si>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</si>
  <si>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</si>
  <si>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</si>
  <si>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</si>
  <si>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</si>
  <si>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</si>
  <si>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</si>
  <si>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</si>
  <si>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</si>
  <si>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</si>
  <si>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</si>
  <si>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</si>
  <si>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</si>
  <si>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</si>
  <si>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</si>
  <si>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</si>
  <si>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</si>
  <si>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</si>
  <si>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</si>
  <si>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</si>
  <si>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</si>
  <si>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</si>
  <si>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</si>
  <si>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</si>
  <si>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</si>
  <si>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</si>
  <si>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</si>
  <si>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</si>
  <si>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</si>
  <si>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</si>
  <si>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</si>
  <si>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</si>
  <si>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</si>
  <si>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</si>
  <si>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</si>
  <si>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</si>
  <si>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</si>
  <si>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</si>
  <si>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</si>
  <si>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</si>
  <si>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</si>
  <si>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</si>
  <si>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</si>
  <si>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</si>
  <si>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</si>
  <si>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</si>
  <si>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</si>
  <si>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</si>
  <si>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</si>
  <si>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</si>
  <si>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</si>
  <si>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</si>
  <si>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</si>
  <si>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</si>
  <si>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</si>
  <si>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</si>
  <si>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</si>
  <si>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</si>
  <si>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</si>
  <si>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</si>
  <si>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Munkanélküli aktív korúak ellátása</t>
  </si>
  <si>
    <t>Egyéb szociális természetbeni és pénzbeni ellátások</t>
  </si>
  <si>
    <t>állami                        ( államigazgatási )</t>
  </si>
  <si>
    <t xml:space="preserve"> 2015. évi előirányzat-felhasználási ütemterve</t>
  </si>
  <si>
    <t>Bursa Hungarica ösztöndíj pályázat támogatása</t>
  </si>
  <si>
    <t>EGYÉB MŰKÖDÉSI ÉS FELHALMOZÁSI KIADÁSOK ÖSSZESEN:</t>
  </si>
  <si>
    <t>- Tartalékok ( felhalmozási célú )</t>
  </si>
  <si>
    <t>900020</t>
  </si>
  <si>
    <t>Önkormányzatok funkcióra nem sorolható bevételei</t>
  </si>
  <si>
    <t>költségvetési rendelete</t>
  </si>
  <si>
    <t>"1. sz. melléklet a 2/2015. (II.18.).sz. önkormányzati rendelethez</t>
  </si>
  <si>
    <t>e Ft"</t>
  </si>
  <si>
    <t>"2. sz. melléklet a 2/2015.(II.18.) önkormányzati rendelethez</t>
  </si>
  <si>
    <t>"</t>
  </si>
  <si>
    <t>"2/a. sz. melléklet a 2/2015.(II .18.) önkormányzati rendelethez</t>
  </si>
  <si>
    <t>"4. sz. melléklet a 2/2015.(II.18) sz. önkormányzati rendelethez</t>
  </si>
  <si>
    <t>tervezett  előirányzat   ( e Ft)</t>
  </si>
  <si>
    <t>Egyéb működési célú központi támogatás</t>
  </si>
  <si>
    <t>Rendkívüli önkormányzati támogatás</t>
  </si>
  <si>
    <t>-3-</t>
  </si>
  <si>
    <t>BERUHÁZÁSI KIADÁSOK</t>
  </si>
  <si>
    <t>011130 Önkormányzatok és önkormányzati hivatalok jogalkotó és általános igazgatási tevékenysége</t>
  </si>
  <si>
    <t>"6.  melléklet a 2/2015. (II.18.) sz. önkormányzati rendelethez</t>
  </si>
  <si>
    <t>"8. melléklet a 2/2015.(II.18.) sz. önkormányzati rendelethez</t>
  </si>
  <si>
    <t>megelőle-  gezett állami tám. Visszafiz.</t>
  </si>
  <si>
    <t>Önkormányzatok elszámolásai a kp-i költségvet.</t>
  </si>
  <si>
    <t>"5. sz . melléklet a 2/2015.(II. 18.) sz. önkormányzati rendelethez</t>
  </si>
  <si>
    <t>"9. melléklet a 2/2015. (II. 18.) önkormányzati rendelethez</t>
  </si>
  <si>
    <t xml:space="preserve"> - megelőlegezett állami tám. Visszafizetése</t>
  </si>
  <si>
    <t>041233</t>
  </si>
  <si>
    <t>Hosszabb időtartamú közfoglalkoztatás</t>
  </si>
  <si>
    <t xml:space="preserve">Új mikrobusz beszerzése </t>
  </si>
  <si>
    <t>pályázati forráshoz szükséges általános forgalmi adó összege:</t>
  </si>
  <si>
    <t>082044 Könyvtári szolgáltatások</t>
  </si>
  <si>
    <t>Könyvtári infrasturktúra megújítására eszközvásárlás</t>
  </si>
  <si>
    <t>Beruházási célú előzetesen felszámított általános forgalmi adó</t>
  </si>
  <si>
    <t xml:space="preserve">Összesen: </t>
  </si>
  <si>
    <t>BERUHÁZÁSOK ÖSSZESEN:</t>
  </si>
  <si>
    <t>EGYÉB ELVONÁSOK, BEFIZETÉSEK KIADÁSAI</t>
  </si>
  <si>
    <t>Helyi önkormányzatok előző évi elszámolásából származó kiadásai</t>
  </si>
  <si>
    <t>900070</t>
  </si>
  <si>
    <t>Fejezeti és általános tartalékok elszámolása</t>
  </si>
  <si>
    <t>Megelőlegezett állami támogatás visszafizetése</t>
  </si>
  <si>
    <t xml:space="preserve">           megelőlegezett állami támogatás visszafizetése</t>
  </si>
  <si>
    <t>Óvodáztatási támogatás</t>
  </si>
  <si>
    <t>juttatások összesen:</t>
  </si>
  <si>
    <t xml:space="preserve">3. </t>
  </si>
  <si>
    <t xml:space="preserve"> felhalmozási célú önkormányzati támogatások </t>
  </si>
  <si>
    <t>Porpáci Önkéntes Tűzoltó Egyesület</t>
  </si>
  <si>
    <t>FELÚJÍTÁSI KIADÁSOK</t>
  </si>
  <si>
    <t>045160 Közutak, hidak alagutak fenntartása</t>
  </si>
  <si>
    <t>Belterületi utak kátyúzása, felújítása</t>
  </si>
  <si>
    <t xml:space="preserve">Belterületi utak kátyúzása  </t>
  </si>
  <si>
    <t>1.1.1.1.</t>
  </si>
  <si>
    <t>Belterületi utak kátyúzására  fejlesztési támogatás</t>
  </si>
  <si>
    <t>Mikrobusz beszerzésére</t>
  </si>
  <si>
    <t>Adósságkonszolidációban nem részesült önk.fejl. támog.</t>
  </si>
  <si>
    <t>Helyi önkormányzatok előző évi elszámolásából származó kamat kiadásai</t>
  </si>
  <si>
    <t>Mikrobusz beszerzése (támogatásból)</t>
  </si>
  <si>
    <t>1.2.1.</t>
  </si>
  <si>
    <t>1.2.2.</t>
  </si>
  <si>
    <t>FELÚJÍTÁSOK ÖSSZESEN:</t>
  </si>
  <si>
    <t>adósságkonsz. Később 2950</t>
  </si>
  <si>
    <t>"3. sz. melléklet a 2/2015.(II.18) sz. önkormányzati rendelethez</t>
  </si>
  <si>
    <t>nyári diákmunka támogatása</t>
  </si>
  <si>
    <t>4. számú módosítása</t>
  </si>
  <si>
    <t>Gyermekvéd.pénzbeli és természetbeni ellátások</t>
  </si>
  <si>
    <t>ÁHT-n belüli megelőlegzések teljesítése</t>
  </si>
  <si>
    <t>Áht-n belüli megelőlegezések</t>
  </si>
  <si>
    <t>Áht-n belüli megelőlegezések teljesítése</t>
  </si>
  <si>
    <t>eFt</t>
  </si>
  <si>
    <t>1.  melléklet a 1/2016.(II.10.) önkormányzati rendelethez</t>
  </si>
  <si>
    <t>2.  melléklet a 1/2016.(II.10.) önkormányzati rendelethez</t>
  </si>
  <si>
    <t>3. melléklet a 1/2016.(II.10.) önkormányzati rendelethez</t>
  </si>
  <si>
    <t>4. melléklet a 1/2016.(II.10.) önkormányzati rendelethez</t>
  </si>
  <si>
    <t>5. melléklet a 1/2016.(II.10.) önkormányzati rendelethez</t>
  </si>
  <si>
    <t>6. sz . melléklet a 1/2016.(II.10.) sz. önkormányzati rendelethez</t>
  </si>
  <si>
    <t>7.  melléklet a 1/2016.(II.10.) sz. önkormányzati rendelethez</t>
  </si>
  <si>
    <t>8 sz. melléklet a 1/2016.(II.10.) sz. önkormányzati rendelethez</t>
  </si>
  <si>
    <t>9. sz. melléklet a 1/2016.(II.10.) sz. önkormányzati rendelethez</t>
  </si>
  <si>
    <t>10. melléklet a 1/2016.(II.10.) sz. önkormányzati rendelethez</t>
  </si>
  <si>
    <t>11. melléklet a 1/2016.(II.10.)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</si>
</sst>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78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i/>
      <sz val="11"/>
      <name val="Times New Roman"/>
      <family val="1"/>
    </font>
    <font>
      <sz val="9"/>
      <name val="Tahoma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Arial Narrow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10"/>
      <name val="Arial Narrow"/>
      <family val="2"/>
    </font>
    <font>
      <sz val="11"/>
      <name val="Arial CE"/>
      <family val="0"/>
    </font>
    <font>
      <b/>
      <sz val="10"/>
      <name val="Arial CE"/>
      <family val="0"/>
    </font>
    <font>
      <u val="single"/>
      <sz val="11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1" borderId="7" applyNumberFormat="0" applyFont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8" applyNumberFormat="0" applyAlignment="0" applyProtection="0"/>
    <xf numFmtId="0" fontId="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29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6" applyFont="1" applyAlignme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/>
      <protection/>
    </xf>
    <xf numFmtId="0" fontId="18" fillId="0" borderId="0" xfId="62" applyFont="1">
      <alignment/>
      <protection/>
    </xf>
    <xf numFmtId="0" fontId="16" fillId="0" borderId="0" xfId="62" applyFo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62" applyFont="1" applyAlignment="1">
      <alignment horizontal="center"/>
      <protection/>
    </xf>
    <xf numFmtId="168" fontId="16" fillId="0" borderId="0" xfId="40" applyNumberFormat="1" applyFont="1" applyAlignment="1">
      <alignment horizontal="center"/>
    </xf>
    <xf numFmtId="168" fontId="14" fillId="0" borderId="10" xfId="40" applyNumberFormat="1" applyFont="1" applyBorder="1" applyAlignment="1">
      <alignment horizontal="center" wrapText="1"/>
    </xf>
    <xf numFmtId="168" fontId="14" fillId="0" borderId="11" xfId="40" applyNumberFormat="1" applyFont="1" applyBorder="1" applyAlignment="1">
      <alignment horizontal="center" wrapText="1"/>
    </xf>
    <xf numFmtId="168" fontId="14" fillId="0" borderId="12" xfId="40" applyNumberFormat="1" applyFont="1" applyBorder="1" applyAlignment="1">
      <alignment horizontal="center" wrapText="1"/>
    </xf>
    <xf numFmtId="168" fontId="16" fillId="0" borderId="0" xfId="40" applyNumberFormat="1" applyFont="1" applyAlignment="1">
      <alignment/>
    </xf>
    <xf numFmtId="168" fontId="14" fillId="0" borderId="0" xfId="4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16" fillId="0" borderId="0" xfId="62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41" fontId="14" fillId="0" borderId="0" xfId="40" applyNumberFormat="1" applyFont="1" applyAlignment="1">
      <alignment horizontal="center"/>
    </xf>
    <xf numFmtId="41" fontId="16" fillId="0" borderId="0" xfId="0" applyNumberFormat="1" applyFont="1" applyAlignment="1">
      <alignment horizontal="center"/>
    </xf>
    <xf numFmtId="41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16" fillId="0" borderId="0" xfId="57" applyFont="1">
      <alignment/>
      <protection/>
    </xf>
    <xf numFmtId="168" fontId="16" fillId="0" borderId="0" xfId="40" applyNumberFormat="1" applyFont="1" applyAlignment="1">
      <alignment/>
    </xf>
    <xf numFmtId="0" fontId="16" fillId="0" borderId="0" xfId="57" applyFont="1" applyAlignment="1">
      <alignment horizontal="right"/>
      <protection/>
    </xf>
    <xf numFmtId="0" fontId="17" fillId="0" borderId="0" xfId="0" applyFont="1" applyAlignment="1">
      <alignment/>
    </xf>
    <xf numFmtId="0" fontId="14" fillId="0" borderId="10" xfId="57" applyFont="1" applyBorder="1" applyAlignment="1">
      <alignment/>
      <protection/>
    </xf>
    <xf numFmtId="0" fontId="14" fillId="0" borderId="10" xfId="57" applyFont="1" applyBorder="1" applyAlignment="1">
      <alignment horizontal="center"/>
      <protection/>
    </xf>
    <xf numFmtId="168" fontId="14" fillId="0" borderId="10" xfId="40" applyNumberFormat="1" applyFont="1" applyBorder="1" applyAlignment="1">
      <alignment horizontal="center"/>
    </xf>
    <xf numFmtId="0" fontId="14" fillId="0" borderId="11" xfId="57" applyFont="1" applyBorder="1">
      <alignment/>
      <protection/>
    </xf>
    <xf numFmtId="0" fontId="14" fillId="0" borderId="11" xfId="57" applyFont="1" applyBorder="1" applyAlignment="1">
      <alignment horizontal="center"/>
      <protection/>
    </xf>
    <xf numFmtId="168" fontId="14" fillId="0" borderId="11" xfId="40" applyNumberFormat="1" applyFont="1" applyBorder="1" applyAlignment="1">
      <alignment horizontal="center"/>
    </xf>
    <xf numFmtId="0" fontId="14" fillId="0" borderId="12" xfId="57" applyFont="1" applyBorder="1">
      <alignment/>
      <protection/>
    </xf>
    <xf numFmtId="0" fontId="14" fillId="0" borderId="12" xfId="57" applyFont="1" applyBorder="1" applyAlignment="1">
      <alignment horizontal="center"/>
      <protection/>
    </xf>
    <xf numFmtId="168" fontId="14" fillId="0" borderId="12" xfId="40" applyNumberFormat="1" applyFont="1" applyBorder="1" applyAlignment="1">
      <alignment horizontal="center"/>
    </xf>
    <xf numFmtId="0" fontId="16" fillId="0" borderId="0" xfId="57" applyFont="1" applyBorder="1" applyAlignment="1">
      <alignment horizontal="right"/>
      <protection/>
    </xf>
    <xf numFmtId="0" fontId="16" fillId="0" borderId="0" xfId="57" applyFont="1" applyBorder="1" applyAlignment="1">
      <alignment/>
      <protection/>
    </xf>
    <xf numFmtId="168" fontId="16" fillId="0" borderId="0" xfId="40" applyNumberFormat="1" applyFont="1" applyBorder="1" applyAlignment="1">
      <alignment/>
    </xf>
    <xf numFmtId="0" fontId="16" fillId="0" borderId="0" xfId="57" applyFont="1" applyBorder="1" applyAlignment="1">
      <alignment wrapText="1"/>
      <protection/>
    </xf>
    <xf numFmtId="0" fontId="16" fillId="0" borderId="13" xfId="57" applyFont="1" applyBorder="1" applyAlignment="1">
      <alignment horizontal="right"/>
      <protection/>
    </xf>
    <xf numFmtId="0" fontId="16" fillId="0" borderId="13" xfId="57" applyFont="1" applyBorder="1" applyAlignment="1">
      <alignment/>
      <protection/>
    </xf>
    <xf numFmtId="168" fontId="16" fillId="0" borderId="13" xfId="40" applyNumberFormat="1" applyFont="1" applyBorder="1" applyAlignment="1">
      <alignment/>
    </xf>
    <xf numFmtId="0" fontId="26" fillId="0" borderId="0" xfId="0" applyFont="1" applyAlignment="1">
      <alignment/>
    </xf>
    <xf numFmtId="0" fontId="16" fillId="0" borderId="0" xfId="57" applyFont="1" applyAlignment="1">
      <alignment/>
      <protection/>
    </xf>
    <xf numFmtId="0" fontId="14" fillId="0" borderId="14" xfId="57" applyFont="1" applyBorder="1" applyAlignment="1">
      <alignment horizontal="right"/>
      <protection/>
    </xf>
    <xf numFmtId="0" fontId="14" fillId="0" borderId="14" xfId="57" applyFont="1" applyBorder="1">
      <alignment/>
      <protection/>
    </xf>
    <xf numFmtId="168" fontId="14" fillId="0" borderId="14" xfId="40" applyNumberFormat="1" applyFont="1" applyBorder="1" applyAlignment="1">
      <alignment/>
    </xf>
    <xf numFmtId="0" fontId="14" fillId="0" borderId="0" xfId="57" applyFont="1" applyBorder="1" applyAlignment="1">
      <alignment horizontal="right"/>
      <protection/>
    </xf>
    <xf numFmtId="0" fontId="14" fillId="0" borderId="0" xfId="57" applyFont="1" applyBorder="1">
      <alignment/>
      <protection/>
    </xf>
    <xf numFmtId="168" fontId="14" fillId="0" borderId="0" xfId="40" applyNumberFormat="1" applyFont="1" applyBorder="1" applyAlignment="1">
      <alignment/>
    </xf>
    <xf numFmtId="0" fontId="14" fillId="0" borderId="0" xfId="58" applyFont="1" applyBorder="1" applyAlignment="1">
      <alignment horizontal="center"/>
      <protection/>
    </xf>
    <xf numFmtId="0" fontId="26" fillId="0" borderId="13" xfId="0" applyFont="1" applyBorder="1" applyAlignment="1">
      <alignment/>
    </xf>
    <xf numFmtId="168" fontId="14" fillId="0" borderId="13" xfId="40" applyNumberFormat="1" applyFont="1" applyBorder="1" applyAlignment="1">
      <alignment/>
    </xf>
    <xf numFmtId="0" fontId="14" fillId="0" borderId="14" xfId="58" applyFont="1" applyBorder="1" applyAlignment="1">
      <alignment horizontal="right"/>
      <protection/>
    </xf>
    <xf numFmtId="0" fontId="14" fillId="0" borderId="14" xfId="58" applyFont="1" applyBorder="1">
      <alignment/>
      <protection/>
    </xf>
    <xf numFmtId="168" fontId="14" fillId="0" borderId="14" xfId="58" applyNumberFormat="1" applyFont="1" applyBorder="1" applyAlignment="1">
      <alignment/>
      <protection/>
    </xf>
    <xf numFmtId="0" fontId="14" fillId="0" borderId="0" xfId="57" applyFont="1" applyAlignment="1">
      <alignment/>
      <protection/>
    </xf>
    <xf numFmtId="0" fontId="14" fillId="0" borderId="13" xfId="57" applyFont="1" applyBorder="1" applyAlignment="1">
      <alignment horizontal="right"/>
      <protection/>
    </xf>
    <xf numFmtId="0" fontId="14" fillId="0" borderId="13" xfId="57" applyFont="1" applyBorder="1" applyAlignment="1">
      <alignment/>
      <protection/>
    </xf>
    <xf numFmtId="0" fontId="16" fillId="0" borderId="0" xfId="59" applyFont="1">
      <alignment/>
      <protection/>
    </xf>
    <xf numFmtId="0" fontId="24" fillId="0" borderId="0" xfId="59" applyFont="1">
      <alignment/>
      <protection/>
    </xf>
    <xf numFmtId="0" fontId="14" fillId="0" borderId="0" xfId="59" applyFont="1">
      <alignment/>
      <protection/>
    </xf>
    <xf numFmtId="0" fontId="16" fillId="0" borderId="0" xfId="59" applyFont="1" applyAlignment="1">
      <alignment wrapText="1"/>
      <protection/>
    </xf>
    <xf numFmtId="168" fontId="16" fillId="0" borderId="0" xfId="40" applyNumberFormat="1" applyFont="1" applyAlignment="1">
      <alignment wrapText="1"/>
    </xf>
    <xf numFmtId="0" fontId="16" fillId="0" borderId="0" xfId="59" applyFont="1" applyAlignment="1">
      <alignment horizontal="left"/>
      <protection/>
    </xf>
    <xf numFmtId="0" fontId="14" fillId="0" borderId="0" xfId="57" applyFont="1">
      <alignment/>
      <protection/>
    </xf>
    <xf numFmtId="168" fontId="14" fillId="0" borderId="0" xfId="40" applyNumberFormat="1" applyFont="1" applyAlignment="1">
      <alignment horizontal="right"/>
    </xf>
    <xf numFmtId="0" fontId="14" fillId="0" borderId="0" xfId="59" applyFont="1" applyAlignment="1">
      <alignment horizontal="left" wrapText="1"/>
      <protection/>
    </xf>
    <xf numFmtId="0" fontId="27" fillId="0" borderId="0" xfId="62" applyFont="1" applyAlignment="1">
      <alignment horizontal="center"/>
      <protection/>
    </xf>
    <xf numFmtId="0" fontId="18" fillId="0" borderId="15" xfId="62" applyFont="1" applyBorder="1" applyAlignment="1" quotePrefix="1">
      <alignment horizontal="center" vertical="center" wrapText="1"/>
      <protection/>
    </xf>
    <xf numFmtId="0" fontId="18" fillId="0" borderId="16" xfId="62" applyFont="1" applyBorder="1" applyAlignment="1">
      <alignment horizontal="left" wrapText="1"/>
      <protection/>
    </xf>
    <xf numFmtId="0" fontId="18" fillId="0" borderId="13" xfId="62" applyFont="1" applyBorder="1" applyAlignment="1">
      <alignment horizontal="right"/>
      <protection/>
    </xf>
    <xf numFmtId="0" fontId="18" fillId="0" borderId="13" xfId="62" applyFont="1" applyBorder="1">
      <alignment/>
      <protection/>
    </xf>
    <xf numFmtId="0" fontId="18" fillId="0" borderId="17" xfId="62" applyFont="1" applyBorder="1">
      <alignment/>
      <protection/>
    </xf>
    <xf numFmtId="0" fontId="15" fillId="0" borderId="18" xfId="0" applyFont="1" applyBorder="1" applyAlignment="1">
      <alignment/>
    </xf>
    <xf numFmtId="0" fontId="18" fillId="0" borderId="19" xfId="62" applyFont="1" applyBorder="1" applyAlignment="1" quotePrefix="1">
      <alignment horizontal="center" vertical="center" wrapText="1"/>
      <protection/>
    </xf>
    <xf numFmtId="0" fontId="18" fillId="0" borderId="18" xfId="62" applyFont="1" applyBorder="1" applyAlignment="1">
      <alignment horizontal="left" wrapText="1"/>
      <protection/>
    </xf>
    <xf numFmtId="0" fontId="18" fillId="0" borderId="20" xfId="62" applyFont="1" applyBorder="1" applyAlignment="1" quotePrefix="1">
      <alignment horizontal="center" vertical="center" wrapText="1"/>
      <protection/>
    </xf>
    <xf numFmtId="0" fontId="18" fillId="0" borderId="21" xfId="62" applyFont="1" applyBorder="1" applyAlignment="1">
      <alignment horizontal="left" wrapText="1"/>
      <protection/>
    </xf>
    <xf numFmtId="0" fontId="18" fillId="0" borderId="18" xfId="62" applyFont="1" applyBorder="1">
      <alignment/>
      <protection/>
    </xf>
    <xf numFmtId="0" fontId="18" fillId="0" borderId="18" xfId="62" applyFont="1" applyBorder="1" applyAlignment="1">
      <alignment wrapText="1"/>
      <protection/>
    </xf>
    <xf numFmtId="0" fontId="15" fillId="0" borderId="22" xfId="0" applyFont="1" applyBorder="1" applyAlignment="1">
      <alignment/>
    </xf>
    <xf numFmtId="0" fontId="16" fillId="0" borderId="23" xfId="62" applyFont="1" applyBorder="1">
      <alignment/>
      <protection/>
    </xf>
    <xf numFmtId="0" fontId="14" fillId="0" borderId="24" xfId="62" applyFont="1" applyBorder="1" applyAlignment="1">
      <alignment horizontal="right"/>
      <protection/>
    </xf>
    <xf numFmtId="0" fontId="29" fillId="0" borderId="14" xfId="62" applyFont="1" applyBorder="1">
      <alignment/>
      <protection/>
    </xf>
    <xf numFmtId="0" fontId="14" fillId="0" borderId="14" xfId="0" applyFont="1" applyBorder="1" applyAlignment="1">
      <alignment/>
    </xf>
    <xf numFmtId="0" fontId="19" fillId="0" borderId="25" xfId="62" applyFont="1" applyBorder="1" applyAlignment="1">
      <alignment horizontal="right"/>
      <protection/>
    </xf>
    <xf numFmtId="0" fontId="19" fillId="0" borderId="26" xfId="62" applyFont="1" applyBorder="1" applyAlignment="1">
      <alignment horizontal="right"/>
      <protection/>
    </xf>
    <xf numFmtId="0" fontId="18" fillId="0" borderId="27" xfId="62" applyFont="1" applyBorder="1" applyAlignment="1">
      <alignment horizontal="right"/>
      <protection/>
    </xf>
    <xf numFmtId="0" fontId="28" fillId="0" borderId="28" xfId="62" applyFont="1" applyBorder="1">
      <alignment/>
      <protection/>
    </xf>
    <xf numFmtId="0" fontId="18" fillId="0" borderId="27" xfId="62" applyFont="1" applyBorder="1">
      <alignment/>
      <protection/>
    </xf>
    <xf numFmtId="168" fontId="9" fillId="0" borderId="0" xfId="40" applyNumberFormat="1" applyFont="1" applyAlignment="1">
      <alignment wrapText="1"/>
    </xf>
    <xf numFmtId="0" fontId="9" fillId="0" borderId="0" xfId="0" applyFont="1" applyAlignment="1">
      <alignment wrapText="1"/>
    </xf>
    <xf numFmtId="168" fontId="11" fillId="0" borderId="0" xfId="40" applyNumberFormat="1" applyFont="1" applyAlignment="1">
      <alignment wrapText="1"/>
    </xf>
    <xf numFmtId="164" fontId="11" fillId="0" borderId="0" xfId="0" applyNumberFormat="1" applyFont="1" applyAlignment="1">
      <alignment/>
    </xf>
    <xf numFmtId="168" fontId="11" fillId="0" borderId="0" xfId="40" applyNumberFormat="1" applyFont="1" applyAlignment="1">
      <alignment/>
    </xf>
    <xf numFmtId="168" fontId="11" fillId="0" borderId="0" xfId="40" applyNumberFormat="1" applyFont="1" applyBorder="1" applyAlignment="1">
      <alignment horizontal="center"/>
    </xf>
    <xf numFmtId="168" fontId="30" fillId="0" borderId="0" xfId="40" applyNumberFormat="1" applyFont="1" applyAlignment="1">
      <alignment/>
    </xf>
    <xf numFmtId="168" fontId="9" fillId="0" borderId="0" xfId="4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8" fontId="9" fillId="0" borderId="0" xfId="4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8" fontId="32" fillId="0" borderId="0" xfId="40" applyNumberFormat="1" applyFont="1" applyAlignment="1">
      <alignment wrapText="1"/>
    </xf>
    <xf numFmtId="168" fontId="32" fillId="0" borderId="0" xfId="40" applyNumberFormat="1" applyFont="1" applyAlignment="1">
      <alignment/>
    </xf>
    <xf numFmtId="164" fontId="32" fillId="0" borderId="0" xfId="0" applyNumberFormat="1" applyFont="1" applyAlignment="1">
      <alignment/>
    </xf>
    <xf numFmtId="0" fontId="26" fillId="0" borderId="0" xfId="0" applyFont="1" applyAlignment="1" quotePrefix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7" applyFont="1" applyBorder="1" applyAlignment="1">
      <alignment horizontal="center"/>
      <protection/>
    </xf>
    <xf numFmtId="0" fontId="9" fillId="0" borderId="0" xfId="60" applyFont="1" applyAlignment="1">
      <alignment horizontal="left" wrapText="1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 horizontal="left"/>
      <protection/>
    </xf>
    <xf numFmtId="0" fontId="9" fillId="0" borderId="0" xfId="60" applyFont="1" applyAlignment="1">
      <alignment vertical="justify"/>
      <protection/>
    </xf>
    <xf numFmtId="0" fontId="11" fillId="0" borderId="0" xfId="60" applyFont="1" applyAlignment="1">
      <alignment horizontal="left"/>
      <protection/>
    </xf>
    <xf numFmtId="0" fontId="11" fillId="0" borderId="0" xfId="57" applyFont="1" applyBorder="1" applyAlignment="1">
      <alignment horizontal="left" vertical="center"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168" fontId="11" fillId="0" borderId="10" xfId="40" applyNumberFormat="1" applyFont="1" applyBorder="1" applyAlignment="1">
      <alignment horizontal="center"/>
    </xf>
    <xf numFmtId="168" fontId="11" fillId="0" borderId="11" xfId="40" applyNumberFormat="1" applyFont="1" applyBorder="1" applyAlignment="1">
      <alignment horizontal="center"/>
    </xf>
    <xf numFmtId="0" fontId="11" fillId="0" borderId="11" xfId="57" applyFont="1" applyBorder="1" applyAlignment="1">
      <alignment horizontal="center"/>
      <protection/>
    </xf>
    <xf numFmtId="168" fontId="11" fillId="0" borderId="12" xfId="40" applyNumberFormat="1" applyFont="1" applyBorder="1" applyAlignment="1">
      <alignment horizontal="center"/>
    </xf>
    <xf numFmtId="0" fontId="11" fillId="0" borderId="12" xfId="57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3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4" applyFont="1">
      <alignment/>
      <protection/>
    </xf>
    <xf numFmtId="0" fontId="18" fillId="0" borderId="0" xfId="64" applyFont="1">
      <alignment/>
      <protection/>
    </xf>
    <xf numFmtId="0" fontId="16" fillId="0" borderId="0" xfId="64" applyFont="1">
      <alignment/>
      <protection/>
    </xf>
    <xf numFmtId="0" fontId="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11" fillId="0" borderId="0" xfId="64" applyFont="1" applyBorder="1">
      <alignment/>
      <protection/>
    </xf>
    <xf numFmtId="0" fontId="12" fillId="0" borderId="0" xfId="64" applyFont="1">
      <alignment/>
      <protection/>
    </xf>
    <xf numFmtId="0" fontId="4" fillId="0" borderId="0" xfId="62" applyFont="1">
      <alignment/>
      <protection/>
    </xf>
    <xf numFmtId="168" fontId="8" fillId="0" borderId="0" xfId="40" applyNumberFormat="1" applyFont="1" applyAlignment="1">
      <alignment horizontal="right"/>
    </xf>
    <xf numFmtId="168" fontId="8" fillId="0" borderId="0" xfId="62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2" applyFont="1" applyAlignment="1">
      <alignment wrapText="1"/>
      <protection/>
    </xf>
    <xf numFmtId="0" fontId="8" fillId="0" borderId="0" xfId="62" applyFont="1" applyAlignment="1">
      <alignment wrapText="1"/>
      <protection/>
    </xf>
    <xf numFmtId="0" fontId="16" fillId="0" borderId="0" xfId="57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168" fontId="5" fillId="0" borderId="0" xfId="40" applyNumberFormat="1" applyFont="1" applyAlignment="1">
      <alignment horizontal="center"/>
    </xf>
    <xf numFmtId="0" fontId="16" fillId="0" borderId="0" xfId="61" applyFont="1">
      <alignment/>
      <protection/>
    </xf>
    <xf numFmtId="0" fontId="16" fillId="0" borderId="0" xfId="62" applyFont="1" applyAlignment="1">
      <alignment horizontal="center"/>
      <protection/>
    </xf>
    <xf numFmtId="0" fontId="14" fillId="0" borderId="0" xfId="62" applyFont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7" fillId="0" borderId="0" xfId="62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6" fillId="0" borderId="15" xfId="62" applyFont="1" applyBorder="1" applyAlignment="1" quotePrefix="1">
      <alignment horizontal="center" vertical="center" wrapText="1"/>
      <protection/>
    </xf>
    <xf numFmtId="41" fontId="16" fillId="0" borderId="16" xfId="62" applyNumberFormat="1" applyFont="1" applyBorder="1" applyAlignment="1">
      <alignment horizontal="right"/>
      <protection/>
    </xf>
    <xf numFmtId="41" fontId="16" fillId="0" borderId="29" xfId="62" applyNumberFormat="1" applyFont="1" applyBorder="1" applyAlignment="1">
      <alignment horizontal="right"/>
      <protection/>
    </xf>
    <xf numFmtId="0" fontId="16" fillId="0" borderId="0" xfId="62" applyFont="1" applyBorder="1" applyAlignment="1">
      <alignment horizontal="right"/>
      <protection/>
    </xf>
    <xf numFmtId="0" fontId="17" fillId="0" borderId="0" xfId="62" applyFont="1" applyBorder="1">
      <alignment/>
      <protection/>
    </xf>
    <xf numFmtId="0" fontId="16" fillId="0" borderId="0" xfId="62" applyFont="1" applyBorder="1" applyAlignment="1">
      <alignment/>
      <protection/>
    </xf>
    <xf numFmtId="0" fontId="16" fillId="0" borderId="19" xfId="62" applyFont="1" applyBorder="1" applyAlignment="1" quotePrefix="1">
      <alignment horizontal="center" vertical="center" wrapText="1"/>
      <protection/>
    </xf>
    <xf numFmtId="41" fontId="16" fillId="0" borderId="18" xfId="62" applyNumberFormat="1" applyFont="1" applyBorder="1" applyAlignment="1">
      <alignment horizontal="right"/>
      <protection/>
    </xf>
    <xf numFmtId="41" fontId="16" fillId="0" borderId="30" xfId="62" applyNumberFormat="1" applyFont="1" applyBorder="1" applyAlignment="1">
      <alignment horizontal="right"/>
      <protection/>
    </xf>
    <xf numFmtId="41" fontId="16" fillId="0" borderId="31" xfId="62" applyNumberFormat="1" applyFont="1" applyBorder="1" applyAlignment="1">
      <alignment horizontal="right"/>
      <protection/>
    </xf>
    <xf numFmtId="0" fontId="16" fillId="0" borderId="24" xfId="62" applyFont="1" applyBorder="1">
      <alignment/>
      <protection/>
    </xf>
    <xf numFmtId="0" fontId="14" fillId="0" borderId="14" xfId="62" applyFont="1" applyBorder="1">
      <alignment/>
      <protection/>
    </xf>
    <xf numFmtId="41" fontId="14" fillId="0" borderId="32" xfId="62" applyNumberFormat="1" applyFont="1" applyBorder="1" applyAlignment="1">
      <alignment horizontal="right"/>
      <protection/>
    </xf>
    <xf numFmtId="41" fontId="14" fillId="0" borderId="14" xfId="62" applyNumberFormat="1" applyFont="1" applyBorder="1" applyAlignment="1">
      <alignment horizontal="right"/>
      <protection/>
    </xf>
    <xf numFmtId="0" fontId="17" fillId="0" borderId="0" xfId="62" applyFont="1" applyBorder="1" applyAlignment="1">
      <alignment horizontal="right"/>
      <protection/>
    </xf>
    <xf numFmtId="0" fontId="16" fillId="0" borderId="0" xfId="61" applyFont="1" applyBorder="1">
      <alignment/>
      <protection/>
    </xf>
    <xf numFmtId="0" fontId="16" fillId="0" borderId="0" xfId="61" applyFont="1" applyAlignment="1">
      <alignment horizontal="left" indent="14"/>
      <protection/>
    </xf>
    <xf numFmtId="0" fontId="0" fillId="0" borderId="0" xfId="61">
      <alignment/>
      <protection/>
    </xf>
    <xf numFmtId="0" fontId="0" fillId="0" borderId="0" xfId="61" applyBorder="1">
      <alignment/>
      <protection/>
    </xf>
    <xf numFmtId="0" fontId="16" fillId="0" borderId="33" xfId="62" applyFont="1" applyBorder="1" applyAlignment="1">
      <alignment horizontal="left" wrapText="1"/>
      <protection/>
    </xf>
    <xf numFmtId="41" fontId="16" fillId="0" borderId="34" xfId="62" applyNumberFormat="1" applyFont="1" applyBorder="1" applyAlignment="1">
      <alignment horizontal="right"/>
      <protection/>
    </xf>
    <xf numFmtId="41" fontId="16" fillId="0" borderId="35" xfId="62" applyNumberFormat="1" applyFont="1" applyBorder="1" applyAlignment="1">
      <alignment horizontal="right"/>
      <protection/>
    </xf>
    <xf numFmtId="41" fontId="16" fillId="0" borderId="36" xfId="62" applyNumberFormat="1" applyFont="1" applyBorder="1" applyAlignment="1">
      <alignment horizontal="right"/>
      <protection/>
    </xf>
    <xf numFmtId="41" fontId="16" fillId="0" borderId="21" xfId="62" applyNumberFormat="1" applyFont="1" applyBorder="1" applyAlignment="1">
      <alignment horizontal="right"/>
      <protection/>
    </xf>
    <xf numFmtId="41" fontId="16" fillId="0" borderId="37" xfId="62" applyNumberFormat="1" applyFont="1" applyBorder="1" applyAlignment="1">
      <alignment horizontal="right"/>
      <protection/>
    </xf>
    <xf numFmtId="41" fontId="16" fillId="0" borderId="13" xfId="62" applyNumberFormat="1" applyFont="1" applyBorder="1" applyAlignment="1">
      <alignment horizontal="right"/>
      <protection/>
    </xf>
    <xf numFmtId="41" fontId="16" fillId="0" borderId="28" xfId="62" applyNumberFormat="1" applyFont="1" applyBorder="1" applyAlignment="1">
      <alignment horizontal="right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41" fontId="16" fillId="0" borderId="38" xfId="62" applyNumberFormat="1" applyFont="1" applyBorder="1" applyAlignment="1">
      <alignment horizontal="right"/>
      <protection/>
    </xf>
    <xf numFmtId="41" fontId="16" fillId="0" borderId="39" xfId="62" applyNumberFormat="1" applyFont="1" applyBorder="1" applyAlignment="1">
      <alignment horizontal="right"/>
      <protection/>
    </xf>
    <xf numFmtId="0" fontId="14" fillId="0" borderId="24" xfId="62" applyFont="1" applyBorder="1">
      <alignment/>
      <protection/>
    </xf>
    <xf numFmtId="41" fontId="14" fillId="0" borderId="24" xfId="62" applyNumberFormat="1" applyFont="1" applyBorder="1" applyAlignment="1">
      <alignment horizontal="right"/>
      <protection/>
    </xf>
    <xf numFmtId="0" fontId="16" fillId="0" borderId="0" xfId="62" applyFont="1" applyAlignment="1">
      <alignment horizontal="center" wrapText="1"/>
      <protection/>
    </xf>
    <xf numFmtId="168" fontId="33" fillId="0" borderId="0" xfId="40" applyNumberFormat="1" applyFont="1" applyAlignment="1">
      <alignment/>
    </xf>
    <xf numFmtId="168" fontId="33" fillId="0" borderId="0" xfId="40" applyNumberFormat="1" applyFont="1" applyBorder="1" applyAlignment="1">
      <alignment/>
    </xf>
    <xf numFmtId="168" fontId="5" fillId="0" borderId="0" xfId="4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40" xfId="0" applyFont="1" applyBorder="1" applyAlignment="1">
      <alignment/>
    </xf>
    <xf numFmtId="168" fontId="33" fillId="0" borderId="10" xfId="40" applyNumberFormat="1" applyFont="1" applyBorder="1" applyAlignment="1">
      <alignment/>
    </xf>
    <xf numFmtId="168" fontId="33" fillId="0" borderId="41" xfId="40" applyNumberFormat="1" applyFont="1" applyBorder="1" applyAlignment="1">
      <alignment/>
    </xf>
    <xf numFmtId="168" fontId="33" fillId="0" borderId="42" xfId="40" applyNumberFormat="1" applyFont="1" applyBorder="1" applyAlignment="1">
      <alignment/>
    </xf>
    <xf numFmtId="168" fontId="33" fillId="0" borderId="43" xfId="40" applyNumberFormat="1" applyFont="1" applyBorder="1" applyAlignment="1">
      <alignment/>
    </xf>
    <xf numFmtId="168" fontId="5" fillId="0" borderId="43" xfId="40" applyNumberFormat="1" applyFont="1" applyBorder="1" applyAlignment="1">
      <alignment/>
    </xf>
    <xf numFmtId="168" fontId="5" fillId="0" borderId="42" xfId="40" applyNumberFormat="1" applyFont="1" applyBorder="1" applyAlignment="1">
      <alignment/>
    </xf>
    <xf numFmtId="168" fontId="5" fillId="0" borderId="10" xfId="4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4" xfId="0" applyFont="1" applyBorder="1" applyAlignment="1">
      <alignment horizontal="center"/>
    </xf>
    <xf numFmtId="168" fontId="5" fillId="0" borderId="11" xfId="40" applyNumberFormat="1" applyFont="1" applyBorder="1" applyAlignment="1">
      <alignment horizontal="center"/>
    </xf>
    <xf numFmtId="168" fontId="5" fillId="0" borderId="45" xfId="40" applyNumberFormat="1" applyFont="1" applyBorder="1" applyAlignment="1">
      <alignment horizontal="center"/>
    </xf>
    <xf numFmtId="168" fontId="5" fillId="0" borderId="46" xfId="40" applyNumberFormat="1" applyFont="1" applyBorder="1" applyAlignment="1">
      <alignment horizontal="center"/>
    </xf>
    <xf numFmtId="168" fontId="5" fillId="0" borderId="47" xfId="40" applyNumberFormat="1" applyFont="1" applyBorder="1" applyAlignment="1">
      <alignment horizontal="center"/>
    </xf>
    <xf numFmtId="168" fontId="33" fillId="0" borderId="11" xfId="4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12" xfId="40" applyNumberFormat="1" applyFont="1" applyBorder="1" applyAlignment="1">
      <alignment/>
    </xf>
    <xf numFmtId="168" fontId="5" fillId="0" borderId="48" xfId="40" applyNumberFormat="1" applyFont="1" applyBorder="1" applyAlignment="1">
      <alignment/>
    </xf>
    <xf numFmtId="168" fontId="5" fillId="0" borderId="49" xfId="40" applyNumberFormat="1" applyFont="1" applyBorder="1" applyAlignment="1">
      <alignment/>
    </xf>
    <xf numFmtId="168" fontId="5" fillId="0" borderId="50" xfId="40" applyNumberFormat="1" applyFont="1" applyBorder="1" applyAlignment="1">
      <alignment/>
    </xf>
    <xf numFmtId="0" fontId="5" fillId="0" borderId="51" xfId="0" applyFont="1" applyBorder="1" applyAlignment="1">
      <alignment/>
    </xf>
    <xf numFmtId="0" fontId="33" fillId="0" borderId="0" xfId="0" applyFont="1" applyBorder="1" applyAlignment="1">
      <alignment/>
    </xf>
    <xf numFmtId="168" fontId="5" fillId="0" borderId="47" xfId="40" applyNumberFormat="1" applyFont="1" applyBorder="1" applyAlignment="1">
      <alignment/>
    </xf>
    <xf numFmtId="168" fontId="5" fillId="0" borderId="45" xfId="40" applyNumberFormat="1" applyFont="1" applyBorder="1" applyAlignment="1">
      <alignment/>
    </xf>
    <xf numFmtId="168" fontId="5" fillId="0" borderId="46" xfId="40" applyNumberFormat="1" applyFont="1" applyBorder="1" applyAlignment="1">
      <alignment/>
    </xf>
    <xf numFmtId="168" fontId="5" fillId="0" borderId="52" xfId="4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168" fontId="5" fillId="0" borderId="28" xfId="4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168" fontId="5" fillId="0" borderId="13" xfId="4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0" fillId="0" borderId="13" xfId="40" applyNumberFormat="1" applyFont="1" applyFill="1" applyBorder="1" applyAlignment="1">
      <alignment/>
    </xf>
    <xf numFmtId="168" fontId="0" fillId="0" borderId="17" xfId="40" applyNumberFormat="1" applyFont="1" applyFill="1" applyBorder="1" applyAlignment="1">
      <alignment/>
    </xf>
    <xf numFmtId="168" fontId="5" fillId="0" borderId="13" xfId="40" applyNumberFormat="1" applyFont="1" applyFill="1" applyBorder="1" applyAlignment="1">
      <alignment/>
    </xf>
    <xf numFmtId="168" fontId="5" fillId="0" borderId="17" xfId="40" applyNumberFormat="1" applyFont="1" applyFill="1" applyBorder="1" applyAlignment="1">
      <alignment/>
    </xf>
    <xf numFmtId="0" fontId="5" fillId="0" borderId="53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33" fillId="0" borderId="14" xfId="0" applyFont="1" applyBorder="1" applyAlignment="1">
      <alignment/>
    </xf>
    <xf numFmtId="168" fontId="33" fillId="0" borderId="54" xfId="40" applyNumberFormat="1" applyFont="1" applyBorder="1" applyAlignment="1">
      <alignment/>
    </xf>
    <xf numFmtId="168" fontId="33" fillId="0" borderId="14" xfId="40" applyNumberFormat="1" applyFont="1" applyBorder="1" applyAlignment="1">
      <alignment/>
    </xf>
    <xf numFmtId="0" fontId="5" fillId="0" borderId="51" xfId="0" applyFont="1" applyBorder="1" applyAlignment="1">
      <alignment horizontal="center"/>
    </xf>
    <xf numFmtId="0" fontId="33" fillId="0" borderId="35" xfId="0" applyFont="1" applyBorder="1" applyAlignment="1">
      <alignment/>
    </xf>
    <xf numFmtId="168" fontId="5" fillId="0" borderId="55" xfId="40" applyNumberFormat="1" applyFont="1" applyBorder="1" applyAlignment="1">
      <alignment/>
    </xf>
    <xf numFmtId="168" fontId="5" fillId="0" borderId="17" xfId="40" applyNumberFormat="1" applyFont="1" applyBorder="1" applyAlignment="1">
      <alignment/>
    </xf>
    <xf numFmtId="0" fontId="5" fillId="0" borderId="14" xfId="0" applyFont="1" applyBorder="1" applyAlignment="1">
      <alignment/>
    </xf>
    <xf numFmtId="0" fontId="33" fillId="0" borderId="24" xfId="0" applyFont="1" applyBorder="1" applyAlignment="1">
      <alignment/>
    </xf>
    <xf numFmtId="168" fontId="5" fillId="0" borderId="56" xfId="40" applyNumberFormat="1" applyFont="1" applyBorder="1" applyAlignment="1">
      <alignment/>
    </xf>
    <xf numFmtId="168" fontId="5" fillId="0" borderId="57" xfId="4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168" fontId="14" fillId="0" borderId="0" xfId="0" applyNumberFormat="1" applyFont="1" applyAlignment="1">
      <alignment horizontal="left"/>
    </xf>
    <xf numFmtId="0" fontId="28" fillId="0" borderId="0" xfId="62" applyFont="1" applyFill="1" applyBorder="1">
      <alignment/>
      <protection/>
    </xf>
    <xf numFmtId="0" fontId="16" fillId="0" borderId="44" xfId="62" applyFont="1" applyBorder="1" applyAlignment="1" quotePrefix="1">
      <alignment horizontal="center" vertical="center" wrapText="1"/>
      <protection/>
    </xf>
    <xf numFmtId="41" fontId="16" fillId="0" borderId="58" xfId="62" applyNumberFormat="1" applyFont="1" applyBorder="1" applyAlignment="1">
      <alignment horizontal="right"/>
      <protection/>
    </xf>
    <xf numFmtId="0" fontId="16" fillId="0" borderId="19" xfId="62" applyFont="1" applyBorder="1" applyAlignment="1">
      <alignment horizontal="left" wrapText="1"/>
      <protection/>
    </xf>
    <xf numFmtId="0" fontId="16" fillId="0" borderId="44" xfId="62" applyFont="1" applyBorder="1" applyAlignment="1">
      <alignment horizontal="left" wrapText="1"/>
      <protection/>
    </xf>
    <xf numFmtId="41" fontId="14" fillId="0" borderId="59" xfId="62" applyNumberFormat="1" applyFont="1" applyBorder="1" applyAlignment="1">
      <alignment horizontal="right"/>
      <protection/>
    </xf>
    <xf numFmtId="41" fontId="14" fillId="0" borderId="60" xfId="62" applyNumberFormat="1" applyFont="1" applyBorder="1" applyAlignment="1">
      <alignment horizontal="right"/>
      <protection/>
    </xf>
    <xf numFmtId="0" fontId="16" fillId="0" borderId="15" xfId="62" applyFont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16" fillId="0" borderId="0" xfId="61" applyFont="1" applyBorder="1" applyAlignment="1">
      <alignment horizontal="right"/>
      <protection/>
    </xf>
    <xf numFmtId="0" fontId="18" fillId="0" borderId="0" xfId="63" applyFont="1">
      <alignment/>
      <protection/>
    </xf>
    <xf numFmtId="0" fontId="18" fillId="0" borderId="0" xfId="60" applyFont="1">
      <alignment/>
      <protection/>
    </xf>
    <xf numFmtId="0" fontId="19" fillId="0" borderId="0" xfId="57" applyFont="1">
      <alignment/>
      <protection/>
    </xf>
    <xf numFmtId="0" fontId="19" fillId="0" borderId="0" xfId="57" applyFont="1" applyBorder="1" applyAlignment="1">
      <alignment horizontal="left" vertical="center"/>
      <protection/>
    </xf>
    <xf numFmtId="0" fontId="19" fillId="0" borderId="0" xfId="57" applyFont="1" applyBorder="1" applyAlignment="1">
      <alignment horizontal="center" vertical="center"/>
      <protection/>
    </xf>
    <xf numFmtId="168" fontId="16" fillId="0" borderId="0" xfId="40" applyNumberFormat="1" applyFont="1" applyBorder="1" applyAlignment="1">
      <alignment horizontal="center"/>
    </xf>
    <xf numFmtId="164" fontId="16" fillId="0" borderId="0" xfId="60" applyNumberFormat="1" applyFont="1">
      <alignment/>
      <protection/>
    </xf>
    <xf numFmtId="0" fontId="19" fillId="0" borderId="0" xfId="60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left" wrapText="1"/>
      <protection/>
    </xf>
    <xf numFmtId="0" fontId="18" fillId="0" borderId="0" xfId="0" applyFont="1" applyAlignment="1">
      <alignment/>
    </xf>
    <xf numFmtId="168" fontId="4" fillId="0" borderId="0" xfId="40" applyNumberFormat="1" applyFont="1" applyAlignment="1">
      <alignment horizontal="right"/>
    </xf>
    <xf numFmtId="0" fontId="16" fillId="0" borderId="18" xfId="62" applyFont="1" applyBorder="1" applyAlignment="1">
      <alignment horizontal="left" wrapText="1"/>
      <protection/>
    </xf>
    <xf numFmtId="0" fontId="18" fillId="0" borderId="19" xfId="62" applyFont="1" applyBorder="1" applyAlignment="1">
      <alignment horizontal="left" wrapText="1"/>
      <protection/>
    </xf>
    <xf numFmtId="0" fontId="18" fillId="0" borderId="20" xfId="62" applyFont="1" applyBorder="1" applyAlignment="1">
      <alignment horizontal="left" wrapText="1"/>
      <protection/>
    </xf>
    <xf numFmtId="0" fontId="14" fillId="0" borderId="14" xfId="62" applyFont="1" applyBorder="1" applyAlignment="1">
      <alignment horizontal="right"/>
      <protection/>
    </xf>
    <xf numFmtId="0" fontId="16" fillId="0" borderId="40" xfId="62" applyFont="1" applyBorder="1" applyAlignment="1">
      <alignment horizontal="left" wrapText="1"/>
      <protection/>
    </xf>
    <xf numFmtId="0" fontId="16" fillId="0" borderId="61" xfId="62" applyFont="1" applyBorder="1" applyAlignment="1">
      <alignment horizontal="left" wrapText="1"/>
      <protection/>
    </xf>
    <xf numFmtId="0" fontId="35" fillId="0" borderId="0" xfId="63" applyFont="1">
      <alignment/>
      <protection/>
    </xf>
    <xf numFmtId="0" fontId="35" fillId="0" borderId="0" xfId="0" applyFont="1" applyAlignment="1" quotePrefix="1">
      <alignment/>
    </xf>
    <xf numFmtId="41" fontId="5" fillId="0" borderId="0" xfId="62" applyNumberFormat="1" applyFont="1" applyAlignment="1">
      <alignment horizontal="right"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quotePrefix="1">
      <alignment/>
      <protection/>
    </xf>
    <xf numFmtId="41" fontId="5" fillId="0" borderId="0" xfId="62" applyNumberFormat="1" applyFont="1">
      <alignment/>
      <protection/>
    </xf>
    <xf numFmtId="0" fontId="36" fillId="0" borderId="0" xfId="62" applyFont="1" applyAlignment="1">
      <alignment horizontal="left" wrapText="1"/>
      <protection/>
    </xf>
    <xf numFmtId="0" fontId="36" fillId="0" borderId="0" xfId="62" applyFont="1" quotePrefix="1">
      <alignment/>
      <protection/>
    </xf>
    <xf numFmtId="41" fontId="36" fillId="0" borderId="0" xfId="62" applyNumberFormat="1" applyFont="1">
      <alignment/>
      <protection/>
    </xf>
    <xf numFmtId="0" fontId="37" fillId="0" borderId="0" xfId="62" applyFont="1">
      <alignment/>
      <protection/>
    </xf>
    <xf numFmtId="0" fontId="33" fillId="0" borderId="0" xfId="62" applyFont="1">
      <alignment/>
      <protection/>
    </xf>
    <xf numFmtId="41" fontId="33" fillId="0" borderId="0" xfId="62" applyNumberFormat="1" applyFont="1" applyAlignment="1">
      <alignment horizontal="right"/>
      <protection/>
    </xf>
    <xf numFmtId="0" fontId="34" fillId="0" borderId="0" xfId="62" applyFont="1" applyAlignment="1">
      <alignment horizontal="left" wrapText="1"/>
      <protection/>
    </xf>
    <xf numFmtId="0" fontId="34" fillId="0" borderId="0" xfId="62" applyFont="1" applyAlignment="1">
      <alignment vertical="justify"/>
      <protection/>
    </xf>
    <xf numFmtId="0" fontId="5" fillId="0" borderId="0" xfId="62" applyFont="1" applyAlignment="1" quotePrefix="1">
      <alignment wrapText="1"/>
      <protection/>
    </xf>
    <xf numFmtId="0" fontId="38" fillId="0" borderId="0" xfId="62" applyFont="1">
      <alignment/>
      <protection/>
    </xf>
    <xf numFmtId="0" fontId="28" fillId="0" borderId="0" xfId="62" applyFont="1">
      <alignment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62" applyFont="1">
      <alignment/>
      <protection/>
    </xf>
    <xf numFmtId="0" fontId="18" fillId="0" borderId="53" xfId="62" applyFont="1" applyBorder="1" applyAlignment="1">
      <alignment horizontal="right"/>
      <protection/>
    </xf>
    <xf numFmtId="0" fontId="18" fillId="0" borderId="39" xfId="62" applyFont="1" applyBorder="1" applyAlignment="1">
      <alignment horizontal="right"/>
      <protection/>
    </xf>
    <xf numFmtId="0" fontId="28" fillId="0" borderId="62" xfId="62" applyFont="1" applyBorder="1">
      <alignment/>
      <protection/>
    </xf>
    <xf numFmtId="0" fontId="18" fillId="0" borderId="53" xfId="62" applyFont="1" applyBorder="1">
      <alignment/>
      <protection/>
    </xf>
    <xf numFmtId="0" fontId="18" fillId="0" borderId="39" xfId="62" applyFont="1" applyBorder="1">
      <alignment/>
      <protection/>
    </xf>
    <xf numFmtId="0" fontId="18" fillId="0" borderId="17" xfId="62" applyFont="1" applyBorder="1" applyAlignment="1" quotePrefix="1">
      <alignment horizontal="center" vertical="center" wrapText="1"/>
      <protection/>
    </xf>
    <xf numFmtId="0" fontId="19" fillId="0" borderId="63" xfId="62" applyFont="1" applyBorder="1" applyAlignment="1">
      <alignment horizontal="right"/>
      <protection/>
    </xf>
    <xf numFmtId="0" fontId="18" fillId="0" borderId="64" xfId="62" applyFont="1" applyBorder="1" applyAlignment="1">
      <alignment horizontal="right"/>
      <protection/>
    </xf>
    <xf numFmtId="0" fontId="18" fillId="0" borderId="65" xfId="62" applyFont="1" applyBorder="1" applyAlignment="1">
      <alignment horizontal="right"/>
      <protection/>
    </xf>
    <xf numFmtId="0" fontId="28" fillId="0" borderId="66" xfId="62" applyFont="1" applyBorder="1">
      <alignment/>
      <protection/>
    </xf>
    <xf numFmtId="0" fontId="18" fillId="0" borderId="64" xfId="62" applyFont="1" applyBorder="1">
      <alignment/>
      <protection/>
    </xf>
    <xf numFmtId="0" fontId="18" fillId="0" borderId="65" xfId="62" applyFont="1" applyBorder="1">
      <alignment/>
      <protection/>
    </xf>
    <xf numFmtId="0" fontId="18" fillId="0" borderId="63" xfId="62" applyFont="1" applyBorder="1">
      <alignment/>
      <protection/>
    </xf>
    <xf numFmtId="0" fontId="18" fillId="0" borderId="67" xfId="62" applyFont="1" applyBorder="1">
      <alignment/>
      <protection/>
    </xf>
    <xf numFmtId="0" fontId="18" fillId="0" borderId="25" xfId="62" applyFont="1" applyBorder="1">
      <alignment/>
      <protection/>
    </xf>
    <xf numFmtId="0" fontId="27" fillId="0" borderId="15" xfId="62" applyFont="1" applyBorder="1">
      <alignment/>
      <protection/>
    </xf>
    <xf numFmtId="0" fontId="18" fillId="0" borderId="68" xfId="62" applyFont="1" applyBorder="1">
      <alignment/>
      <protection/>
    </xf>
    <xf numFmtId="0" fontId="18" fillId="0" borderId="66" xfId="62" applyFont="1" applyBorder="1">
      <alignment/>
      <protection/>
    </xf>
    <xf numFmtId="0" fontId="27" fillId="0" borderId="19" xfId="62" applyFont="1" applyBorder="1">
      <alignment/>
      <protection/>
    </xf>
    <xf numFmtId="0" fontId="18" fillId="0" borderId="28" xfId="62" applyFont="1" applyBorder="1">
      <alignment/>
      <protection/>
    </xf>
    <xf numFmtId="0" fontId="27" fillId="0" borderId="27" xfId="62" applyFont="1" applyBorder="1">
      <alignment/>
      <protection/>
    </xf>
    <xf numFmtId="0" fontId="15" fillId="0" borderId="16" xfId="0" applyFont="1" applyBorder="1" applyAlignment="1">
      <alignment/>
    </xf>
    <xf numFmtId="0" fontId="18" fillId="0" borderId="22" xfId="62" applyFont="1" applyBorder="1" applyAlignment="1">
      <alignment wrapText="1"/>
      <protection/>
    </xf>
    <xf numFmtId="0" fontId="27" fillId="0" borderId="53" xfId="62" applyFont="1" applyBorder="1">
      <alignment/>
      <protection/>
    </xf>
    <xf numFmtId="0" fontId="18" fillId="0" borderId="62" xfId="62" applyFont="1" applyBorder="1">
      <alignment/>
      <protection/>
    </xf>
    <xf numFmtId="0" fontId="18" fillId="0" borderId="26" xfId="62" applyFont="1" applyBorder="1">
      <alignment/>
      <protection/>
    </xf>
    <xf numFmtId="0" fontId="14" fillId="0" borderId="69" xfId="62" applyFont="1" applyBorder="1" applyAlignment="1">
      <alignment horizontal="right"/>
      <protection/>
    </xf>
    <xf numFmtId="41" fontId="16" fillId="0" borderId="12" xfId="62" applyNumberFormat="1" applyFont="1" applyBorder="1" applyAlignment="1">
      <alignment horizontal="right"/>
      <protection/>
    </xf>
    <xf numFmtId="0" fontId="38" fillId="0" borderId="0" xfId="62" applyFont="1" applyAlignment="1">
      <alignment wrapText="1"/>
      <protection/>
    </xf>
    <xf numFmtId="1" fontId="33" fillId="0" borderId="54" xfId="40" applyNumberFormat="1" applyFont="1" applyBorder="1" applyAlignment="1">
      <alignment/>
    </xf>
    <xf numFmtId="49" fontId="0" fillId="0" borderId="0" xfId="0" applyNumberFormat="1" applyAlignment="1">
      <alignment/>
    </xf>
    <xf numFmtId="3" fontId="18" fillId="0" borderId="0" xfId="63" applyNumberFormat="1" applyFont="1" applyAlignment="1">
      <alignment horizontal="right"/>
      <protection/>
    </xf>
    <xf numFmtId="3" fontId="19" fillId="0" borderId="0" xfId="63" applyNumberFormat="1" applyFont="1" applyAlignment="1">
      <alignment horizontal="right"/>
      <protection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38" fillId="0" borderId="0" xfId="62" applyNumberFormat="1" applyFont="1" applyAlignment="1">
      <alignment horizontal="left" wrapText="1"/>
      <protection/>
    </xf>
    <xf numFmtId="3" fontId="19" fillId="0" borderId="0" xfId="63" applyNumberFormat="1" applyFont="1">
      <alignment/>
      <protection/>
    </xf>
    <xf numFmtId="3" fontId="18" fillId="0" borderId="0" xfId="63" applyNumberFormat="1" applyFont="1" applyAlignment="1">
      <alignment/>
      <protection/>
    </xf>
    <xf numFmtId="3" fontId="19" fillId="0" borderId="0" xfId="0" applyNumberFormat="1" applyFont="1" applyAlignment="1">
      <alignment/>
    </xf>
    <xf numFmtId="3" fontId="41" fillId="0" borderId="0" xfId="63" applyNumberFormat="1" applyFont="1" applyAlignment="1">
      <alignment/>
      <protection/>
    </xf>
    <xf numFmtId="3" fontId="41" fillId="0" borderId="0" xfId="63" applyNumberFormat="1" applyFont="1" applyAlignment="1">
      <alignment horizontal="right"/>
      <protection/>
    </xf>
    <xf numFmtId="3" fontId="41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14" fillId="0" borderId="0" xfId="59" applyFont="1" applyAlignment="1">
      <alignment horizontal="center"/>
      <protection/>
    </xf>
    <xf numFmtId="0" fontId="0" fillId="0" borderId="0" xfId="0" applyAlignment="1">
      <alignment horizontal="right"/>
    </xf>
    <xf numFmtId="0" fontId="16" fillId="0" borderId="0" xfId="59" applyFont="1" applyAlignment="1">
      <alignment horizontal="left"/>
      <protection/>
    </xf>
    <xf numFmtId="0" fontId="11" fillId="0" borderId="0" xfId="0" applyFont="1" applyAlignment="1">
      <alignment horizontal="left" wrapText="1"/>
    </xf>
    <xf numFmtId="0" fontId="9" fillId="0" borderId="0" xfId="60" applyFont="1" applyAlignment="1">
      <alignment horizontal="left" wrapText="1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57" applyFont="1" applyAlignment="1">
      <alignment horizontal="center"/>
      <protection/>
    </xf>
    <xf numFmtId="0" fontId="11" fillId="0" borderId="60" xfId="57" applyFont="1" applyBorder="1" applyAlignment="1">
      <alignment horizontal="right"/>
      <protection/>
    </xf>
    <xf numFmtId="0" fontId="11" fillId="0" borderId="40" xfId="57" applyFont="1" applyBorder="1" applyAlignment="1">
      <alignment horizontal="center" vertical="center"/>
      <protection/>
    </xf>
    <xf numFmtId="0" fontId="11" fillId="0" borderId="70" xfId="57" applyFont="1" applyBorder="1" applyAlignment="1">
      <alignment horizontal="center" vertical="center"/>
      <protection/>
    </xf>
    <xf numFmtId="0" fontId="11" fillId="0" borderId="71" xfId="57" applyFont="1" applyBorder="1" applyAlignment="1">
      <alignment horizontal="center" vertical="center"/>
      <protection/>
    </xf>
    <xf numFmtId="0" fontId="11" fillId="0" borderId="4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60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11" fillId="0" borderId="0" xfId="57" applyFont="1" applyAlignment="1">
      <alignment horizontal="left"/>
      <protection/>
    </xf>
    <xf numFmtId="0" fontId="30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7" applyFont="1" applyAlignment="1">
      <alignment horizontal="left" wrapText="1"/>
      <protection/>
    </xf>
    <xf numFmtId="0" fontId="11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18" fillId="0" borderId="0" xfId="57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1" fillId="0" borderId="60" xfId="0" applyFont="1" applyBorder="1" applyAlignment="1" quotePrefix="1">
      <alignment horizont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11" fillId="0" borderId="0" xfId="57" applyFont="1" applyBorder="1" applyAlignment="1">
      <alignment horizontal="left" vertical="center"/>
      <protection/>
    </xf>
    <xf numFmtId="0" fontId="11" fillId="0" borderId="0" xfId="0" applyFont="1" applyAlignment="1">
      <alignment horizontal="left"/>
    </xf>
    <xf numFmtId="0" fontId="14" fillId="0" borderId="0" xfId="62" applyFont="1" applyAlignment="1">
      <alignment horizont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0" xfId="61" applyFont="1" applyAlignment="1">
      <alignment horizontal="left"/>
      <protection/>
    </xf>
    <xf numFmtId="0" fontId="16" fillId="0" borderId="0" xfId="0" applyFont="1" applyAlignment="1">
      <alignment horizontal="left"/>
    </xf>
    <xf numFmtId="0" fontId="16" fillId="0" borderId="40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0" xfId="62" applyFont="1" applyBorder="1" applyAlignment="1">
      <alignment horizontal="center" vertical="center" wrapText="1"/>
      <protection/>
    </xf>
    <xf numFmtId="0" fontId="16" fillId="0" borderId="11" xfId="62" applyFont="1" applyBorder="1" applyAlignment="1">
      <alignment horizontal="center" vertical="center" wrapText="1"/>
      <protection/>
    </xf>
    <xf numFmtId="0" fontId="16" fillId="0" borderId="1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/>
      <protection/>
    </xf>
    <xf numFmtId="0" fontId="16" fillId="0" borderId="11" xfId="62" applyFont="1" applyBorder="1" applyAlignment="1">
      <alignment horizontal="center" vertical="center"/>
      <protection/>
    </xf>
    <xf numFmtId="0" fontId="16" fillId="0" borderId="12" xfId="62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24" xfId="57" applyFont="1" applyBorder="1" applyAlignment="1">
      <alignment horizontal="center"/>
      <protection/>
    </xf>
    <xf numFmtId="0" fontId="16" fillId="0" borderId="69" xfId="57" applyFont="1" applyBorder="1" applyAlignment="1">
      <alignment horizontal="center"/>
      <protection/>
    </xf>
    <xf numFmtId="0" fontId="16" fillId="0" borderId="32" xfId="57" applyFont="1" applyBorder="1" applyAlignment="1">
      <alignment horizontal="center"/>
      <protection/>
    </xf>
    <xf numFmtId="0" fontId="16" fillId="0" borderId="44" xfId="0" applyFont="1" applyBorder="1" applyAlignment="1">
      <alignment horizontal="center" vertical="center"/>
    </xf>
    <xf numFmtId="0" fontId="25" fillId="0" borderId="0" xfId="62" applyFont="1" applyAlignment="1">
      <alignment horizont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8" fillId="0" borderId="11" xfId="57" applyFont="1" applyBorder="1" applyAlignment="1">
      <alignment horizontal="center" vertical="center" wrapText="1"/>
      <protection/>
    </xf>
    <xf numFmtId="0" fontId="18" fillId="0" borderId="12" xfId="57" applyFont="1" applyBorder="1" applyAlignment="1">
      <alignment horizontal="center" vertical="center" wrapText="1"/>
      <protection/>
    </xf>
    <xf numFmtId="0" fontId="21" fillId="0" borderId="40" xfId="57" applyFont="1" applyBorder="1" applyAlignment="1">
      <alignment horizontal="center" vertical="center" wrapText="1"/>
      <protection/>
    </xf>
    <xf numFmtId="0" fontId="21" fillId="0" borderId="44" xfId="57" applyFont="1" applyBorder="1" applyAlignment="1">
      <alignment horizontal="center" vertical="center" wrapText="1"/>
      <protection/>
    </xf>
    <xf numFmtId="0" fontId="21" fillId="0" borderId="23" xfId="57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4" fontId="18" fillId="0" borderId="24" xfId="66" applyFont="1" applyBorder="1" applyAlignment="1">
      <alignment horizontal="center"/>
    </xf>
    <xf numFmtId="44" fontId="18" fillId="0" borderId="69" xfId="66" applyFont="1" applyBorder="1" applyAlignment="1">
      <alignment horizontal="center"/>
    </xf>
    <xf numFmtId="44" fontId="18" fillId="0" borderId="32" xfId="66" applyFont="1" applyBorder="1" applyAlignment="1">
      <alignment horizontal="center"/>
    </xf>
    <xf numFmtId="0" fontId="18" fillId="0" borderId="24" xfId="57" applyFont="1" applyBorder="1" applyAlignment="1">
      <alignment horizontal="center"/>
      <protection/>
    </xf>
    <xf numFmtId="0" fontId="18" fillId="0" borderId="69" xfId="57" applyFont="1" applyBorder="1" applyAlignment="1">
      <alignment horizontal="center"/>
      <protection/>
    </xf>
    <xf numFmtId="0" fontId="18" fillId="0" borderId="32" xfId="57" applyFont="1" applyBorder="1" applyAlignment="1">
      <alignment horizontal="center"/>
      <protection/>
    </xf>
    <xf numFmtId="0" fontId="18" fillId="0" borderId="69" xfId="57" applyFont="1" applyBorder="1" applyAlignment="1">
      <alignment horizont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0" fontId="18" fillId="0" borderId="71" xfId="57" applyFont="1" applyBorder="1" applyAlignment="1">
      <alignment horizontal="center" vertical="center" wrapText="1"/>
      <protection/>
    </xf>
    <xf numFmtId="0" fontId="18" fillId="0" borderId="58" xfId="57" applyFont="1" applyBorder="1" applyAlignment="1">
      <alignment horizontal="center" vertical="center" wrapText="1"/>
      <protection/>
    </xf>
    <xf numFmtId="0" fontId="18" fillId="0" borderId="59" xfId="57" applyFont="1" applyBorder="1" applyAlignment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  <protection/>
    </xf>
    <xf numFmtId="0" fontId="21" fillId="0" borderId="11" xfId="61" applyFont="1" applyBorder="1" applyAlignment="1">
      <alignment horizontal="center" vertical="center" wrapText="1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18" fillId="0" borderId="10" xfId="62" applyFont="1" applyBorder="1" applyAlignment="1">
      <alignment horizontal="center" vertical="center" wrapText="1"/>
      <protection/>
    </xf>
    <xf numFmtId="0" fontId="18" fillId="0" borderId="11" xfId="62" applyFont="1" applyBorder="1" applyAlignment="1">
      <alignment horizontal="center" vertical="center" wrapText="1"/>
      <protection/>
    </xf>
    <xf numFmtId="0" fontId="18" fillId="0" borderId="40" xfId="62" applyFont="1" applyBorder="1" applyAlignment="1">
      <alignment horizontal="center" vertical="center"/>
      <protection/>
    </xf>
    <xf numFmtId="0" fontId="18" fillId="0" borderId="44" xfId="62" applyFont="1" applyBorder="1" applyAlignment="1">
      <alignment horizontal="center" vertical="center"/>
      <protection/>
    </xf>
    <xf numFmtId="0" fontId="18" fillId="0" borderId="44" xfId="57" applyFont="1" applyBorder="1" applyAlignment="1">
      <alignment horizontal="center" vertical="center" wrapText="1"/>
      <protection/>
    </xf>
    <xf numFmtId="0" fontId="18" fillId="0" borderId="23" xfId="57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/>
      <protection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1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0" xfId="56" applyFont="1" applyAlignment="1">
      <alignment horizontal="right"/>
      <protection/>
    </xf>
    <xf numFmtId="0" fontId="8" fillId="0" borderId="0" xfId="56" applyFont="1" applyAlignment="1">
      <alignment horizontal="left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7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9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62" applyFont="1" applyBorder="1" applyAlignment="1">
      <alignment/>
      <protection/>
    </xf>
    <xf numFmtId="0" fontId="14" fillId="0" borderId="10" xfId="64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4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0" xfId="64" applyFont="1" applyAlignment="1">
      <alignment horizontal="center"/>
      <protection/>
    </xf>
    <xf numFmtId="0" fontId="19" fillId="0" borderId="0" xfId="64" applyFont="1" applyAlignment="1">
      <alignment horizontal="center"/>
      <protection/>
    </xf>
    <xf numFmtId="0" fontId="16" fillId="0" borderId="0" xfId="56" applyFont="1" applyAlignment="1">
      <alignment horizontal="right"/>
      <protection/>
    </xf>
    <xf numFmtId="0" fontId="14" fillId="0" borderId="0" xfId="63" applyFont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34" fillId="0" borderId="0" xfId="62" applyFont="1" applyAlignment="1">
      <alignment horizontal="left" wrapText="1"/>
      <protection/>
    </xf>
    <xf numFmtId="0" fontId="5" fillId="0" borderId="0" xfId="62" applyFont="1" applyAlignment="1">
      <alignment horizontal="left" wrapText="1"/>
      <protection/>
    </xf>
    <xf numFmtId="0" fontId="5" fillId="0" borderId="0" xfId="62" applyFont="1" applyAlignment="1">
      <alignment wrapText="1"/>
      <protection/>
    </xf>
    <xf numFmtId="0" fontId="35" fillId="0" borderId="0" xfId="62" applyFont="1" applyBorder="1" applyAlignment="1">
      <alignment horizontal="left" wrapText="1"/>
      <protection/>
    </xf>
    <xf numFmtId="0" fontId="14" fillId="0" borderId="10" xfId="63" applyFont="1" applyBorder="1" applyAlignment="1">
      <alignment horizontal="center" vertical="center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16" fillId="0" borderId="0" xfId="57" applyFont="1" applyAlignment="1">
      <alignment horizontal="right"/>
      <protection/>
    </xf>
    <xf numFmtId="0" fontId="14" fillId="0" borderId="0" xfId="57" applyFont="1" applyAlignment="1">
      <alignment horizontal="center"/>
      <protection/>
    </xf>
    <xf numFmtId="0" fontId="14" fillId="0" borderId="0" xfId="58" applyFont="1" applyBorder="1" applyAlignment="1">
      <alignment horizontal="center"/>
      <protection/>
    </xf>
    <xf numFmtId="0" fontId="17" fillId="0" borderId="0" xfId="57" applyFont="1" applyAlignment="1">
      <alignment horizontal="right"/>
      <protection/>
    </xf>
    <xf numFmtId="0" fontId="14" fillId="0" borderId="70" xfId="57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2014. évi költségvetés- mellékletek-1" xfId="63"/>
    <cellStyle name="Normál_PHKV99_P.2015. évi költségvetés - mellékletek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34">
      <selection activeCell="P47" sqref="P47:S47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35"/>
      <c r="O38" s="35"/>
      <c r="P38" s="35"/>
      <c r="Q38" s="35"/>
      <c r="R38" s="35"/>
      <c r="S38" s="35"/>
      <c r="T38" s="35"/>
      <c r="U38" s="35"/>
    </row>
    <row r="39" spans="9:21" ht="27.75">
      <c r="I39" s="5"/>
      <c r="J39" s="2"/>
      <c r="N39" s="366" t="s">
        <v>5</v>
      </c>
      <c r="O39" s="366"/>
      <c r="P39" s="366"/>
      <c r="Q39" s="366"/>
      <c r="R39" s="366"/>
      <c r="S39" s="366"/>
      <c r="T39" s="366"/>
      <c r="U39" s="366"/>
    </row>
    <row r="40" spans="9:21" ht="2.25" customHeight="1">
      <c r="I40" s="3"/>
      <c r="J40" s="2"/>
      <c r="N40" s="35"/>
      <c r="O40" s="36"/>
      <c r="P40" s="37"/>
      <c r="Q40" s="37"/>
      <c r="R40" s="37"/>
      <c r="S40" s="37"/>
      <c r="T40" s="37"/>
      <c r="U40" s="37"/>
    </row>
    <row r="41" spans="9:21" ht="27.75">
      <c r="I41" s="4"/>
      <c r="J41" s="2"/>
      <c r="N41" s="366" t="s">
        <v>233</v>
      </c>
      <c r="O41" s="366"/>
      <c r="P41" s="366"/>
      <c r="Q41" s="366"/>
      <c r="R41" s="366"/>
      <c r="S41" s="366"/>
      <c r="T41" s="366"/>
      <c r="U41" s="366"/>
    </row>
    <row r="42" spans="9:21" ht="12.75" customHeight="1" hidden="1">
      <c r="I42" s="3"/>
      <c r="J42" s="2"/>
      <c r="N42" s="35"/>
      <c r="O42" s="36"/>
      <c r="P42" s="37"/>
      <c r="Q42" s="37"/>
      <c r="R42" s="37"/>
      <c r="S42" s="37"/>
      <c r="T42" s="37"/>
      <c r="U42" s="37"/>
    </row>
    <row r="43" spans="9:21" ht="27.75">
      <c r="I43" s="4"/>
      <c r="J43" s="2"/>
      <c r="N43" s="366" t="s">
        <v>350</v>
      </c>
      <c r="O43" s="366"/>
      <c r="P43" s="366"/>
      <c r="Q43" s="366"/>
      <c r="R43" s="366"/>
      <c r="S43" s="366"/>
      <c r="T43" s="366"/>
      <c r="U43" s="366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4"/>
      <c r="O44" s="34"/>
      <c r="P44" s="34"/>
      <c r="Q44" s="34"/>
      <c r="R44" s="34"/>
      <c r="S44" s="34"/>
      <c r="T44" s="34"/>
      <c r="U44" s="34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34"/>
      <c r="O45" s="367" t="s">
        <v>406</v>
      </c>
      <c r="P45" s="367"/>
      <c r="Q45" s="367"/>
      <c r="R45" s="367"/>
      <c r="S45" s="367"/>
      <c r="T45" s="367"/>
      <c r="U45" s="34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9" ht="27.75">
      <c r="A47" s="6"/>
      <c r="B47" s="7"/>
      <c r="C47" s="2"/>
      <c r="D47" s="2"/>
      <c r="E47" s="2"/>
      <c r="F47" s="2"/>
      <c r="G47" s="2"/>
      <c r="H47" s="2"/>
      <c r="I47" s="2"/>
      <c r="J47" s="2"/>
      <c r="P47" s="368"/>
      <c r="Q47" s="368"/>
      <c r="R47" s="368"/>
      <c r="S47" s="368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N39:U39"/>
    <mergeCell ref="N41:U41"/>
    <mergeCell ref="N43:U43"/>
    <mergeCell ref="O45:T45"/>
    <mergeCell ref="P47:S4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3.00390625" style="0" customWidth="1"/>
    <col min="2" max="2" width="19.625" style="0" customWidth="1"/>
  </cols>
  <sheetData>
    <row r="1" spans="1:2" ht="15.75">
      <c r="A1" s="496" t="s">
        <v>420</v>
      </c>
      <c r="B1" s="496"/>
    </row>
    <row r="7" spans="1:2" ht="12.75">
      <c r="A7" s="505"/>
      <c r="B7" s="506"/>
    </row>
    <row r="8" spans="1:2" ht="15.75">
      <c r="A8" s="497" t="s">
        <v>17</v>
      </c>
      <c r="B8" s="497"/>
    </row>
    <row r="9" spans="1:2" ht="15.75">
      <c r="A9" s="468" t="s">
        <v>390</v>
      </c>
      <c r="B9" s="468"/>
    </row>
    <row r="10" spans="1:2" ht="17.25" thickBot="1">
      <c r="A10" s="493" t="s">
        <v>235</v>
      </c>
      <c r="B10" s="493"/>
    </row>
    <row r="11" spans="1:2" ht="12.75">
      <c r="A11" s="503" t="s">
        <v>6</v>
      </c>
      <c r="B11" s="504" t="s">
        <v>357</v>
      </c>
    </row>
    <row r="12" spans="1:2" ht="12.75">
      <c r="A12" s="488"/>
      <c r="B12" s="491"/>
    </row>
    <row r="13" spans="1:2" ht="13.5" thickBot="1">
      <c r="A13" s="489"/>
      <c r="B13" s="492"/>
    </row>
    <row r="14" spans="1:2" ht="16.5">
      <c r="A14" s="502" t="s">
        <v>391</v>
      </c>
      <c r="B14" s="502"/>
    </row>
    <row r="15" spans="1:2" ht="16.5">
      <c r="A15" s="294"/>
      <c r="B15" s="294"/>
    </row>
    <row r="16" spans="1:2" ht="16.5">
      <c r="A16" s="303" t="s">
        <v>392</v>
      </c>
      <c r="B16" s="284"/>
    </row>
    <row r="17" spans="1:2" ht="16.5">
      <c r="A17" s="284" t="s">
        <v>393</v>
      </c>
      <c r="B17" s="361">
        <v>869</v>
      </c>
    </row>
    <row r="18" spans="1:2" ht="16.5">
      <c r="A18" s="21" t="s">
        <v>376</v>
      </c>
      <c r="B18" s="363">
        <v>235</v>
      </c>
    </row>
    <row r="19" spans="1:2" ht="16.5">
      <c r="A19" s="284"/>
      <c r="B19" s="361"/>
    </row>
    <row r="20" spans="1:2" ht="16.5">
      <c r="A20" s="320" t="s">
        <v>402</v>
      </c>
      <c r="B20" s="362">
        <f>SUM(B17:B19)</f>
        <v>1104</v>
      </c>
    </row>
    <row r="21" spans="1:2" ht="16.5">
      <c r="A21" s="319"/>
      <c r="B21" s="352"/>
    </row>
  </sheetData>
  <sheetProtection/>
  <mergeCells count="8">
    <mergeCell ref="A14:B14"/>
    <mergeCell ref="A7:B7"/>
    <mergeCell ref="A1:B1"/>
    <mergeCell ref="A8:B8"/>
    <mergeCell ref="A9:B9"/>
    <mergeCell ref="A10:B10"/>
    <mergeCell ref="A11:A13"/>
    <mergeCell ref="B11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1" spans="1:4" ht="15.75">
      <c r="A1" s="510" t="s">
        <v>421</v>
      </c>
      <c r="B1" s="510"/>
      <c r="C1" s="510"/>
      <c r="D1" s="174"/>
    </row>
    <row r="2" spans="1:3" ht="15.75">
      <c r="A2" s="47"/>
      <c r="B2" s="47"/>
      <c r="C2" s="48"/>
    </row>
    <row r="3" spans="1:3" ht="15.75">
      <c r="A3" s="514" t="s">
        <v>364</v>
      </c>
      <c r="B3" s="407"/>
      <c r="C3" s="407"/>
    </row>
    <row r="4" spans="1:3" ht="15.75">
      <c r="A4" s="49"/>
      <c r="B4" s="49"/>
      <c r="C4" s="50"/>
    </row>
    <row r="5" spans="1:3" ht="7.5" customHeight="1">
      <c r="A5" s="507"/>
      <c r="B5" s="507"/>
      <c r="C5" s="507"/>
    </row>
    <row r="6" spans="1:3" ht="15.75">
      <c r="A6" s="508"/>
      <c r="B6" s="508"/>
      <c r="C6" s="508"/>
    </row>
    <row r="7" spans="1:3" ht="3" customHeight="1">
      <c r="A7" s="52"/>
      <c r="B7" s="83"/>
      <c r="C7" s="83"/>
    </row>
    <row r="8" spans="1:3" ht="6.75" customHeight="1">
      <c r="A8" s="52"/>
      <c r="B8" s="83"/>
      <c r="C8" s="83"/>
    </row>
    <row r="9" spans="1:3" ht="15.75">
      <c r="A9" s="508" t="s">
        <v>17</v>
      </c>
      <c r="B9" s="508"/>
      <c r="C9" s="508"/>
    </row>
    <row r="10" spans="1:3" ht="15.75">
      <c r="A10" s="508" t="s">
        <v>58</v>
      </c>
      <c r="B10" s="508"/>
      <c r="C10" s="508"/>
    </row>
    <row r="11" spans="1:3" ht="15.75">
      <c r="A11" s="508" t="s">
        <v>59</v>
      </c>
      <c r="B11" s="508"/>
      <c r="C11" s="508"/>
    </row>
    <row r="12" spans="1:3" ht="15.75">
      <c r="A12" s="508" t="s">
        <v>235</v>
      </c>
      <c r="B12" s="508"/>
      <c r="C12" s="508"/>
    </row>
    <row r="13" spans="1:3" ht="16.5" thickBot="1">
      <c r="A13" s="49"/>
      <c r="B13" s="49"/>
      <c r="C13" s="50"/>
    </row>
    <row r="14" spans="1:3" ht="15.75">
      <c r="A14" s="53" t="s">
        <v>30</v>
      </c>
      <c r="B14" s="54"/>
      <c r="C14" s="55" t="s">
        <v>2</v>
      </c>
    </row>
    <row r="15" spans="1:3" ht="15.75">
      <c r="A15" s="56"/>
      <c r="B15" s="57" t="s">
        <v>6</v>
      </c>
      <c r="C15" s="58"/>
    </row>
    <row r="16" spans="1:3" ht="16.5" thickBot="1">
      <c r="A16" s="59" t="s">
        <v>31</v>
      </c>
      <c r="B16" s="60"/>
      <c r="C16" s="61" t="s">
        <v>60</v>
      </c>
    </row>
    <row r="17" spans="1:3" ht="20.25" customHeight="1">
      <c r="A17" s="511" t="s">
        <v>61</v>
      </c>
      <c r="B17" s="511"/>
      <c r="C17" s="511"/>
    </row>
    <row r="18" spans="1:3" ht="22.5" customHeight="1">
      <c r="A18" s="62" t="s">
        <v>32</v>
      </c>
      <c r="B18" s="63" t="s">
        <v>62</v>
      </c>
      <c r="C18" s="64"/>
    </row>
    <row r="19" spans="1:3" ht="22.5" customHeight="1">
      <c r="A19" s="62"/>
      <c r="B19" s="17" t="s">
        <v>63</v>
      </c>
      <c r="C19" s="64">
        <f>Bevételek!H45</f>
        <v>9562</v>
      </c>
    </row>
    <row r="20" spans="1:3" ht="22.5" customHeight="1">
      <c r="A20" s="62"/>
      <c r="B20" s="18" t="s">
        <v>64</v>
      </c>
      <c r="C20" s="64">
        <f>Bevételek!H50</f>
        <v>1653</v>
      </c>
    </row>
    <row r="21" spans="1:3" ht="22.5" customHeight="1">
      <c r="A21" s="62" t="s">
        <v>33</v>
      </c>
      <c r="B21" s="63" t="s">
        <v>65</v>
      </c>
      <c r="C21" s="64">
        <f>Bevételek!H70</f>
        <v>1330</v>
      </c>
    </row>
    <row r="22" spans="1:3" ht="22.5" customHeight="1">
      <c r="A22" s="62" t="s">
        <v>34</v>
      </c>
      <c r="B22" s="63" t="s">
        <v>66</v>
      </c>
      <c r="C22" s="64">
        <f>Bevételek!H77</f>
        <v>993</v>
      </c>
    </row>
    <row r="23" spans="1:3" ht="22.5" customHeight="1">
      <c r="A23" s="62" t="s">
        <v>35</v>
      </c>
      <c r="B23" s="65" t="s">
        <v>38</v>
      </c>
      <c r="C23" s="64"/>
    </row>
    <row r="24" spans="1:3" ht="32.25" customHeight="1">
      <c r="A24" s="62"/>
      <c r="B24" s="18" t="s">
        <v>67</v>
      </c>
      <c r="C24" s="64"/>
    </row>
    <row r="25" spans="1:3" ht="22.5" customHeight="1">
      <c r="A25" s="62"/>
      <c r="B25" s="17" t="s">
        <v>68</v>
      </c>
      <c r="C25" s="64"/>
    </row>
    <row r="26" spans="1:3" ht="28.5" customHeight="1">
      <c r="A26" s="84"/>
      <c r="B26" s="85" t="s">
        <v>69</v>
      </c>
      <c r="C26" s="79">
        <f>SUM(C19:C25)</f>
        <v>13538</v>
      </c>
    </row>
    <row r="27" spans="1:3" ht="22.5" customHeight="1">
      <c r="A27" s="51" t="s">
        <v>36</v>
      </c>
      <c r="B27" s="63" t="s">
        <v>70</v>
      </c>
      <c r="C27" s="30">
        <f>'Korm.funkciók'!D35</f>
        <v>6337</v>
      </c>
    </row>
    <row r="28" spans="1:3" ht="22.5" customHeight="1">
      <c r="A28" s="51" t="s">
        <v>37</v>
      </c>
      <c r="B28" s="63" t="s">
        <v>71</v>
      </c>
      <c r="C28" s="30">
        <f>'Korm.funkciók'!E35</f>
        <v>1628</v>
      </c>
    </row>
    <row r="29" spans="1:3" ht="22.5" customHeight="1">
      <c r="A29" s="51" t="s">
        <v>39</v>
      </c>
      <c r="B29" s="69" t="s">
        <v>72</v>
      </c>
      <c r="C29" s="30">
        <f>'Korm.funkciók'!F35</f>
        <v>4231</v>
      </c>
    </row>
    <row r="30" spans="1:3" ht="22.5" customHeight="1">
      <c r="A30" s="51" t="s">
        <v>40</v>
      </c>
      <c r="B30" s="69" t="s">
        <v>73</v>
      </c>
      <c r="C30" s="30">
        <f>'Korm.funkciók'!G35</f>
        <v>1527</v>
      </c>
    </row>
    <row r="31" spans="1:3" ht="22.5" customHeight="1">
      <c r="A31" s="51" t="s">
        <v>41</v>
      </c>
      <c r="B31" s="69" t="s">
        <v>74</v>
      </c>
      <c r="C31" s="30"/>
    </row>
    <row r="32" spans="1:3" ht="22.5" customHeight="1">
      <c r="A32" s="51"/>
      <c r="B32" s="69" t="s">
        <v>75</v>
      </c>
      <c r="C32" s="30">
        <f>29+1+1</f>
        <v>31</v>
      </c>
    </row>
    <row r="33" spans="1:3" ht="29.25" customHeight="1">
      <c r="A33" s="51"/>
      <c r="B33" s="18" t="s">
        <v>76</v>
      </c>
      <c r="C33" s="32"/>
    </row>
    <row r="34" spans="1:3" ht="22.5" customHeight="1">
      <c r="A34" s="51"/>
      <c r="B34" s="69" t="s">
        <v>77</v>
      </c>
      <c r="C34" s="32">
        <f>110+30</f>
        <v>140</v>
      </c>
    </row>
    <row r="35" spans="1:3" ht="22.5" customHeight="1">
      <c r="A35" s="51"/>
      <c r="B35" s="69" t="s">
        <v>78</v>
      </c>
      <c r="C35" s="50">
        <v>2785</v>
      </c>
    </row>
    <row r="36" spans="1:3" ht="32.25" customHeight="1">
      <c r="A36" s="84"/>
      <c r="B36" s="85" t="s">
        <v>79</v>
      </c>
      <c r="C36" s="79">
        <f>SUM(C27:C35)</f>
        <v>16679</v>
      </c>
    </row>
    <row r="37" spans="1:3" ht="15.75">
      <c r="A37" s="62"/>
      <c r="B37" s="63"/>
      <c r="C37" s="64"/>
    </row>
    <row r="38" spans="1:3" ht="15.75">
      <c r="A38" s="62"/>
      <c r="B38" s="63"/>
      <c r="C38" s="64"/>
    </row>
    <row r="39" spans="1:3" ht="15.75">
      <c r="A39" s="512">
        <v>2</v>
      </c>
      <c r="B39" s="512"/>
      <c r="C39" s="512"/>
    </row>
    <row r="40" spans="1:3" ht="16.5" thickBot="1">
      <c r="A40" s="62"/>
      <c r="B40" s="63"/>
      <c r="C40" s="64"/>
    </row>
    <row r="41" spans="1:3" ht="15.75">
      <c r="A41" s="53" t="s">
        <v>30</v>
      </c>
      <c r="B41" s="54"/>
      <c r="C41" s="55" t="s">
        <v>2</v>
      </c>
    </row>
    <row r="42" spans="1:3" ht="15.75">
      <c r="A42" s="56"/>
      <c r="B42" s="57" t="s">
        <v>6</v>
      </c>
      <c r="C42" s="58"/>
    </row>
    <row r="43" spans="1:3" ht="16.5" thickBot="1">
      <c r="A43" s="59" t="s">
        <v>31</v>
      </c>
      <c r="B43" s="60"/>
      <c r="C43" s="61" t="s">
        <v>60</v>
      </c>
    </row>
    <row r="44" spans="1:3" ht="15.75">
      <c r="A44" s="513" t="s">
        <v>80</v>
      </c>
      <c r="B44" s="513"/>
      <c r="C44" s="513"/>
    </row>
    <row r="45" spans="1:3" ht="22.5" customHeight="1">
      <c r="A45" s="51" t="s">
        <v>42</v>
      </c>
      <c r="B45" s="70" t="s">
        <v>81</v>
      </c>
      <c r="C45" s="50"/>
    </row>
    <row r="46" spans="1:3" ht="22.5" customHeight="1">
      <c r="A46" s="51"/>
      <c r="B46" s="70" t="s">
        <v>388</v>
      </c>
      <c r="C46" s="50">
        <v>8938</v>
      </c>
    </row>
    <row r="47" spans="1:3" ht="22.5" customHeight="1">
      <c r="A47" s="51" t="s">
        <v>44</v>
      </c>
      <c r="B47" s="70" t="s">
        <v>82</v>
      </c>
      <c r="C47" s="50"/>
    </row>
    <row r="48" spans="1:3" ht="22.5" customHeight="1">
      <c r="A48" s="51" t="s">
        <v>45</v>
      </c>
      <c r="B48" s="65" t="s">
        <v>83</v>
      </c>
      <c r="C48" s="50"/>
    </row>
    <row r="49" spans="1:3" ht="31.5" customHeight="1">
      <c r="A49" s="51"/>
      <c r="B49" s="18" t="s">
        <v>84</v>
      </c>
      <c r="C49" s="50">
        <f>Bevételek!H83</f>
        <v>10640</v>
      </c>
    </row>
    <row r="50" spans="1:3" ht="22.5" customHeight="1">
      <c r="A50" s="51"/>
      <c r="B50" s="17" t="s">
        <v>85</v>
      </c>
      <c r="C50" s="50"/>
    </row>
    <row r="51" spans="1:3" ht="24.75" customHeight="1">
      <c r="A51" s="84"/>
      <c r="B51" s="85" t="s">
        <v>86</v>
      </c>
      <c r="C51" s="79">
        <f>SUM(C45:C50)</f>
        <v>19578</v>
      </c>
    </row>
    <row r="52" spans="1:3" ht="22.5" customHeight="1">
      <c r="A52" s="51" t="s">
        <v>47</v>
      </c>
      <c r="B52" s="70" t="s">
        <v>87</v>
      </c>
      <c r="C52" s="50">
        <f>'Korm.funkciók'!J35</f>
        <v>10478</v>
      </c>
    </row>
    <row r="53" spans="1:3" ht="22.5" customHeight="1">
      <c r="A53" s="51" t="s">
        <v>49</v>
      </c>
      <c r="B53" s="70" t="s">
        <v>88</v>
      </c>
      <c r="C53" s="50">
        <f>'Korm.funkciók'!K35</f>
        <v>1104</v>
      </c>
    </row>
    <row r="54" spans="1:3" ht="22.5" customHeight="1">
      <c r="A54" s="51" t="s">
        <v>50</v>
      </c>
      <c r="B54" s="65" t="s">
        <v>55</v>
      </c>
      <c r="C54" s="50"/>
    </row>
    <row r="55" spans="1:3" ht="33.75" customHeight="1">
      <c r="A55" s="51"/>
      <c r="B55" s="18" t="s">
        <v>89</v>
      </c>
      <c r="C55" s="50">
        <f>2500+100</f>
        <v>2600</v>
      </c>
    </row>
    <row r="56" spans="1:3" ht="22.5" customHeight="1">
      <c r="A56" s="51"/>
      <c r="B56" s="135" t="s">
        <v>347</v>
      </c>
      <c r="C56" s="50">
        <f>6033-360-471+360-166</f>
        <v>5396</v>
      </c>
    </row>
    <row r="57" spans="1:3" ht="22.5" customHeight="1" thickBot="1">
      <c r="A57" s="84"/>
      <c r="B57" s="85" t="s">
        <v>90</v>
      </c>
      <c r="C57" s="79">
        <f>SUM(C52:C56)</f>
        <v>19578</v>
      </c>
    </row>
    <row r="58" spans="1:3" ht="28.5" customHeight="1" thickBot="1">
      <c r="A58" s="71"/>
      <c r="B58" s="72" t="s">
        <v>91</v>
      </c>
      <c r="C58" s="73">
        <f>C26+C51</f>
        <v>33116</v>
      </c>
    </row>
    <row r="59" spans="1:3" ht="27" customHeight="1" thickBot="1">
      <c r="A59" s="71"/>
      <c r="B59" s="72" t="s">
        <v>92</v>
      </c>
      <c r="C59" s="73">
        <f>C36+C57</f>
        <v>36257</v>
      </c>
    </row>
    <row r="60" spans="1:3" ht="15.75">
      <c r="A60" s="74"/>
      <c r="B60" s="75"/>
      <c r="C60" s="76"/>
    </row>
    <row r="61" spans="1:3" ht="15.75">
      <c r="A61" s="509" t="s">
        <v>93</v>
      </c>
      <c r="B61" s="509"/>
      <c r="C61" s="509"/>
    </row>
    <row r="62" spans="1:3" ht="15.75">
      <c r="A62" s="77"/>
      <c r="B62" s="77"/>
      <c r="C62" s="77"/>
    </row>
    <row r="63" spans="1:3" ht="22.5" customHeight="1">
      <c r="A63" s="66" t="s">
        <v>52</v>
      </c>
      <c r="B63" s="78" t="s">
        <v>94</v>
      </c>
      <c r="C63" s="68">
        <f>405+166+2933</f>
        <v>3504</v>
      </c>
    </row>
    <row r="64" spans="1:3" ht="22.5" customHeight="1">
      <c r="A64" s="66"/>
      <c r="B64" s="78" t="s">
        <v>409</v>
      </c>
      <c r="C64" s="68">
        <v>942</v>
      </c>
    </row>
    <row r="65" spans="1:3" ht="22.5" customHeight="1">
      <c r="A65" s="66"/>
      <c r="B65" s="85" t="s">
        <v>95</v>
      </c>
      <c r="C65" s="79">
        <f>C63+C64</f>
        <v>4446</v>
      </c>
    </row>
    <row r="66" spans="1:3" ht="22.5" customHeight="1">
      <c r="A66" s="62" t="s">
        <v>54</v>
      </c>
      <c r="B66" s="78" t="s">
        <v>96</v>
      </c>
      <c r="C66" s="68">
        <v>0</v>
      </c>
    </row>
    <row r="67" spans="1:3" ht="22.5" customHeight="1">
      <c r="A67" s="51" t="s">
        <v>56</v>
      </c>
      <c r="B67" s="78" t="s">
        <v>97</v>
      </c>
      <c r="C67" s="68">
        <v>0</v>
      </c>
    </row>
    <row r="68" spans="1:3" ht="22.5" customHeight="1">
      <c r="A68" s="51" t="s">
        <v>323</v>
      </c>
      <c r="B68" s="78" t="s">
        <v>383</v>
      </c>
      <c r="C68" s="68">
        <f>363+942</f>
        <v>1305</v>
      </c>
    </row>
    <row r="69" spans="1:3" ht="22.5" customHeight="1" thickBot="1">
      <c r="A69" s="66"/>
      <c r="B69" s="67" t="s">
        <v>98</v>
      </c>
      <c r="C69" s="68">
        <f>SUM(C66:C68)</f>
        <v>1305</v>
      </c>
    </row>
    <row r="70" spans="1:3" ht="24.75" customHeight="1" thickBot="1">
      <c r="A70" s="80"/>
      <c r="B70" s="81" t="s">
        <v>99</v>
      </c>
      <c r="C70" s="82">
        <f>C58+C65</f>
        <v>37562</v>
      </c>
    </row>
    <row r="71" spans="1:3" ht="27" customHeight="1" thickBot="1">
      <c r="A71" s="80"/>
      <c r="B71" s="81" t="s">
        <v>100</v>
      </c>
      <c r="C71" s="82">
        <f>C59+C69</f>
        <v>37562</v>
      </c>
    </row>
    <row r="72" spans="1:3" ht="15.75">
      <c r="A72" s="49"/>
      <c r="B72" s="49"/>
      <c r="C72" s="50" t="s">
        <v>354</v>
      </c>
    </row>
    <row r="73" spans="1:3" ht="15.75">
      <c r="A73" s="17"/>
      <c r="B73" s="17"/>
      <c r="C73" s="17"/>
    </row>
    <row r="74" spans="1:3" ht="15.75">
      <c r="A74" s="17"/>
      <c r="B74" s="17"/>
      <c r="C74" s="17"/>
    </row>
    <row r="75" spans="1:3" ht="15.75">
      <c r="A75" s="17"/>
      <c r="B75" s="17"/>
      <c r="C75" s="17"/>
    </row>
    <row r="76" spans="1:3" ht="15.75">
      <c r="A76" s="17"/>
      <c r="B76" s="17"/>
      <c r="C76" s="17"/>
    </row>
    <row r="77" spans="1:3" ht="15.75">
      <c r="A77" s="17"/>
      <c r="B77" s="17"/>
      <c r="C77" s="17"/>
    </row>
    <row r="78" spans="1:3" ht="15.75">
      <c r="A78" s="17"/>
      <c r="B78" s="17"/>
      <c r="C78" s="17"/>
    </row>
    <row r="79" spans="1:3" ht="15.75">
      <c r="A79" s="17"/>
      <c r="B79" s="17"/>
      <c r="C79" s="17"/>
    </row>
    <row r="80" spans="1:3" ht="15.75">
      <c r="A80" s="17"/>
      <c r="B80" s="17"/>
      <c r="C80" s="17"/>
    </row>
    <row r="81" spans="1:3" ht="15.75">
      <c r="A81" s="17"/>
      <c r="B81" s="17"/>
      <c r="C81" s="17"/>
    </row>
    <row r="82" spans="1:3" ht="15.75">
      <c r="A82" s="17"/>
      <c r="B82" s="17"/>
      <c r="C82" s="17"/>
    </row>
    <row r="83" spans="1:3" ht="15.75">
      <c r="A83" s="17"/>
      <c r="B83" s="17"/>
      <c r="C83" s="17"/>
    </row>
    <row r="84" spans="1:3" ht="15.75">
      <c r="A84" s="17"/>
      <c r="B84" s="17"/>
      <c r="C84" s="17"/>
    </row>
    <row r="85" spans="1:3" ht="15.75">
      <c r="A85" s="17"/>
      <c r="B85" s="17"/>
      <c r="C85" s="17"/>
    </row>
    <row r="86" spans="1:3" ht="15.75">
      <c r="A86" s="17"/>
      <c r="B86" s="17"/>
      <c r="C86" s="17"/>
    </row>
    <row r="87" spans="1:3" ht="15.75">
      <c r="A87" s="17"/>
      <c r="B87" s="17"/>
      <c r="C87" s="17"/>
    </row>
    <row r="88" spans="1:3" ht="15.75">
      <c r="A88" s="17"/>
      <c r="B88" s="17"/>
      <c r="C88" s="17"/>
    </row>
  </sheetData>
  <sheetProtection/>
  <mergeCells count="12">
    <mergeCell ref="A1:C1"/>
    <mergeCell ref="A17:C17"/>
    <mergeCell ref="A39:C39"/>
    <mergeCell ref="A44:C44"/>
    <mergeCell ref="A3:C3"/>
    <mergeCell ref="A5:C5"/>
    <mergeCell ref="A6:C6"/>
    <mergeCell ref="A61:C61"/>
    <mergeCell ref="A9:C9"/>
    <mergeCell ref="A10:C10"/>
    <mergeCell ref="A11:C11"/>
    <mergeCell ref="A12:C12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zoomScalePageLayoutView="0" workbookViewId="0" topLeftCell="A1">
      <selection activeCell="H1" sqref="H1:O1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1.375" style="0" customWidth="1"/>
    <col min="4" max="4" width="10.00390625" style="0" bestFit="1" customWidth="1"/>
    <col min="12" max="12" width="10.00390625" style="0" bestFit="1" customWidth="1"/>
    <col min="15" max="15" width="12.00390625" style="0" customWidth="1"/>
  </cols>
  <sheetData>
    <row r="1" spans="8:15" ht="12.75">
      <c r="H1" s="370" t="s">
        <v>422</v>
      </c>
      <c r="I1" s="370"/>
      <c r="J1" s="370"/>
      <c r="K1" s="370"/>
      <c r="L1" s="370"/>
      <c r="M1" s="370"/>
      <c r="N1" s="370"/>
      <c r="O1" s="370"/>
    </row>
    <row r="2" spans="1:15" ht="12.75">
      <c r="A2" s="516" t="s">
        <v>368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1:15" ht="6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</row>
    <row r="4" spans="1:15" ht="12.75" customHeight="1" hidden="1">
      <c r="A4" s="517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1:15" ht="12.75">
      <c r="A5" s="1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</row>
    <row r="6" spans="1:15" ht="12.75">
      <c r="A6" s="1"/>
      <c r="B6" s="515" t="s">
        <v>17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</row>
    <row r="7" spans="1:15" ht="12.75">
      <c r="A7" s="1"/>
      <c r="B7" s="515" t="s">
        <v>344</v>
      </c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</row>
    <row r="8" spans="1:15" ht="13.5" thickBot="1">
      <c r="A8" s="1"/>
      <c r="B8" s="1"/>
      <c r="C8" s="216"/>
      <c r="D8" s="216"/>
      <c r="E8" s="216"/>
      <c r="F8" s="217"/>
      <c r="G8" s="216"/>
      <c r="H8" s="216"/>
      <c r="I8" s="216"/>
      <c r="J8" s="216"/>
      <c r="K8" s="218"/>
      <c r="L8" s="218"/>
      <c r="M8" s="218"/>
      <c r="N8" s="218"/>
      <c r="O8" s="175" t="s">
        <v>288</v>
      </c>
    </row>
    <row r="9" spans="1:15" ht="12.75">
      <c r="A9" s="219" t="s">
        <v>30</v>
      </c>
      <c r="B9" s="220"/>
      <c r="C9" s="221"/>
      <c r="D9" s="222"/>
      <c r="E9" s="223"/>
      <c r="F9" s="224"/>
      <c r="G9" s="224"/>
      <c r="H9" s="224"/>
      <c r="I9" s="224"/>
      <c r="J9" s="224"/>
      <c r="K9" s="225"/>
      <c r="L9" s="225"/>
      <c r="M9" s="225"/>
      <c r="N9" s="226"/>
      <c r="O9" s="227"/>
    </row>
    <row r="10" spans="1:15" ht="12.75">
      <c r="A10" s="228"/>
      <c r="B10" s="229" t="s">
        <v>6</v>
      </c>
      <c r="C10" s="230" t="s">
        <v>289</v>
      </c>
      <c r="D10" s="231" t="s">
        <v>290</v>
      </c>
      <c r="E10" s="232" t="s">
        <v>291</v>
      </c>
      <c r="F10" s="233" t="s">
        <v>292</v>
      </c>
      <c r="G10" s="233" t="s">
        <v>293</v>
      </c>
      <c r="H10" s="233" t="s">
        <v>294</v>
      </c>
      <c r="I10" s="233" t="s">
        <v>295</v>
      </c>
      <c r="J10" s="233" t="s">
        <v>296</v>
      </c>
      <c r="K10" s="233" t="s">
        <v>297</v>
      </c>
      <c r="L10" s="233" t="s">
        <v>298</v>
      </c>
      <c r="M10" s="233" t="s">
        <v>299</v>
      </c>
      <c r="N10" s="232" t="s">
        <v>300</v>
      </c>
      <c r="O10" s="234" t="s">
        <v>301</v>
      </c>
    </row>
    <row r="11" spans="1:15" ht="13.5" thickBot="1">
      <c r="A11" s="235" t="s">
        <v>31</v>
      </c>
      <c r="B11" s="236"/>
      <c r="C11" s="237"/>
      <c r="D11" s="238"/>
      <c r="E11" s="239"/>
      <c r="F11" s="240"/>
      <c r="G11" s="240"/>
      <c r="H11" s="240"/>
      <c r="I11" s="240"/>
      <c r="J11" s="240"/>
      <c r="K11" s="240"/>
      <c r="L11" s="240"/>
      <c r="M11" s="240"/>
      <c r="N11" s="239"/>
      <c r="O11" s="237"/>
    </row>
    <row r="12" spans="1:15" ht="12.75">
      <c r="A12" s="241"/>
      <c r="B12" s="242" t="s">
        <v>302</v>
      </c>
      <c r="C12" s="243"/>
      <c r="D12" s="244"/>
      <c r="E12" s="245"/>
      <c r="F12" s="243"/>
      <c r="G12" s="243"/>
      <c r="H12" s="243"/>
      <c r="I12" s="243"/>
      <c r="J12" s="243"/>
      <c r="K12" s="243"/>
      <c r="L12" s="243"/>
      <c r="M12" s="243"/>
      <c r="N12" s="245"/>
      <c r="O12" s="246"/>
    </row>
    <row r="13" spans="1:15" ht="25.5">
      <c r="A13" s="247" t="s">
        <v>32</v>
      </c>
      <c r="B13" s="248" t="s">
        <v>303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</row>
    <row r="14" spans="1:15" ht="25.5">
      <c r="A14" s="247"/>
      <c r="B14" s="248" t="s">
        <v>304</v>
      </c>
      <c r="C14" s="249">
        <v>1109</v>
      </c>
      <c r="D14" s="249">
        <v>737</v>
      </c>
      <c r="E14" s="249">
        <v>737</v>
      </c>
      <c r="F14" s="249">
        <v>737</v>
      </c>
      <c r="G14" s="249">
        <f>737+59</f>
        <v>796</v>
      </c>
      <c r="H14" s="249">
        <v>737</v>
      </c>
      <c r="I14" s="249">
        <v>737</v>
      </c>
      <c r="J14" s="249">
        <f>737+1689-1441</f>
        <v>985</v>
      </c>
      <c r="K14" s="249">
        <f>737+35</f>
        <v>772</v>
      </c>
      <c r="L14" s="249">
        <f>737+4</f>
        <v>741</v>
      </c>
      <c r="M14" s="249">
        <v>737</v>
      </c>
      <c r="N14" s="249">
        <v>737</v>
      </c>
      <c r="O14" s="250">
        <f>SUM(C14:N14)</f>
        <v>9562</v>
      </c>
    </row>
    <row r="15" spans="1:15" ht="25.5">
      <c r="A15" s="247"/>
      <c r="B15" s="251" t="s">
        <v>305</v>
      </c>
      <c r="C15" s="249"/>
      <c r="D15" s="249"/>
      <c r="E15" s="249"/>
      <c r="F15" s="249"/>
      <c r="G15" s="249">
        <v>584</v>
      </c>
      <c r="H15" s="249"/>
      <c r="I15" s="249"/>
      <c r="J15" s="249">
        <v>8</v>
      </c>
      <c r="K15" s="249">
        <v>400</v>
      </c>
      <c r="L15" s="249">
        <f>333</f>
        <v>333</v>
      </c>
      <c r="M15" s="249">
        <v>9</v>
      </c>
      <c r="N15" s="249"/>
      <c r="O15" s="250">
        <f>SUM(C15:N15)+319</f>
        <v>1653</v>
      </c>
    </row>
    <row r="16" spans="1:15" ht="25.5">
      <c r="A16" s="247" t="s">
        <v>33</v>
      </c>
      <c r="B16" s="251" t="s">
        <v>306</v>
      </c>
      <c r="C16" s="249"/>
      <c r="D16" s="249"/>
      <c r="E16" s="249"/>
      <c r="F16" s="249"/>
      <c r="G16" s="249"/>
      <c r="H16" s="249"/>
      <c r="I16" s="249"/>
      <c r="J16" s="249"/>
      <c r="K16" s="249">
        <v>938</v>
      </c>
      <c r="L16" s="249">
        <v>8000</v>
      </c>
      <c r="M16" s="249"/>
      <c r="N16" s="249"/>
      <c r="O16" s="250">
        <f aca="true" t="shared" si="0" ref="O16:O27">SUM(C16:N16)</f>
        <v>8938</v>
      </c>
    </row>
    <row r="17" spans="1:15" ht="12.75">
      <c r="A17" s="247" t="s">
        <v>34</v>
      </c>
      <c r="B17" s="251" t="s">
        <v>307</v>
      </c>
      <c r="C17" s="252"/>
      <c r="D17" s="252">
        <v>30</v>
      </c>
      <c r="E17" s="252">
        <v>510</v>
      </c>
      <c r="F17" s="252">
        <v>40</v>
      </c>
      <c r="G17" s="252">
        <v>40</v>
      </c>
      <c r="H17" s="252">
        <v>40</v>
      </c>
      <c r="I17" s="252">
        <v>50</v>
      </c>
      <c r="J17" s="252">
        <v>100</v>
      </c>
      <c r="K17" s="252">
        <v>300</v>
      </c>
      <c r="L17" s="252">
        <v>90</v>
      </c>
      <c r="M17" s="252">
        <v>50</v>
      </c>
      <c r="N17" s="252">
        <v>80</v>
      </c>
      <c r="O17" s="250">
        <f t="shared" si="0"/>
        <v>1330</v>
      </c>
    </row>
    <row r="18" spans="1:15" ht="12.75">
      <c r="A18" s="247" t="s">
        <v>35</v>
      </c>
      <c r="B18" s="253" t="s">
        <v>308</v>
      </c>
      <c r="C18" s="252">
        <v>30</v>
      </c>
      <c r="D18" s="252">
        <v>30</v>
      </c>
      <c r="E18" s="252">
        <v>30</v>
      </c>
      <c r="F18" s="252">
        <v>30</v>
      </c>
      <c r="G18" s="252">
        <v>608</v>
      </c>
      <c r="H18" s="252">
        <v>30</v>
      </c>
      <c r="I18" s="252">
        <v>30</v>
      </c>
      <c r="J18" s="252">
        <v>30</v>
      </c>
      <c r="K18" s="252">
        <v>30</v>
      </c>
      <c r="L18" s="252">
        <v>30</v>
      </c>
      <c r="M18" s="252">
        <v>30</v>
      </c>
      <c r="N18" s="252">
        <v>32</v>
      </c>
      <c r="O18" s="250">
        <f>SUM(C18:N18)+53</f>
        <v>993</v>
      </c>
    </row>
    <row r="19" spans="1:15" ht="12.75">
      <c r="A19" s="247" t="s">
        <v>36</v>
      </c>
      <c r="B19" s="253" t="s">
        <v>309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0">
        <f t="shared" si="0"/>
        <v>0</v>
      </c>
    </row>
    <row r="20" spans="1:15" ht="12.75">
      <c r="A20" s="247" t="s">
        <v>37</v>
      </c>
      <c r="B20" s="253" t="s">
        <v>38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5"/>
      <c r="O20" s="250">
        <f t="shared" si="0"/>
        <v>0</v>
      </c>
    </row>
    <row r="21" spans="1:15" ht="25.5">
      <c r="A21" s="247"/>
      <c r="B21" s="251" t="s">
        <v>310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7"/>
      <c r="O21" s="250">
        <f t="shared" si="0"/>
        <v>0</v>
      </c>
    </row>
    <row r="22" spans="1:15" ht="12.75">
      <c r="A22" s="247"/>
      <c r="B22" s="251" t="s">
        <v>311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7"/>
      <c r="O22" s="250">
        <f t="shared" si="0"/>
        <v>0</v>
      </c>
    </row>
    <row r="23" spans="1:15" ht="12.75">
      <c r="A23" s="247" t="s">
        <v>39</v>
      </c>
      <c r="B23" s="253" t="s">
        <v>312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7"/>
      <c r="O23" s="250">
        <f t="shared" si="0"/>
        <v>0</v>
      </c>
    </row>
    <row r="24" spans="1:15" ht="25.5">
      <c r="A24" s="247"/>
      <c r="B24" s="251" t="s">
        <v>313</v>
      </c>
      <c r="C24" s="256"/>
      <c r="D24" s="256">
        <f>11000-360</f>
        <v>10640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7"/>
      <c r="O24" s="250">
        <f t="shared" si="0"/>
        <v>10640</v>
      </c>
    </row>
    <row r="25" spans="1:15" ht="12.75">
      <c r="A25" s="247"/>
      <c r="B25" s="251" t="s">
        <v>314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7"/>
      <c r="O25" s="250">
        <f t="shared" si="0"/>
        <v>0</v>
      </c>
    </row>
    <row r="26" spans="1:15" ht="12.75">
      <c r="A26" s="247" t="s">
        <v>40</v>
      </c>
      <c r="B26" s="253" t="s">
        <v>315</v>
      </c>
      <c r="C26" s="256"/>
      <c r="D26" s="256"/>
      <c r="E26" s="256"/>
      <c r="F26" s="256"/>
      <c r="G26" s="256">
        <v>405</v>
      </c>
      <c r="H26" s="256"/>
      <c r="I26" s="256"/>
      <c r="J26" s="256"/>
      <c r="K26" s="256">
        <f>166+2933</f>
        <v>3099</v>
      </c>
      <c r="L26" s="256"/>
      <c r="M26" s="256"/>
      <c r="N26" s="257"/>
      <c r="O26" s="250">
        <f t="shared" si="0"/>
        <v>3504</v>
      </c>
    </row>
    <row r="27" spans="1:15" ht="13.5" thickBot="1">
      <c r="A27" s="258"/>
      <c r="B27" s="259" t="s">
        <v>409</v>
      </c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7">
        <v>942</v>
      </c>
      <c r="O27" s="250">
        <f t="shared" si="0"/>
        <v>942</v>
      </c>
    </row>
    <row r="28" spans="1:15" ht="13.5" thickBot="1">
      <c r="A28" s="260"/>
      <c r="B28" s="260" t="s">
        <v>316</v>
      </c>
      <c r="C28" s="261">
        <f aca="true" t="shared" si="1" ref="C28:O28">SUM(C14:C27)</f>
        <v>1139</v>
      </c>
      <c r="D28" s="261">
        <f t="shared" si="1"/>
        <v>11437</v>
      </c>
      <c r="E28" s="261">
        <f t="shared" si="1"/>
        <v>1277</v>
      </c>
      <c r="F28" s="261">
        <f t="shared" si="1"/>
        <v>807</v>
      </c>
      <c r="G28" s="261">
        <f t="shared" si="1"/>
        <v>2433</v>
      </c>
      <c r="H28" s="261">
        <f t="shared" si="1"/>
        <v>807</v>
      </c>
      <c r="I28" s="261">
        <f t="shared" si="1"/>
        <v>817</v>
      </c>
      <c r="J28" s="261">
        <f t="shared" si="1"/>
        <v>1123</v>
      </c>
      <c r="K28" s="261">
        <f t="shared" si="1"/>
        <v>5539</v>
      </c>
      <c r="L28" s="261">
        <f t="shared" si="1"/>
        <v>9194</v>
      </c>
      <c r="M28" s="353">
        <f t="shared" si="1"/>
        <v>826</v>
      </c>
      <c r="N28" s="261">
        <f t="shared" si="1"/>
        <v>1791</v>
      </c>
      <c r="O28" s="262">
        <f t="shared" si="1"/>
        <v>37562</v>
      </c>
    </row>
    <row r="29" spans="1:15" ht="12.75">
      <c r="A29" s="263"/>
      <c r="B29" s="264" t="s">
        <v>317</v>
      </c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65"/>
    </row>
    <row r="30" spans="1:15" ht="12.75">
      <c r="A30" s="247" t="s">
        <v>42</v>
      </c>
      <c r="B30" s="253" t="s">
        <v>43</v>
      </c>
      <c r="C30" s="249">
        <v>400</v>
      </c>
      <c r="D30" s="249">
        <v>400</v>
      </c>
      <c r="E30" s="249">
        <v>400</v>
      </c>
      <c r="F30" s="249">
        <v>400</v>
      </c>
      <c r="G30" s="249">
        <f>400+514</f>
        <v>914</v>
      </c>
      <c r="H30" s="249">
        <v>400</v>
      </c>
      <c r="I30" s="249">
        <v>400</v>
      </c>
      <c r="J30" s="249">
        <v>400</v>
      </c>
      <c r="K30" s="249">
        <f>751+182</f>
        <v>933</v>
      </c>
      <c r="L30" s="249">
        <f>500+389</f>
        <v>889</v>
      </c>
      <c r="M30" s="249">
        <v>400</v>
      </c>
      <c r="N30" s="249">
        <v>401</v>
      </c>
      <c r="O30" s="250">
        <f aca="true" t="shared" si="2" ref="O30:O46">SUM(C30:N30)</f>
        <v>6337</v>
      </c>
    </row>
    <row r="31" spans="1:15" ht="25.5">
      <c r="A31" s="247" t="s">
        <v>44</v>
      </c>
      <c r="B31" s="251" t="s">
        <v>318</v>
      </c>
      <c r="C31" s="249">
        <v>110</v>
      </c>
      <c r="D31" s="249">
        <v>110</v>
      </c>
      <c r="E31" s="249">
        <v>110</v>
      </c>
      <c r="F31" s="249">
        <v>110</v>
      </c>
      <c r="G31" s="249">
        <f>110+70</f>
        <v>180</v>
      </c>
      <c r="H31" s="249">
        <v>110</v>
      </c>
      <c r="I31" s="249">
        <v>110</v>
      </c>
      <c r="J31" s="249">
        <v>110</v>
      </c>
      <c r="K31" s="249">
        <v>159</v>
      </c>
      <c r="L31" s="249">
        <f>161+77+182-129</f>
        <v>291</v>
      </c>
      <c r="M31" s="249">
        <v>110</v>
      </c>
      <c r="N31" s="249">
        <v>118</v>
      </c>
      <c r="O31" s="250">
        <f>SUM(C31:N31)</f>
        <v>1628</v>
      </c>
    </row>
    <row r="32" spans="1:15" ht="12.75">
      <c r="A32" s="247" t="s">
        <v>45</v>
      </c>
      <c r="B32" s="253" t="s">
        <v>46</v>
      </c>
      <c r="C32" s="249">
        <v>330</v>
      </c>
      <c r="D32" s="249">
        <v>330</v>
      </c>
      <c r="E32" s="249">
        <v>320</v>
      </c>
      <c r="F32" s="249">
        <v>310</v>
      </c>
      <c r="G32" s="249">
        <v>310</v>
      </c>
      <c r="H32" s="249">
        <f>310+13</f>
        <v>323</v>
      </c>
      <c r="I32" s="249">
        <v>310</v>
      </c>
      <c r="J32" s="249">
        <v>310</v>
      </c>
      <c r="K32" s="249">
        <v>310</v>
      </c>
      <c r="L32" s="249">
        <f>310+203</f>
        <v>513</v>
      </c>
      <c r="M32" s="249">
        <f>325+326</f>
        <v>651</v>
      </c>
      <c r="N32" s="249">
        <f>335-31</f>
        <v>304</v>
      </c>
      <c r="O32" s="250">
        <f t="shared" si="2"/>
        <v>4321</v>
      </c>
    </row>
    <row r="33" spans="1:15" ht="12.75">
      <c r="A33" s="247" t="s">
        <v>47</v>
      </c>
      <c r="B33" s="253" t="s">
        <v>48</v>
      </c>
      <c r="C33" s="249">
        <v>90</v>
      </c>
      <c r="D33" s="249">
        <v>90</v>
      </c>
      <c r="E33" s="249">
        <v>90</v>
      </c>
      <c r="F33" s="249">
        <f>100+48+31-10-10</f>
        <v>159</v>
      </c>
      <c r="G33" s="249">
        <v>100</v>
      </c>
      <c r="H33" s="249">
        <v>100</v>
      </c>
      <c r="I33" s="249">
        <v>100</v>
      </c>
      <c r="J33" s="249">
        <v>220</v>
      </c>
      <c r="K33" s="249">
        <f>110+35</f>
        <v>145</v>
      </c>
      <c r="L33" s="249">
        <f>110+4+46</f>
        <v>160</v>
      </c>
      <c r="M33" s="249">
        <v>110</v>
      </c>
      <c r="N33" s="249">
        <f>283-120</f>
        <v>163</v>
      </c>
      <c r="O33" s="250">
        <f t="shared" si="2"/>
        <v>1527</v>
      </c>
    </row>
    <row r="34" spans="1:15" ht="12.75">
      <c r="A34" s="247" t="s">
        <v>49</v>
      </c>
      <c r="B34" s="253" t="s">
        <v>319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66"/>
      <c r="O34" s="250"/>
    </row>
    <row r="35" spans="1:15" ht="12.75">
      <c r="A35" s="247"/>
      <c r="B35" s="253" t="s">
        <v>320</v>
      </c>
      <c r="C35" s="249"/>
      <c r="D35" s="249"/>
      <c r="E35" s="249"/>
      <c r="F35" s="249"/>
      <c r="G35" s="249">
        <v>29</v>
      </c>
      <c r="H35" s="249"/>
      <c r="I35" s="249">
        <v>0</v>
      </c>
      <c r="J35" s="249">
        <v>0</v>
      </c>
      <c r="K35" s="249">
        <v>2</v>
      </c>
      <c r="L35" s="249">
        <v>0</v>
      </c>
      <c r="M35" s="249">
        <v>0</v>
      </c>
      <c r="N35" s="249">
        <v>0</v>
      </c>
      <c r="O35" s="250">
        <f t="shared" si="2"/>
        <v>31</v>
      </c>
    </row>
    <row r="36" spans="1:15" ht="12.75">
      <c r="A36" s="247"/>
      <c r="B36" s="253" t="s">
        <v>321</v>
      </c>
      <c r="C36" s="249">
        <v>12</v>
      </c>
      <c r="D36" s="249"/>
      <c r="E36" s="249">
        <v>43</v>
      </c>
      <c r="F36" s="249"/>
      <c r="G36" s="249"/>
      <c r="H36" s="249"/>
      <c r="I36" s="249">
        <v>42</v>
      </c>
      <c r="J36" s="249">
        <v>13</v>
      </c>
      <c r="K36" s="249">
        <v>30</v>
      </c>
      <c r="L36" s="249"/>
      <c r="M36" s="249"/>
      <c r="N36" s="249"/>
      <c r="O36" s="250">
        <f t="shared" si="2"/>
        <v>140</v>
      </c>
    </row>
    <row r="37" spans="1:15" ht="12.75">
      <c r="A37" s="247" t="s">
        <v>50</v>
      </c>
      <c r="B37" s="253" t="s">
        <v>51</v>
      </c>
      <c r="C37" s="249"/>
      <c r="D37" s="249"/>
      <c r="E37" s="249"/>
      <c r="F37" s="249">
        <v>318</v>
      </c>
      <c r="G37" s="249"/>
      <c r="H37" s="249"/>
      <c r="I37" s="249"/>
      <c r="J37" s="249">
        <f>1689+471</f>
        <v>2160</v>
      </c>
      <c r="K37" s="249"/>
      <c r="L37" s="249"/>
      <c r="M37" s="249">
        <v>8000</v>
      </c>
      <c r="N37" s="249"/>
      <c r="O37" s="250">
        <f t="shared" si="2"/>
        <v>10478</v>
      </c>
    </row>
    <row r="38" spans="1:15" ht="12.75">
      <c r="A38" s="247" t="s">
        <v>52</v>
      </c>
      <c r="B38" s="253" t="s">
        <v>53</v>
      </c>
      <c r="C38" s="249"/>
      <c r="D38" s="249"/>
      <c r="E38" s="249"/>
      <c r="F38" s="249"/>
      <c r="G38" s="249"/>
      <c r="H38" s="249"/>
      <c r="I38" s="249"/>
      <c r="J38" s="249"/>
      <c r="K38" s="249"/>
      <c r="L38" s="249">
        <v>1104</v>
      </c>
      <c r="M38" s="249"/>
      <c r="N38" s="249"/>
      <c r="O38" s="250">
        <f t="shared" si="2"/>
        <v>1104</v>
      </c>
    </row>
    <row r="39" spans="1:15" ht="12.75">
      <c r="A39" s="247" t="s">
        <v>54</v>
      </c>
      <c r="B39" s="253" t="s">
        <v>55</v>
      </c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>
        <f t="shared" si="2"/>
        <v>0</v>
      </c>
    </row>
    <row r="40" spans="1:15" ht="12.75">
      <c r="A40" s="247"/>
      <c r="B40" s="253" t="s">
        <v>320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>
        <v>2500</v>
      </c>
      <c r="M40" s="249"/>
      <c r="N40" s="249"/>
      <c r="O40" s="250">
        <f t="shared" si="2"/>
        <v>2500</v>
      </c>
    </row>
    <row r="41" spans="1:15" ht="12.75">
      <c r="A41" s="247"/>
      <c r="B41" s="253" t="s">
        <v>321</v>
      </c>
      <c r="C41" s="249"/>
      <c r="D41" s="249"/>
      <c r="E41" s="249"/>
      <c r="F41" s="249"/>
      <c r="G41" s="249"/>
      <c r="H41" s="249"/>
      <c r="I41" s="249">
        <v>100</v>
      </c>
      <c r="J41" s="249"/>
      <c r="K41" s="249"/>
      <c r="L41" s="249"/>
      <c r="M41" s="249"/>
      <c r="N41" s="249"/>
      <c r="O41" s="250">
        <f t="shared" si="2"/>
        <v>100</v>
      </c>
    </row>
    <row r="42" spans="1:15" ht="12.75">
      <c r="A42" s="247" t="s">
        <v>56</v>
      </c>
      <c r="B42" s="253" t="s">
        <v>57</v>
      </c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>
        <f t="shared" si="2"/>
        <v>0</v>
      </c>
    </row>
    <row r="43" spans="1:15" ht="12.75">
      <c r="A43" s="247"/>
      <c r="B43" s="253" t="s">
        <v>322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>
        <f t="shared" si="2"/>
        <v>0</v>
      </c>
    </row>
    <row r="44" spans="1:15" ht="12.75">
      <c r="A44" s="247"/>
      <c r="B44" s="253" t="s">
        <v>369</v>
      </c>
      <c r="C44" s="249"/>
      <c r="D44" s="249"/>
      <c r="E44" s="249"/>
      <c r="F44" s="249"/>
      <c r="G44" s="249">
        <v>363</v>
      </c>
      <c r="H44" s="249"/>
      <c r="I44" s="249"/>
      <c r="J44" s="249"/>
      <c r="K44" s="249"/>
      <c r="L44" s="249"/>
      <c r="M44" s="249"/>
      <c r="N44" s="249">
        <v>942</v>
      </c>
      <c r="O44" s="250">
        <f t="shared" si="2"/>
        <v>1305</v>
      </c>
    </row>
    <row r="45" spans="1:15" ht="12.75">
      <c r="A45" s="247" t="s">
        <v>323</v>
      </c>
      <c r="B45" s="253" t="s">
        <v>324</v>
      </c>
      <c r="C45" s="249"/>
      <c r="D45" s="249">
        <v>2000</v>
      </c>
      <c r="E45" s="249"/>
      <c r="F45" s="249"/>
      <c r="G45" s="249"/>
      <c r="H45" s="249"/>
      <c r="I45" s="249"/>
      <c r="J45" s="249"/>
      <c r="K45" s="249">
        <f>2902-460-360-1501-47+251</f>
        <v>785</v>
      </c>
      <c r="L45" s="249"/>
      <c r="M45" s="249"/>
      <c r="N45" s="249"/>
      <c r="O45" s="250">
        <f t="shared" si="2"/>
        <v>2785</v>
      </c>
    </row>
    <row r="46" spans="1:15" ht="13.5" thickBot="1">
      <c r="A46" s="258" t="s">
        <v>325</v>
      </c>
      <c r="B46" s="259" t="s">
        <v>326</v>
      </c>
      <c r="C46" s="249"/>
      <c r="D46" s="249">
        <f>6033-360-471+360-166</f>
        <v>5396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>
        <f t="shared" si="2"/>
        <v>5396</v>
      </c>
    </row>
    <row r="47" spans="1:15" ht="13.5" thickBot="1">
      <c r="A47" s="260"/>
      <c r="B47" s="260" t="s">
        <v>327</v>
      </c>
      <c r="C47" s="261">
        <f>SUM(C30:C46)</f>
        <v>942</v>
      </c>
      <c r="D47" s="261">
        <f>SUM(D30:D46)-166</f>
        <v>8160</v>
      </c>
      <c r="E47" s="261">
        <f aca="true" t="shared" si="3" ref="E47:O47">SUM(E30:E46)</f>
        <v>963</v>
      </c>
      <c r="F47" s="261">
        <f t="shared" si="3"/>
        <v>1297</v>
      </c>
      <c r="G47" s="261">
        <f t="shared" si="3"/>
        <v>1896</v>
      </c>
      <c r="H47" s="261">
        <f t="shared" si="3"/>
        <v>933</v>
      </c>
      <c r="I47" s="261">
        <f t="shared" si="3"/>
        <v>1062</v>
      </c>
      <c r="J47" s="261">
        <f t="shared" si="3"/>
        <v>3213</v>
      </c>
      <c r="K47" s="261">
        <f t="shared" si="3"/>
        <v>2364</v>
      </c>
      <c r="L47" s="261">
        <f t="shared" si="3"/>
        <v>5457</v>
      </c>
      <c r="M47" s="353">
        <f t="shared" si="3"/>
        <v>9271</v>
      </c>
      <c r="N47" s="261">
        <f t="shared" si="3"/>
        <v>1928</v>
      </c>
      <c r="O47" s="262">
        <f t="shared" si="3"/>
        <v>37652</v>
      </c>
    </row>
    <row r="48" spans="1:16" ht="13.5" thickBot="1">
      <c r="A48" s="267"/>
      <c r="B48" s="268" t="s">
        <v>328</v>
      </c>
      <c r="C48" s="269">
        <f>C28-C47</f>
        <v>197</v>
      </c>
      <c r="D48" s="269">
        <f aca="true" t="shared" si="4" ref="D48:N48">D28-D47</f>
        <v>3277</v>
      </c>
      <c r="E48" s="269">
        <f t="shared" si="4"/>
        <v>314</v>
      </c>
      <c r="F48" s="269">
        <f t="shared" si="4"/>
        <v>-490</v>
      </c>
      <c r="G48" s="269">
        <f t="shared" si="4"/>
        <v>537</v>
      </c>
      <c r="H48" s="269">
        <f t="shared" si="4"/>
        <v>-126</v>
      </c>
      <c r="I48" s="269">
        <f t="shared" si="4"/>
        <v>-245</v>
      </c>
      <c r="J48" s="269">
        <f t="shared" si="4"/>
        <v>-2090</v>
      </c>
      <c r="K48" s="269">
        <f t="shared" si="4"/>
        <v>3175</v>
      </c>
      <c r="L48" s="269">
        <f t="shared" si="4"/>
        <v>3737</v>
      </c>
      <c r="M48" s="269">
        <f t="shared" si="4"/>
        <v>-8445</v>
      </c>
      <c r="N48" s="269">
        <f t="shared" si="4"/>
        <v>-137</v>
      </c>
      <c r="O48" s="270"/>
      <c r="P48" t="s">
        <v>354</v>
      </c>
    </row>
    <row r="49" spans="1:15" ht="12.75">
      <c r="A49" s="1"/>
      <c r="B49" s="1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</row>
    <row r="50" spans="1:15" ht="12.75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</row>
    <row r="51" spans="1:15" ht="12.75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</row>
    <row r="52" spans="1:15" ht="12.75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</row>
    <row r="53" spans="1:15" ht="12.75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</row>
    <row r="54" spans="1:15" ht="12.75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</row>
    <row r="55" spans="1:15" ht="12.75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</row>
    <row r="56" spans="1:15" ht="12.7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</row>
    <row r="57" spans="1:15" ht="12.7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</row>
    <row r="58" spans="1:15" ht="12.75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</row>
  </sheetData>
  <sheetProtection/>
  <mergeCells count="5">
    <mergeCell ref="B7:O7"/>
    <mergeCell ref="H1:O1"/>
    <mergeCell ref="A2:O4"/>
    <mergeCell ref="B5:O5"/>
    <mergeCell ref="B6:O6"/>
  </mergeCells>
  <printOptions/>
  <pageMargins left="0.23" right="0.25" top="0.37" bottom="0.57" header="0.23" footer="0.34"/>
  <pageSetup horizontalDpi="200" verticalDpi="2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10.125" style="0" bestFit="1" customWidth="1"/>
  </cols>
  <sheetData>
    <row r="2" ht="12.75">
      <c r="D2">
        <v>24880</v>
      </c>
    </row>
    <row r="3" spans="1:4" ht="12.75">
      <c r="A3" t="s">
        <v>394</v>
      </c>
      <c r="B3">
        <v>35</v>
      </c>
      <c r="C3">
        <v>35</v>
      </c>
      <c r="D3">
        <f>D2+C3</f>
        <v>24915</v>
      </c>
    </row>
    <row r="4" spans="1:4" ht="12.75">
      <c r="A4" s="354" t="s">
        <v>400</v>
      </c>
      <c r="B4">
        <v>1104</v>
      </c>
      <c r="C4">
        <v>1104</v>
      </c>
      <c r="D4">
        <f aca="true" t="shared" si="0" ref="D4:D18">D3+C4</f>
        <v>26019</v>
      </c>
    </row>
    <row r="5" spans="1:4" ht="12.75">
      <c r="A5" s="354" t="s">
        <v>401</v>
      </c>
      <c r="B5">
        <v>30</v>
      </c>
      <c r="D5">
        <f t="shared" si="0"/>
        <v>26019</v>
      </c>
    </row>
    <row r="6" spans="1:4" ht="12.75">
      <c r="A6" s="354">
        <v>42037</v>
      </c>
      <c r="B6">
        <v>8000</v>
      </c>
      <c r="C6">
        <v>8000</v>
      </c>
      <c r="D6">
        <f t="shared" si="0"/>
        <v>34019</v>
      </c>
    </row>
    <row r="7" spans="1:5" ht="12.75">
      <c r="A7" s="354">
        <v>42038</v>
      </c>
      <c r="D7">
        <f t="shared" si="0"/>
        <v>34019</v>
      </c>
      <c r="E7" t="s">
        <v>403</v>
      </c>
    </row>
    <row r="8" spans="1:4" ht="12.75">
      <c r="A8" s="354">
        <v>42095</v>
      </c>
      <c r="B8">
        <v>400</v>
      </c>
      <c r="C8">
        <v>400</v>
      </c>
      <c r="D8">
        <f t="shared" si="0"/>
        <v>34419</v>
      </c>
    </row>
    <row r="9" spans="1:4" ht="12.75">
      <c r="A9" s="354">
        <v>42096</v>
      </c>
      <c r="B9">
        <v>28</v>
      </c>
      <c r="D9">
        <f t="shared" si="0"/>
        <v>34419</v>
      </c>
    </row>
    <row r="10" spans="1:4" ht="12.75">
      <c r="A10" s="354">
        <v>42097</v>
      </c>
      <c r="B10">
        <v>15</v>
      </c>
      <c r="D10">
        <f t="shared" si="0"/>
        <v>34419</v>
      </c>
    </row>
    <row r="11" spans="1:4" ht="12.75">
      <c r="A11" s="354">
        <v>4.4</v>
      </c>
      <c r="B11">
        <v>6</v>
      </c>
      <c r="D11">
        <f t="shared" si="0"/>
        <v>34419</v>
      </c>
    </row>
    <row r="12" spans="1:4" ht="12.75">
      <c r="A12" s="354">
        <v>42099</v>
      </c>
      <c r="B12">
        <v>1</v>
      </c>
      <c r="D12">
        <f t="shared" si="0"/>
        <v>34419</v>
      </c>
    </row>
    <row r="13" spans="1:4" ht="12.75">
      <c r="A13" s="354">
        <v>42100</v>
      </c>
      <c r="B13">
        <v>2933</v>
      </c>
      <c r="C13">
        <v>2933</v>
      </c>
      <c r="D13">
        <f t="shared" si="0"/>
        <v>37352</v>
      </c>
    </row>
    <row r="14" spans="1:4" ht="12.75">
      <c r="A14" s="354">
        <v>1.1</v>
      </c>
      <c r="B14">
        <v>4</v>
      </c>
      <c r="C14">
        <v>4</v>
      </c>
      <c r="D14">
        <f t="shared" si="0"/>
        <v>37356</v>
      </c>
    </row>
    <row r="15" spans="1:4" ht="12.75">
      <c r="A15" s="131">
        <v>42036</v>
      </c>
      <c r="B15">
        <v>133</v>
      </c>
      <c r="D15">
        <f t="shared" si="0"/>
        <v>37356</v>
      </c>
    </row>
    <row r="16" spans="1:4" ht="12.75">
      <c r="A16" s="131">
        <v>42064</v>
      </c>
      <c r="B16">
        <v>180</v>
      </c>
      <c r="D16">
        <f t="shared" si="0"/>
        <v>37356</v>
      </c>
    </row>
    <row r="17" spans="1:4" ht="12.75">
      <c r="A17" s="131">
        <v>42095</v>
      </c>
      <c r="B17">
        <v>268</v>
      </c>
      <c r="C17">
        <v>268</v>
      </c>
      <c r="D17">
        <f t="shared" si="0"/>
        <v>37624</v>
      </c>
    </row>
    <row r="18" spans="1:4" ht="12.75">
      <c r="A18" s="131">
        <v>42096</v>
      </c>
      <c r="B18">
        <v>65</v>
      </c>
      <c r="C18">
        <v>65</v>
      </c>
      <c r="D18">
        <f t="shared" si="0"/>
        <v>37689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</cols>
  <sheetData>
    <row r="1" spans="1:5" ht="12.75">
      <c r="A1" s="370" t="s">
        <v>412</v>
      </c>
      <c r="B1" s="370"/>
      <c r="C1" s="370"/>
      <c r="D1" s="370"/>
      <c r="E1" s="370"/>
    </row>
    <row r="2" spans="1:5" ht="15.75">
      <c r="A2" s="371" t="s">
        <v>351</v>
      </c>
      <c r="B2" s="371"/>
      <c r="C2" s="371"/>
      <c r="D2" s="371"/>
      <c r="E2" s="371"/>
    </row>
    <row r="3" spans="1:5" ht="15.75">
      <c r="A3" s="369"/>
      <c r="B3" s="369"/>
      <c r="C3" s="369"/>
      <c r="D3" s="369"/>
      <c r="E3" s="369"/>
    </row>
    <row r="4" spans="1:5" ht="15.75">
      <c r="A4" s="369" t="s">
        <v>17</v>
      </c>
      <c r="B4" s="369"/>
      <c r="C4" s="369"/>
      <c r="D4" s="369"/>
      <c r="E4" s="369"/>
    </row>
    <row r="5" spans="1:5" ht="15.75">
      <c r="A5" s="369" t="s">
        <v>101</v>
      </c>
      <c r="B5" s="369"/>
      <c r="C5" s="369"/>
      <c r="D5" s="369"/>
      <c r="E5" s="369"/>
    </row>
    <row r="6" spans="1:5" ht="15.75">
      <c r="A6" s="369" t="s">
        <v>262</v>
      </c>
      <c r="B6" s="369"/>
      <c r="C6" s="369"/>
      <c r="D6" s="369"/>
      <c r="E6" s="369"/>
    </row>
    <row r="7" spans="1:5" ht="1.5" customHeight="1">
      <c r="A7" s="86"/>
      <c r="B7" s="30"/>
      <c r="C7" s="86"/>
      <c r="D7" s="31"/>
      <c r="E7" s="86"/>
    </row>
    <row r="8" spans="1:5" ht="15.75">
      <c r="A8" s="87" t="s">
        <v>102</v>
      </c>
      <c r="B8" s="30"/>
      <c r="C8" s="86"/>
      <c r="D8" s="31"/>
      <c r="E8" s="86"/>
    </row>
    <row r="9" spans="1:5" ht="15.75">
      <c r="A9" s="88" t="s">
        <v>103</v>
      </c>
      <c r="B9" s="30"/>
      <c r="C9" s="86"/>
      <c r="D9" s="31">
        <f>B10+B11</f>
        <v>11215</v>
      </c>
      <c r="E9" s="86" t="s">
        <v>104</v>
      </c>
    </row>
    <row r="10" spans="1:5" ht="31.5">
      <c r="A10" s="89" t="s">
        <v>105</v>
      </c>
      <c r="B10" s="90">
        <f>Bevételek!$H$45</f>
        <v>9562</v>
      </c>
      <c r="C10" s="89" t="s">
        <v>104</v>
      </c>
      <c r="D10" s="31"/>
      <c r="E10" s="86"/>
    </row>
    <row r="11" spans="1:5" ht="31.5">
      <c r="A11" s="89" t="s">
        <v>106</v>
      </c>
      <c r="B11" s="90">
        <f>Bevételek!$H$50</f>
        <v>1653</v>
      </c>
      <c r="C11" s="89" t="s">
        <v>104</v>
      </c>
      <c r="D11" s="31"/>
      <c r="E11" s="86"/>
    </row>
    <row r="12" spans="1:5" ht="15.75">
      <c r="A12" s="88" t="s">
        <v>107</v>
      </c>
      <c r="B12" s="30"/>
      <c r="C12" s="86"/>
      <c r="D12" s="31">
        <f>Bevételek!$H$59</f>
        <v>8938</v>
      </c>
      <c r="E12" s="86" t="s">
        <v>104</v>
      </c>
    </row>
    <row r="13" spans="1:5" ht="15.75">
      <c r="A13" s="88" t="s">
        <v>108</v>
      </c>
      <c r="B13" s="30"/>
      <c r="C13" s="86"/>
      <c r="D13" s="31">
        <f>Bevételek!$H$70</f>
        <v>1330</v>
      </c>
      <c r="E13" s="86" t="s">
        <v>104</v>
      </c>
    </row>
    <row r="14" spans="1:5" ht="15.75">
      <c r="A14" s="88" t="s">
        <v>109</v>
      </c>
      <c r="B14" s="30"/>
      <c r="C14" s="86"/>
      <c r="D14" s="31">
        <f>Bevételek!$H$77</f>
        <v>993</v>
      </c>
      <c r="E14" s="86" t="s">
        <v>104</v>
      </c>
    </row>
    <row r="15" spans="1:5" ht="15.75">
      <c r="A15" s="88" t="s">
        <v>110</v>
      </c>
      <c r="B15" s="31"/>
      <c r="C15" s="88"/>
      <c r="D15" s="31">
        <v>0</v>
      </c>
      <c r="E15" s="86" t="s">
        <v>104</v>
      </c>
    </row>
    <row r="16" spans="1:5" ht="15.75">
      <c r="A16" s="88" t="s">
        <v>111</v>
      </c>
      <c r="B16" s="30"/>
      <c r="C16" s="86"/>
      <c r="D16" s="31">
        <v>0</v>
      </c>
      <c r="E16" s="86" t="s">
        <v>104</v>
      </c>
    </row>
    <row r="17" spans="1:5" ht="31.5">
      <c r="A17" s="89" t="s">
        <v>112</v>
      </c>
      <c r="B17" s="90">
        <v>0</v>
      </c>
      <c r="C17" s="89" t="s">
        <v>104</v>
      </c>
      <c r="D17" s="89"/>
      <c r="E17" s="86"/>
    </row>
    <row r="18" spans="1:5" ht="15.75">
      <c r="A18" s="91" t="s">
        <v>113</v>
      </c>
      <c r="B18" s="90">
        <v>0</v>
      </c>
      <c r="C18" s="86" t="s">
        <v>104</v>
      </c>
      <c r="D18" s="31"/>
      <c r="E18" s="86"/>
    </row>
    <row r="19" spans="1:5" ht="15.75">
      <c r="A19" s="88" t="s">
        <v>114</v>
      </c>
      <c r="B19" s="30"/>
      <c r="C19" s="86"/>
      <c r="D19" s="31">
        <f>B20+B21</f>
        <v>10640</v>
      </c>
      <c r="E19" s="86" t="s">
        <v>104</v>
      </c>
    </row>
    <row r="20" spans="1:5" ht="31.5">
      <c r="A20" s="89" t="s">
        <v>115</v>
      </c>
      <c r="B20" s="30">
        <f>Bevételek!H81</f>
        <v>10640</v>
      </c>
      <c r="C20" s="86" t="s">
        <v>104</v>
      </c>
      <c r="D20" s="31"/>
      <c r="E20" s="86"/>
    </row>
    <row r="21" spans="1:5" ht="15.75">
      <c r="A21" s="86" t="s">
        <v>116</v>
      </c>
      <c r="B21" s="32"/>
      <c r="C21" s="86" t="s">
        <v>104</v>
      </c>
      <c r="D21" s="31"/>
      <c r="E21" s="86"/>
    </row>
    <row r="22" spans="1:5" ht="15.75">
      <c r="A22" s="88" t="s">
        <v>188</v>
      </c>
      <c r="B22" s="32"/>
      <c r="C22" s="86"/>
      <c r="D22" s="31">
        <v>942</v>
      </c>
      <c r="E22" s="86" t="s">
        <v>104</v>
      </c>
    </row>
    <row r="23" spans="1:5" ht="15.75">
      <c r="A23" s="86" t="s">
        <v>410</v>
      </c>
      <c r="B23" s="32">
        <v>942</v>
      </c>
      <c r="C23" s="86" t="s">
        <v>411</v>
      </c>
      <c r="D23" s="31"/>
      <c r="E23" s="86"/>
    </row>
    <row r="24" spans="1:5" ht="11.25" customHeight="1">
      <c r="A24" s="88"/>
      <c r="B24" s="32"/>
      <c r="C24" s="86"/>
      <c r="D24" s="31"/>
      <c r="E24" s="86"/>
    </row>
    <row r="25" spans="1:5" ht="15.75">
      <c r="A25" s="88" t="s">
        <v>117</v>
      </c>
      <c r="B25" s="31"/>
      <c r="C25" s="88"/>
      <c r="D25" s="31">
        <f>D9+D13+D14+D12+D19+D22</f>
        <v>34058</v>
      </c>
      <c r="E25" s="88" t="s">
        <v>118</v>
      </c>
    </row>
    <row r="26" spans="1:5" ht="15.75">
      <c r="A26" s="87" t="s">
        <v>119</v>
      </c>
      <c r="B26" s="30"/>
      <c r="C26" s="86"/>
      <c r="D26" s="31"/>
      <c r="E26" s="86"/>
    </row>
    <row r="27" spans="1:5" ht="15.75">
      <c r="A27" s="92" t="s">
        <v>120</v>
      </c>
      <c r="B27" s="30"/>
      <c r="C27" s="86"/>
      <c r="D27" s="31">
        <f>B29+B30+B31+B32+B33</f>
        <v>16679</v>
      </c>
      <c r="E27" s="86" t="s">
        <v>104</v>
      </c>
    </row>
    <row r="28" spans="1:5" ht="15.75">
      <c r="A28" s="49" t="s">
        <v>121</v>
      </c>
      <c r="B28" s="30"/>
      <c r="C28" s="86"/>
      <c r="D28" s="31"/>
      <c r="E28" s="86"/>
    </row>
    <row r="29" spans="1:5" ht="15.75">
      <c r="A29" s="86" t="s">
        <v>122</v>
      </c>
      <c r="B29" s="30">
        <f>'Korm.funkciók'!D35</f>
        <v>6337</v>
      </c>
      <c r="C29" s="86" t="s">
        <v>104</v>
      </c>
      <c r="D29" s="31"/>
      <c r="E29" s="86"/>
    </row>
    <row r="30" spans="1:5" ht="15.75">
      <c r="A30" s="86" t="s">
        <v>123</v>
      </c>
      <c r="B30" s="30">
        <f>'Korm.funkciók'!E35</f>
        <v>1628</v>
      </c>
      <c r="C30" s="86" t="s">
        <v>104</v>
      </c>
      <c r="D30" s="31"/>
      <c r="E30" s="86"/>
    </row>
    <row r="31" spans="1:5" ht="15.75">
      <c r="A31" s="86" t="s">
        <v>124</v>
      </c>
      <c r="B31" s="30">
        <f>'Korm.funkciók'!F35</f>
        <v>4231</v>
      </c>
      <c r="C31" s="86" t="s">
        <v>104</v>
      </c>
      <c r="D31" s="31"/>
      <c r="E31" s="86"/>
    </row>
    <row r="32" spans="1:5" ht="15.75">
      <c r="A32" s="22" t="s">
        <v>125</v>
      </c>
      <c r="B32" s="30">
        <f>'Korm.funkciók'!G35</f>
        <v>1527</v>
      </c>
      <c r="C32" s="86" t="s">
        <v>104</v>
      </c>
      <c r="D32" s="31"/>
      <c r="E32" s="86"/>
    </row>
    <row r="33" spans="1:5" ht="15.75">
      <c r="A33" s="86" t="s">
        <v>126</v>
      </c>
      <c r="B33" s="30">
        <f>'Korm.funkciók'!H35</f>
        <v>2956</v>
      </c>
      <c r="C33" s="86" t="s">
        <v>104</v>
      </c>
      <c r="D33" s="31"/>
      <c r="E33" s="86"/>
    </row>
    <row r="34" spans="1:5" ht="15.75">
      <c r="A34" s="92" t="s">
        <v>127</v>
      </c>
      <c r="B34" s="31"/>
      <c r="C34" s="88"/>
      <c r="D34" s="93">
        <f>B36+B37+B38+B39</f>
        <v>19578</v>
      </c>
      <c r="E34" s="88" t="s">
        <v>104</v>
      </c>
    </row>
    <row r="35" spans="1:5" ht="15.75">
      <c r="A35" s="49" t="s">
        <v>121</v>
      </c>
      <c r="B35" s="30"/>
      <c r="C35" s="86"/>
      <c r="D35" s="31"/>
      <c r="E35" s="86"/>
    </row>
    <row r="36" spans="1:5" ht="15.75">
      <c r="A36" s="86" t="s">
        <v>128</v>
      </c>
      <c r="B36" s="32">
        <f>'Korm.funkciók'!J35</f>
        <v>10478</v>
      </c>
      <c r="C36" s="86" t="s">
        <v>104</v>
      </c>
      <c r="D36" s="31"/>
      <c r="E36" s="86"/>
    </row>
    <row r="37" spans="1:5" ht="15.75">
      <c r="A37" s="86" t="s">
        <v>129</v>
      </c>
      <c r="B37" s="32">
        <f>'Korm.funkciók'!K35</f>
        <v>1104</v>
      </c>
      <c r="C37" s="86" t="s">
        <v>104</v>
      </c>
      <c r="D37" s="31"/>
      <c r="E37" s="86"/>
    </row>
    <row r="38" spans="1:5" ht="15.75">
      <c r="A38" s="86" t="s">
        <v>130</v>
      </c>
      <c r="B38" s="32">
        <v>2600</v>
      </c>
      <c r="C38" s="86" t="s">
        <v>104</v>
      </c>
      <c r="D38" s="31"/>
      <c r="E38" s="86"/>
    </row>
    <row r="39" spans="1:5" ht="15.75">
      <c r="A39" s="86" t="s">
        <v>258</v>
      </c>
      <c r="B39" s="32">
        <f>6033-360-471+360-166</f>
        <v>5396</v>
      </c>
      <c r="C39" s="86" t="s">
        <v>104</v>
      </c>
      <c r="D39" s="31"/>
      <c r="E39" s="86"/>
    </row>
    <row r="40" spans="1:5" ht="15.75">
      <c r="A40" s="88" t="s">
        <v>131</v>
      </c>
      <c r="B40" s="32"/>
      <c r="C40" s="86"/>
      <c r="D40" s="31">
        <f>B42</f>
        <v>1305</v>
      </c>
      <c r="E40" s="86" t="s">
        <v>104</v>
      </c>
    </row>
    <row r="41" spans="1:5" ht="15.75">
      <c r="A41" s="86" t="s">
        <v>132</v>
      </c>
      <c r="B41" s="30"/>
      <c r="C41" s="86" t="s">
        <v>104</v>
      </c>
      <c r="D41" s="31"/>
      <c r="E41" s="86"/>
    </row>
    <row r="42" spans="1:5" ht="15.75">
      <c r="A42" s="86" t="s">
        <v>384</v>
      </c>
      <c r="B42" s="30">
        <f>363+942</f>
        <v>1305</v>
      </c>
      <c r="C42" s="86" t="s">
        <v>104</v>
      </c>
      <c r="D42" s="31"/>
      <c r="E42" s="86"/>
    </row>
    <row r="43" spans="1:5" ht="17.25" customHeight="1">
      <c r="A43" s="88" t="s">
        <v>133</v>
      </c>
      <c r="B43" s="31"/>
      <c r="C43" s="88"/>
      <c r="D43" s="31">
        <f>D27+D34+D40</f>
        <v>37562</v>
      </c>
      <c r="E43" s="88" t="s">
        <v>118</v>
      </c>
    </row>
    <row r="44" spans="1:5" ht="19.5" customHeight="1">
      <c r="A44" s="88" t="s">
        <v>134</v>
      </c>
      <c r="B44" s="31"/>
      <c r="C44" s="88"/>
      <c r="D44" s="31">
        <f>D25-D43</f>
        <v>-3504</v>
      </c>
      <c r="E44" s="88" t="s">
        <v>104</v>
      </c>
    </row>
    <row r="45" spans="1:5" ht="1.5" customHeight="1">
      <c r="A45" s="88"/>
      <c r="B45" s="31"/>
      <c r="C45" s="88"/>
      <c r="D45" s="31"/>
      <c r="E45" s="88"/>
    </row>
    <row r="46" spans="1:5" ht="15.75">
      <c r="A46" s="94" t="s">
        <v>135</v>
      </c>
      <c r="B46" s="31"/>
      <c r="C46" s="88"/>
      <c r="D46" s="31">
        <f>405+2933+166</f>
        <v>3504</v>
      </c>
      <c r="E46" s="88" t="s">
        <v>104</v>
      </c>
    </row>
    <row r="47" spans="1:5" ht="16.5" customHeight="1">
      <c r="A47" s="88" t="s">
        <v>136</v>
      </c>
      <c r="B47" s="31"/>
      <c r="C47" s="88"/>
      <c r="D47" s="31">
        <f>D44+D46</f>
        <v>0</v>
      </c>
      <c r="E47" s="88" t="s">
        <v>352</v>
      </c>
    </row>
  </sheetData>
  <sheetProtection/>
  <mergeCells count="6">
    <mergeCell ref="A6:E6"/>
    <mergeCell ref="A3:E3"/>
    <mergeCell ref="A1:E1"/>
    <mergeCell ref="A2:E2"/>
    <mergeCell ref="A4:E4"/>
    <mergeCell ref="A5:E5"/>
  </mergeCells>
  <printOptions/>
  <pageMargins left="0.56" right="0.34" top="0.71" bottom="0.4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0"/>
  <sheetViews>
    <sheetView zoomScalePageLayoutView="0" workbookViewId="0" topLeftCell="A1">
      <selection activeCell="A3" sqref="A3:I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2.125" style="0" customWidth="1"/>
    <col min="8" max="8" width="11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2.75">
      <c r="A1" s="370" t="s">
        <v>413</v>
      </c>
      <c r="B1" s="370"/>
      <c r="C1" s="370"/>
      <c r="D1" s="370"/>
      <c r="E1" s="370"/>
      <c r="F1" s="370"/>
      <c r="G1" s="370"/>
      <c r="H1" s="370"/>
      <c r="I1" s="370"/>
    </row>
    <row r="2" spans="1:9" ht="15">
      <c r="A2" s="388" t="s">
        <v>353</v>
      </c>
      <c r="B2" s="388"/>
      <c r="C2" s="388"/>
      <c r="D2" s="388"/>
      <c r="E2" s="388"/>
      <c r="F2" s="388"/>
      <c r="G2" s="388"/>
      <c r="H2" s="388"/>
      <c r="I2" s="388"/>
    </row>
    <row r="3" spans="1:9" ht="14.25">
      <c r="A3" s="376"/>
      <c r="B3" s="376"/>
      <c r="C3" s="376"/>
      <c r="D3" s="376"/>
      <c r="E3" s="376"/>
      <c r="F3" s="376"/>
      <c r="G3" s="376"/>
      <c r="H3" s="376"/>
      <c r="I3" s="376"/>
    </row>
    <row r="4" spans="1:9" ht="14.25">
      <c r="A4" s="376" t="s">
        <v>234</v>
      </c>
      <c r="B4" s="376"/>
      <c r="C4" s="376"/>
      <c r="D4" s="376"/>
      <c r="E4" s="376"/>
      <c r="F4" s="376"/>
      <c r="G4" s="376"/>
      <c r="H4" s="376"/>
      <c r="I4" s="376"/>
    </row>
    <row r="5" spans="1:9" ht="14.25">
      <c r="A5" s="376" t="s">
        <v>137</v>
      </c>
      <c r="B5" s="376"/>
      <c r="C5" s="376"/>
      <c r="D5" s="376"/>
      <c r="E5" s="376"/>
      <c r="F5" s="376"/>
      <c r="G5" s="376"/>
      <c r="H5" s="376"/>
      <c r="I5" s="376"/>
    </row>
    <row r="6" spans="1:9" ht="15.75" customHeight="1">
      <c r="A6" s="376" t="s">
        <v>235</v>
      </c>
      <c r="B6" s="376"/>
      <c r="C6" s="376"/>
      <c r="D6" s="376"/>
      <c r="E6" s="376"/>
      <c r="F6" s="376"/>
      <c r="G6" s="376"/>
      <c r="H6" s="376"/>
      <c r="I6" s="376"/>
    </row>
    <row r="7" spans="1:9" ht="15.75" thickBot="1">
      <c r="A7" s="147"/>
      <c r="B7" s="147"/>
      <c r="C7" s="146"/>
      <c r="D7" s="146"/>
      <c r="E7" s="146"/>
      <c r="F7" s="141"/>
      <c r="G7" s="122"/>
      <c r="H7" s="377" t="s">
        <v>0</v>
      </c>
      <c r="I7" s="377"/>
    </row>
    <row r="8" spans="1:9" ht="15">
      <c r="A8" s="378" t="s">
        <v>138</v>
      </c>
      <c r="B8" s="379"/>
      <c r="C8" s="379"/>
      <c r="D8" s="379"/>
      <c r="E8" s="379"/>
      <c r="F8" s="380"/>
      <c r="G8" s="148" t="s">
        <v>2</v>
      </c>
      <c r="H8" s="148" t="s">
        <v>2</v>
      </c>
      <c r="I8" s="138" t="s">
        <v>236</v>
      </c>
    </row>
    <row r="9" spans="1:9" ht="15">
      <c r="A9" s="381"/>
      <c r="B9" s="382"/>
      <c r="C9" s="382"/>
      <c r="D9" s="382"/>
      <c r="E9" s="382"/>
      <c r="F9" s="383"/>
      <c r="G9" s="149" t="s">
        <v>60</v>
      </c>
      <c r="H9" s="149" t="s">
        <v>60</v>
      </c>
      <c r="I9" s="150"/>
    </row>
    <row r="10" spans="1:9" ht="15.75" thickBot="1">
      <c r="A10" s="384"/>
      <c r="B10" s="385"/>
      <c r="C10" s="385"/>
      <c r="D10" s="385"/>
      <c r="E10" s="385"/>
      <c r="F10" s="386"/>
      <c r="G10" s="151" t="s">
        <v>4</v>
      </c>
      <c r="H10" s="151" t="s">
        <v>235</v>
      </c>
      <c r="I10" s="152" t="s">
        <v>3</v>
      </c>
    </row>
    <row r="11" spans="1:9" ht="33" customHeight="1">
      <c r="A11" s="153" t="s">
        <v>139</v>
      </c>
      <c r="B11" s="375" t="s">
        <v>140</v>
      </c>
      <c r="C11" s="375"/>
      <c r="D11" s="375"/>
      <c r="E11" s="375"/>
      <c r="F11" s="375"/>
      <c r="G11" s="119"/>
      <c r="H11" s="118"/>
      <c r="I11" s="119"/>
    </row>
    <row r="12" spans="1:9" ht="15.75" customHeight="1">
      <c r="A12" s="10"/>
      <c r="B12" s="10" t="s">
        <v>139</v>
      </c>
      <c r="C12" s="10" t="s">
        <v>141</v>
      </c>
      <c r="D12" s="10"/>
      <c r="E12" s="10"/>
      <c r="F12" s="10"/>
      <c r="G12" s="127"/>
      <c r="H12" s="127"/>
      <c r="I12" s="10"/>
    </row>
    <row r="13" spans="1:9" ht="29.25" customHeight="1">
      <c r="A13" s="10"/>
      <c r="B13" s="10"/>
      <c r="C13" s="153" t="s">
        <v>32</v>
      </c>
      <c r="D13" s="375" t="s">
        <v>142</v>
      </c>
      <c r="E13" s="375"/>
      <c r="F13" s="375"/>
      <c r="G13" s="118"/>
      <c r="H13" s="118"/>
      <c r="I13" s="119"/>
    </row>
    <row r="14" spans="1:9" ht="28.5" customHeight="1">
      <c r="A14" s="10"/>
      <c r="B14" s="10"/>
      <c r="C14" s="10"/>
      <c r="D14" s="153" t="s">
        <v>32</v>
      </c>
      <c r="E14" s="375" t="s">
        <v>143</v>
      </c>
      <c r="F14" s="375"/>
      <c r="G14" s="118"/>
      <c r="H14" s="118"/>
      <c r="I14" s="119"/>
    </row>
    <row r="15" spans="1:9" ht="30.75" customHeight="1">
      <c r="A15" s="8"/>
      <c r="B15" s="8"/>
      <c r="C15" s="8"/>
      <c r="D15" s="154" t="s">
        <v>144</v>
      </c>
      <c r="E15" s="387" t="s">
        <v>145</v>
      </c>
      <c r="F15" s="374"/>
      <c r="G15" s="120"/>
      <c r="H15" s="120"/>
      <c r="I15" s="121"/>
    </row>
    <row r="16" spans="1:9" ht="29.25" customHeight="1">
      <c r="A16" s="8"/>
      <c r="B16" s="8"/>
      <c r="C16" s="8"/>
      <c r="D16" s="8"/>
      <c r="E16" s="154" t="s">
        <v>146</v>
      </c>
      <c r="F16" s="129" t="s">
        <v>147</v>
      </c>
      <c r="G16" s="122">
        <v>863</v>
      </c>
      <c r="H16" s="122">
        <v>864</v>
      </c>
      <c r="I16" s="121">
        <f>(H16/G16)*100</f>
        <v>100.11587485515643</v>
      </c>
    </row>
    <row r="17" spans="1:9" ht="19.5" customHeight="1">
      <c r="A17" s="8"/>
      <c r="B17" s="8"/>
      <c r="C17" s="8"/>
      <c r="D17" s="8"/>
      <c r="E17" s="8" t="s">
        <v>148</v>
      </c>
      <c r="F17" s="129" t="s">
        <v>149</v>
      </c>
      <c r="G17" s="122">
        <v>510</v>
      </c>
      <c r="H17" s="122">
        <v>576</v>
      </c>
      <c r="I17" s="121">
        <f>(H17/G17)*100</f>
        <v>112.94117647058823</v>
      </c>
    </row>
    <row r="18" spans="1:9" ht="26.25" customHeight="1">
      <c r="A18" s="8"/>
      <c r="B18" s="8"/>
      <c r="C18" s="8"/>
      <c r="D18" s="8"/>
      <c r="E18" s="154" t="s">
        <v>150</v>
      </c>
      <c r="F18" s="129" t="s">
        <v>151</v>
      </c>
      <c r="G18" s="122">
        <v>100</v>
      </c>
      <c r="H18" s="122">
        <v>100</v>
      </c>
      <c r="I18" s="121">
        <f>(H18/G18)*100</f>
        <v>100</v>
      </c>
    </row>
    <row r="19" spans="1:9" ht="17.25" customHeight="1">
      <c r="A19" s="8"/>
      <c r="B19" s="8"/>
      <c r="C19" s="8"/>
      <c r="D19" s="8"/>
      <c r="E19" s="8" t="s">
        <v>152</v>
      </c>
      <c r="F19" s="129" t="s">
        <v>153</v>
      </c>
      <c r="G19" s="122">
        <v>808</v>
      </c>
      <c r="H19" s="122">
        <v>808</v>
      </c>
      <c r="I19" s="121">
        <f>(H19/G19)*100</f>
        <v>100</v>
      </c>
    </row>
    <row r="20" spans="1:9" ht="18" customHeight="1">
      <c r="A20" s="8"/>
      <c r="B20" s="8"/>
      <c r="C20" s="8"/>
      <c r="D20" s="8" t="s">
        <v>154</v>
      </c>
      <c r="E20" s="8" t="s">
        <v>237</v>
      </c>
      <c r="F20" s="8"/>
      <c r="G20" s="122">
        <v>4000</v>
      </c>
      <c r="H20" s="122">
        <v>4000</v>
      </c>
      <c r="I20" s="121">
        <f>(H20/G20)*100</f>
        <v>100</v>
      </c>
    </row>
    <row r="21" spans="1:9" ht="18" customHeight="1">
      <c r="A21" s="8"/>
      <c r="B21" s="8"/>
      <c r="C21" s="8"/>
      <c r="D21" s="8"/>
      <c r="E21" s="8"/>
      <c r="F21" s="155" t="s">
        <v>263</v>
      </c>
      <c r="G21" s="122"/>
      <c r="H21" s="122">
        <v>-49</v>
      </c>
      <c r="I21" s="121"/>
    </row>
    <row r="22" spans="1:9" ht="18" customHeight="1">
      <c r="A22" s="8"/>
      <c r="B22" s="8"/>
      <c r="C22" s="8"/>
      <c r="D22" s="8" t="s">
        <v>238</v>
      </c>
      <c r="E22" s="8"/>
      <c r="F22" s="8"/>
      <c r="G22" s="123"/>
      <c r="H22" s="122">
        <v>48</v>
      </c>
      <c r="I22" s="121"/>
    </row>
    <row r="23" spans="1:9" ht="8.25" customHeight="1">
      <c r="A23" s="390" t="s">
        <v>155</v>
      </c>
      <c r="B23" s="390"/>
      <c r="C23" s="390"/>
      <c r="D23" s="390"/>
      <c r="E23" s="390"/>
      <c r="F23" s="390"/>
      <c r="G23" s="122"/>
      <c r="H23" s="122"/>
      <c r="I23" s="121"/>
    </row>
    <row r="24" spans="1:9" ht="15.75" customHeight="1">
      <c r="A24" s="390"/>
      <c r="B24" s="390"/>
      <c r="C24" s="390"/>
      <c r="D24" s="390"/>
      <c r="E24" s="390"/>
      <c r="F24" s="390"/>
      <c r="G24" s="132">
        <f>SUM(G15:G23)</f>
        <v>6281</v>
      </c>
      <c r="H24" s="132">
        <f>SUM(H15:H23)</f>
        <v>6347</v>
      </c>
      <c r="I24" s="126">
        <f>(H24/G24)*100</f>
        <v>101.05078809106831</v>
      </c>
    </row>
    <row r="25" spans="1:9" ht="32.25" customHeight="1">
      <c r="A25" s="153"/>
      <c r="B25" s="375" t="s">
        <v>259</v>
      </c>
      <c r="C25" s="375"/>
      <c r="D25" s="375"/>
      <c r="E25" s="375"/>
      <c r="F25" s="375"/>
      <c r="G25" s="118"/>
      <c r="H25" s="118"/>
      <c r="I25" s="121"/>
    </row>
    <row r="26" spans="1:9" ht="15">
      <c r="A26" s="8"/>
      <c r="B26" s="8"/>
      <c r="C26" s="8"/>
      <c r="D26" s="8" t="s">
        <v>32</v>
      </c>
      <c r="E26" s="8" t="s">
        <v>240</v>
      </c>
      <c r="F26" s="8"/>
      <c r="G26" s="122">
        <v>2088</v>
      </c>
      <c r="H26" s="122">
        <f>151+59+35+4+5</f>
        <v>254</v>
      </c>
      <c r="I26" s="121">
        <f>(H26/G26)*100</f>
        <v>12.164750957854405</v>
      </c>
    </row>
    <row r="27" spans="1:9" ht="31.5" customHeight="1">
      <c r="A27" s="8"/>
      <c r="B27" s="8"/>
      <c r="C27" s="8"/>
      <c r="D27" s="154" t="s">
        <v>33</v>
      </c>
      <c r="E27" s="387" t="s">
        <v>241</v>
      </c>
      <c r="F27" s="387"/>
      <c r="G27" s="122">
        <v>774</v>
      </c>
      <c r="H27" s="122">
        <v>1352</v>
      </c>
      <c r="I27" s="121"/>
    </row>
    <row r="28" spans="1:9" ht="34.5" customHeight="1">
      <c r="A28" s="8"/>
      <c r="B28" s="8"/>
      <c r="C28" s="8"/>
      <c r="D28" s="154" t="s">
        <v>34</v>
      </c>
      <c r="E28" s="387" t="s">
        <v>242</v>
      </c>
      <c r="F28" s="387"/>
      <c r="G28" s="122">
        <v>766</v>
      </c>
      <c r="H28" s="122">
        <f>166+55</f>
        <v>221</v>
      </c>
      <c r="I28" s="121">
        <f>(H28/G28)*100</f>
        <v>28.851174934725847</v>
      </c>
    </row>
    <row r="29" spans="1:9" ht="32.25" customHeight="1">
      <c r="A29" s="156"/>
      <c r="B29" s="156"/>
      <c r="C29" s="389" t="s">
        <v>156</v>
      </c>
      <c r="D29" s="389"/>
      <c r="E29" s="389"/>
      <c r="F29" s="389"/>
      <c r="G29" s="133">
        <f>SUM(G26:G28)</f>
        <v>3628</v>
      </c>
      <c r="H29" s="133">
        <f>SUM(H26:H28)</f>
        <v>1827</v>
      </c>
      <c r="I29" s="134">
        <f>(H29/G29)*100</f>
        <v>50.35832414553473</v>
      </c>
    </row>
    <row r="30" spans="1:9" ht="6" customHeight="1">
      <c r="A30" s="8"/>
      <c r="B30" s="8"/>
      <c r="C30" s="8"/>
      <c r="D30" s="8"/>
      <c r="E30" s="8"/>
      <c r="F30" s="8"/>
      <c r="G30" s="122"/>
      <c r="H30" s="122"/>
      <c r="I30" s="121"/>
    </row>
    <row r="31" spans="1:9" ht="30" customHeight="1">
      <c r="A31" s="153"/>
      <c r="B31" s="375" t="s">
        <v>260</v>
      </c>
      <c r="C31" s="375"/>
      <c r="D31" s="375"/>
      <c r="E31" s="375"/>
      <c r="F31" s="375"/>
      <c r="G31" s="118"/>
      <c r="H31" s="118"/>
      <c r="I31" s="121"/>
    </row>
    <row r="32" spans="1:9" ht="30.75" customHeight="1">
      <c r="A32" s="8"/>
      <c r="B32" s="8"/>
      <c r="C32" s="8"/>
      <c r="D32" s="8" t="s">
        <v>32</v>
      </c>
      <c r="E32" s="372" t="s">
        <v>157</v>
      </c>
      <c r="F32" s="372"/>
      <c r="G32" s="120"/>
      <c r="H32" s="120"/>
      <c r="I32" s="121"/>
    </row>
    <row r="33" spans="1:9" ht="33.75" customHeight="1">
      <c r="A33" s="8"/>
      <c r="B33" s="8"/>
      <c r="C33" s="8"/>
      <c r="D33" s="8"/>
      <c r="E33" s="154" t="s">
        <v>158</v>
      </c>
      <c r="F33" s="158" t="s">
        <v>257</v>
      </c>
      <c r="G33" s="120">
        <v>171</v>
      </c>
      <c r="H33" s="120">
        <v>1200</v>
      </c>
      <c r="I33" s="121">
        <f>(H33/G33)*100</f>
        <v>701.7543859649122</v>
      </c>
    </row>
    <row r="34" spans="1:9" ht="30" customHeight="1">
      <c r="A34" s="8"/>
      <c r="B34" s="390" t="s">
        <v>264</v>
      </c>
      <c r="C34" s="390"/>
      <c r="D34" s="390"/>
      <c r="E34" s="390"/>
      <c r="F34" s="390"/>
      <c r="G34" s="127">
        <f>SUM(G33:G33)</f>
        <v>171</v>
      </c>
      <c r="H34" s="127">
        <f>SUM(H33:H33)</f>
        <v>1200</v>
      </c>
      <c r="I34" s="126">
        <f>(H34/G34)*100</f>
        <v>701.7543859649122</v>
      </c>
    </row>
    <row r="35" spans="1:9" ht="15" customHeight="1">
      <c r="A35" s="8"/>
      <c r="B35" s="390" t="s">
        <v>261</v>
      </c>
      <c r="C35" s="390"/>
      <c r="D35" s="390"/>
      <c r="E35" s="390"/>
      <c r="F35" s="390"/>
      <c r="G35" s="124">
        <v>-92</v>
      </c>
      <c r="H35" s="124"/>
      <c r="I35" s="121"/>
    </row>
    <row r="36" spans="1:9" ht="15" customHeight="1">
      <c r="A36" s="8"/>
      <c r="B36" s="10" t="s">
        <v>187</v>
      </c>
      <c r="C36" s="10" t="s">
        <v>159</v>
      </c>
      <c r="D36" s="10"/>
      <c r="E36" s="119"/>
      <c r="F36" s="119"/>
      <c r="G36" s="120"/>
      <c r="H36" s="120"/>
      <c r="I36" s="121"/>
    </row>
    <row r="37" spans="1:9" ht="15" customHeight="1">
      <c r="A37" s="8"/>
      <c r="B37" s="8"/>
      <c r="C37" s="8"/>
      <c r="D37" s="8" t="s">
        <v>33</v>
      </c>
      <c r="E37" s="8" t="s">
        <v>243</v>
      </c>
      <c r="F37" s="129"/>
      <c r="G37" s="120">
        <v>47</v>
      </c>
      <c r="H37" s="120"/>
      <c r="I37" s="121"/>
    </row>
    <row r="38" ht="32.25" customHeight="1"/>
    <row r="39" spans="1:9" ht="24.75" customHeight="1" thickBot="1">
      <c r="A39" s="398" t="s">
        <v>256</v>
      </c>
      <c r="B39" s="398"/>
      <c r="C39" s="398"/>
      <c r="D39" s="398"/>
      <c r="E39" s="398"/>
      <c r="F39" s="398"/>
      <c r="G39" s="398"/>
      <c r="H39" s="398"/>
      <c r="I39" s="398"/>
    </row>
    <row r="40" spans="1:9" ht="17.25" customHeight="1">
      <c r="A40" s="378" t="s">
        <v>138</v>
      </c>
      <c r="B40" s="379"/>
      <c r="C40" s="379"/>
      <c r="D40" s="379"/>
      <c r="E40" s="379"/>
      <c r="F40" s="380"/>
      <c r="G40" s="148" t="s">
        <v>2</v>
      </c>
      <c r="H40" s="148" t="s">
        <v>2</v>
      </c>
      <c r="I40" s="138" t="s">
        <v>236</v>
      </c>
    </row>
    <row r="41" spans="1:9" ht="14.25" customHeight="1">
      <c r="A41" s="381"/>
      <c r="B41" s="382"/>
      <c r="C41" s="382"/>
      <c r="D41" s="382"/>
      <c r="E41" s="382"/>
      <c r="F41" s="383"/>
      <c r="G41" s="149" t="s">
        <v>60</v>
      </c>
      <c r="H41" s="149" t="s">
        <v>60</v>
      </c>
      <c r="I41" s="150"/>
    </row>
    <row r="42" spans="1:9" ht="16.5" customHeight="1" thickBot="1">
      <c r="A42" s="384"/>
      <c r="B42" s="385"/>
      <c r="C42" s="385"/>
      <c r="D42" s="385"/>
      <c r="E42" s="385"/>
      <c r="F42" s="386"/>
      <c r="G42" s="151" t="s">
        <v>4</v>
      </c>
      <c r="H42" s="151" t="s">
        <v>235</v>
      </c>
      <c r="I42" s="152" t="s">
        <v>3</v>
      </c>
    </row>
    <row r="43" spans="1:10" ht="16.5" customHeight="1">
      <c r="A43" s="285"/>
      <c r="B43" s="285"/>
      <c r="C43" s="286" t="s">
        <v>39</v>
      </c>
      <c r="D43" s="287" t="s">
        <v>358</v>
      </c>
      <c r="E43" s="287"/>
      <c r="F43" s="288"/>
      <c r="G43" s="289"/>
      <c r="H43" s="289"/>
      <c r="I43" s="289"/>
      <c r="J43" s="290"/>
    </row>
    <row r="44" spans="1:10" ht="16.5" customHeight="1">
      <c r="A44" s="291"/>
      <c r="B44" s="291"/>
      <c r="C44" s="292"/>
      <c r="D44" s="293" t="s">
        <v>33</v>
      </c>
      <c r="E44" s="396" t="s">
        <v>359</v>
      </c>
      <c r="F44" s="397"/>
      <c r="G44" s="289"/>
      <c r="H44" s="289">
        <v>188</v>
      </c>
      <c r="I44" s="289"/>
      <c r="J44" s="290">
        <f>I44/H44*100</f>
        <v>0</v>
      </c>
    </row>
    <row r="45" spans="1:10" ht="30" customHeight="1">
      <c r="A45" s="399" t="s">
        <v>244</v>
      </c>
      <c r="B45" s="400"/>
      <c r="C45" s="400"/>
      <c r="D45" s="400"/>
      <c r="E45" s="400"/>
      <c r="F45" s="400"/>
      <c r="G45" s="125">
        <f>G24+G29+G34+G37+G35</f>
        <v>10035</v>
      </c>
      <c r="H45" s="125">
        <f>H24+H29+H34+H37+H35+H44</f>
        <v>9562</v>
      </c>
      <c r="I45" s="126">
        <f>(H45/G45)*100</f>
        <v>95.28649725959143</v>
      </c>
      <c r="J45" s="290"/>
    </row>
    <row r="46" spans="1:9" ht="33" customHeight="1">
      <c r="A46" s="143"/>
      <c r="B46" s="373" t="s">
        <v>265</v>
      </c>
      <c r="C46" s="374"/>
      <c r="D46" s="374"/>
      <c r="E46" s="374"/>
      <c r="F46" s="374"/>
      <c r="G46" s="123"/>
      <c r="H46" s="123"/>
      <c r="I46" s="126"/>
    </row>
    <row r="47" spans="1:9" ht="15">
      <c r="A47" s="140"/>
      <c r="B47" s="140"/>
      <c r="C47" s="141" t="s">
        <v>32</v>
      </c>
      <c r="D47" s="142" t="s">
        <v>161</v>
      </c>
      <c r="E47" s="140"/>
      <c r="F47" s="140"/>
      <c r="G47" s="123">
        <v>46</v>
      </c>
      <c r="H47" s="123">
        <f>17+41</f>
        <v>58</v>
      </c>
      <c r="I47" s="121">
        <f>(H47/G47)*100</f>
        <v>126.08695652173914</v>
      </c>
    </row>
    <row r="48" spans="1:9" ht="15">
      <c r="A48" s="140"/>
      <c r="B48" s="140"/>
      <c r="C48" s="140" t="s">
        <v>33</v>
      </c>
      <c r="D48" s="393" t="s">
        <v>162</v>
      </c>
      <c r="E48" s="393"/>
      <c r="F48" s="393"/>
      <c r="G48" s="123">
        <v>719</v>
      </c>
      <c r="H48" s="123">
        <f>584+400+268+278</f>
        <v>1530</v>
      </c>
      <c r="I48" s="121">
        <f>(H48/G48)*100</f>
        <v>212.79554937413076</v>
      </c>
    </row>
    <row r="49" spans="1:9" ht="15">
      <c r="A49" s="140"/>
      <c r="B49" s="140"/>
      <c r="C49" s="140" t="s">
        <v>34</v>
      </c>
      <c r="D49" s="393" t="s">
        <v>405</v>
      </c>
      <c r="E49" s="401"/>
      <c r="F49" s="401"/>
      <c r="G49" s="123"/>
      <c r="H49" s="123">
        <v>65</v>
      </c>
      <c r="I49" s="121"/>
    </row>
    <row r="50" spans="1:9" ht="32.25" customHeight="1">
      <c r="A50" s="140"/>
      <c r="B50" s="373" t="s">
        <v>163</v>
      </c>
      <c r="C50" s="373"/>
      <c r="D50" s="373"/>
      <c r="E50" s="373"/>
      <c r="F50" s="373"/>
      <c r="G50" s="125">
        <f>G47+G48</f>
        <v>765</v>
      </c>
      <c r="H50" s="125">
        <f>H47+H48+H49</f>
        <v>1653</v>
      </c>
      <c r="I50" s="121">
        <f>(H50/G50)*100</f>
        <v>216.078431372549</v>
      </c>
    </row>
    <row r="51" spans="1:9" ht="33.75" customHeight="1">
      <c r="A51" s="373" t="s">
        <v>164</v>
      </c>
      <c r="B51" s="373"/>
      <c r="C51" s="373"/>
      <c r="D51" s="373"/>
      <c r="E51" s="373"/>
      <c r="F51" s="373"/>
      <c r="G51" s="130">
        <f>G45+G50</f>
        <v>10800</v>
      </c>
      <c r="H51" s="130">
        <f>H45+H50</f>
        <v>11215</v>
      </c>
      <c r="I51" s="126">
        <f>(H51/G51)*100</f>
        <v>103.84259259259258</v>
      </c>
    </row>
    <row r="52" spans="1:9" ht="30.75" customHeight="1">
      <c r="A52" s="143" t="s">
        <v>160</v>
      </c>
      <c r="B52" s="373" t="s">
        <v>165</v>
      </c>
      <c r="C52" s="373"/>
      <c r="D52" s="373"/>
      <c r="E52" s="373"/>
      <c r="F52" s="373"/>
      <c r="G52" s="130"/>
      <c r="H52" s="125"/>
      <c r="I52" s="126"/>
    </row>
    <row r="53" spans="1:9" ht="15">
      <c r="A53" s="143"/>
      <c r="B53" s="139" t="s">
        <v>32</v>
      </c>
      <c r="C53" s="373" t="s">
        <v>245</v>
      </c>
      <c r="D53" s="373"/>
      <c r="E53" s="373"/>
      <c r="F53" s="373"/>
      <c r="G53" s="123"/>
      <c r="H53" s="123"/>
      <c r="I53" s="121"/>
    </row>
    <row r="54" spans="1:9" ht="15">
      <c r="A54" s="143"/>
      <c r="B54" s="139"/>
      <c r="C54" s="139" t="s">
        <v>32</v>
      </c>
      <c r="D54" s="144" t="s">
        <v>166</v>
      </c>
      <c r="E54" s="139"/>
      <c r="F54" s="139"/>
      <c r="G54" s="123">
        <v>477</v>
      </c>
      <c r="H54" s="123"/>
      <c r="I54" s="121"/>
    </row>
    <row r="55" spans="1:9" ht="15">
      <c r="A55" s="143"/>
      <c r="B55" s="139"/>
      <c r="C55" s="139" t="s">
        <v>33</v>
      </c>
      <c r="D55" s="144" t="s">
        <v>246</v>
      </c>
      <c r="E55" s="139"/>
      <c r="F55" s="139"/>
      <c r="G55" s="123">
        <v>497</v>
      </c>
      <c r="H55" s="123"/>
      <c r="I55" s="121"/>
    </row>
    <row r="56" spans="1:9" ht="28.5">
      <c r="A56" s="143"/>
      <c r="B56" s="139"/>
      <c r="C56" s="139" t="s">
        <v>387</v>
      </c>
      <c r="D56" s="144" t="s">
        <v>395</v>
      </c>
      <c r="E56" s="139"/>
      <c r="F56" s="139"/>
      <c r="G56" s="123"/>
      <c r="H56" s="123">
        <v>938</v>
      </c>
      <c r="I56" s="121"/>
    </row>
    <row r="57" spans="1:9" ht="15">
      <c r="A57" s="143"/>
      <c r="B57" s="139"/>
      <c r="C57" s="139" t="s">
        <v>35</v>
      </c>
      <c r="D57" s="394" t="s">
        <v>396</v>
      </c>
      <c r="E57" s="395"/>
      <c r="F57" s="395"/>
      <c r="G57" s="123"/>
      <c r="H57" s="123">
        <v>8000</v>
      </c>
      <c r="I57" s="121"/>
    </row>
    <row r="58" spans="1:9" ht="15">
      <c r="A58" s="143"/>
      <c r="B58" s="139"/>
      <c r="C58" s="139" t="s">
        <v>36</v>
      </c>
      <c r="D58" s="394" t="s">
        <v>397</v>
      </c>
      <c r="E58" s="395"/>
      <c r="F58" s="395"/>
      <c r="G58" s="123"/>
      <c r="H58" s="123"/>
      <c r="I58" s="121"/>
    </row>
    <row r="59" spans="1:9" ht="30.75" customHeight="1">
      <c r="A59" s="143"/>
      <c r="B59" s="139"/>
      <c r="C59" s="373" t="s">
        <v>247</v>
      </c>
      <c r="D59" s="373"/>
      <c r="E59" s="373"/>
      <c r="F59" s="373"/>
      <c r="G59" s="130">
        <f>G54+G55</f>
        <v>974</v>
      </c>
      <c r="H59" s="130">
        <f>H54+H55+H56+H57+H58</f>
        <v>8938</v>
      </c>
      <c r="I59" s="126">
        <f>(H59/G59)*100</f>
        <v>917.659137577002</v>
      </c>
    </row>
    <row r="60" spans="1:19" ht="15">
      <c r="A60" s="10" t="s">
        <v>167</v>
      </c>
      <c r="B60" s="10" t="s">
        <v>108</v>
      </c>
      <c r="C60" s="10"/>
      <c r="D60" s="10"/>
      <c r="E60" s="10"/>
      <c r="F60" s="10"/>
      <c r="G60" s="10"/>
      <c r="H60" s="127"/>
      <c r="I60" s="121"/>
      <c r="L60" s="391"/>
      <c r="M60" s="392"/>
      <c r="N60" s="392"/>
      <c r="O60" s="392"/>
      <c r="P60" s="392"/>
      <c r="Q60" s="392"/>
      <c r="R60" s="392"/>
      <c r="S60" s="392"/>
    </row>
    <row r="61" spans="1:9" ht="15">
      <c r="A61" s="8"/>
      <c r="B61" s="8" t="s">
        <v>175</v>
      </c>
      <c r="C61" s="8" t="s">
        <v>168</v>
      </c>
      <c r="D61" s="8"/>
      <c r="E61" s="8"/>
      <c r="F61" s="8"/>
      <c r="G61" s="8"/>
      <c r="H61" s="122"/>
      <c r="I61" s="121"/>
    </row>
    <row r="62" spans="1:9" ht="15">
      <c r="A62" s="8"/>
      <c r="B62" s="8"/>
      <c r="C62" s="8" t="s">
        <v>32</v>
      </c>
      <c r="D62" s="8" t="s">
        <v>169</v>
      </c>
      <c r="E62" s="8"/>
      <c r="F62" s="8"/>
      <c r="G62" s="122">
        <v>100</v>
      </c>
      <c r="H62" s="122">
        <v>100</v>
      </c>
      <c r="I62" s="121"/>
    </row>
    <row r="63" spans="1:9" ht="15">
      <c r="A63" s="10"/>
      <c r="B63" s="10" t="s">
        <v>32</v>
      </c>
      <c r="C63" s="10" t="s">
        <v>170</v>
      </c>
      <c r="D63" s="10"/>
      <c r="E63" s="10"/>
      <c r="F63" s="10"/>
      <c r="G63" s="10"/>
      <c r="H63" s="127"/>
      <c r="I63" s="121"/>
    </row>
    <row r="64" spans="1:9" ht="15">
      <c r="A64" s="8"/>
      <c r="B64" s="8"/>
      <c r="C64" s="8" t="s">
        <v>32</v>
      </c>
      <c r="D64" s="8" t="s">
        <v>171</v>
      </c>
      <c r="E64" s="8"/>
      <c r="F64" s="8"/>
      <c r="G64" s="122">
        <v>1000</v>
      </c>
      <c r="H64" s="122">
        <v>1000</v>
      </c>
      <c r="I64" s="121">
        <f>H64/G64*100</f>
        <v>100</v>
      </c>
    </row>
    <row r="65" spans="1:9" ht="15">
      <c r="A65" s="10"/>
      <c r="B65" s="10" t="s">
        <v>33</v>
      </c>
      <c r="C65" s="10" t="s">
        <v>172</v>
      </c>
      <c r="D65" s="10"/>
      <c r="E65" s="10"/>
      <c r="F65" s="10"/>
      <c r="G65" s="127"/>
      <c r="H65" s="127"/>
      <c r="I65" s="121"/>
    </row>
    <row r="66" spans="1:9" ht="15">
      <c r="A66" s="8"/>
      <c r="B66" s="8"/>
      <c r="C66" s="8" t="s">
        <v>32</v>
      </c>
      <c r="D66" s="8" t="s">
        <v>173</v>
      </c>
      <c r="E66" s="8"/>
      <c r="F66" s="8"/>
      <c r="G66" s="122">
        <v>630</v>
      </c>
      <c r="H66" s="122">
        <v>200</v>
      </c>
      <c r="I66" s="121">
        <f>H66/G66*100</f>
        <v>31.746031746031743</v>
      </c>
    </row>
    <row r="67" spans="1:9" ht="15">
      <c r="A67" s="10"/>
      <c r="B67" s="10" t="s">
        <v>35</v>
      </c>
      <c r="C67" s="10" t="s">
        <v>174</v>
      </c>
      <c r="D67" s="10"/>
      <c r="E67" s="10"/>
      <c r="F67" s="10"/>
      <c r="G67" s="127"/>
      <c r="H67" s="127"/>
      <c r="I67" s="121"/>
    </row>
    <row r="68" spans="1:9" ht="15">
      <c r="A68" s="8"/>
      <c r="B68" s="8"/>
      <c r="C68" s="10" t="s">
        <v>32</v>
      </c>
      <c r="D68" s="8" t="s">
        <v>176</v>
      </c>
      <c r="E68" s="8"/>
      <c r="F68" s="8"/>
      <c r="G68" s="122">
        <v>10</v>
      </c>
      <c r="H68" s="122">
        <v>10</v>
      </c>
      <c r="I68" s="121">
        <f>H68/G68*100</f>
        <v>100</v>
      </c>
    </row>
    <row r="69" spans="1:9" ht="15">
      <c r="A69" s="8"/>
      <c r="B69" s="8"/>
      <c r="C69" s="10" t="s">
        <v>34</v>
      </c>
      <c r="D69" s="8" t="s">
        <v>177</v>
      </c>
      <c r="E69" s="8"/>
      <c r="F69" s="8"/>
      <c r="G69" s="122">
        <v>100</v>
      </c>
      <c r="H69" s="122">
        <v>20</v>
      </c>
      <c r="I69" s="121">
        <f>H69/G69*100</f>
        <v>20</v>
      </c>
    </row>
    <row r="70" spans="1:9" ht="15">
      <c r="A70" s="10" t="s">
        <v>178</v>
      </c>
      <c r="B70" s="140"/>
      <c r="C70" s="140"/>
      <c r="D70" s="140"/>
      <c r="E70" s="140"/>
      <c r="F70" s="140"/>
      <c r="G70" s="125">
        <f>SUM(G62:G69)</f>
        <v>1840</v>
      </c>
      <c r="H70" s="125">
        <f>SUM(H62:H69)</f>
        <v>1330</v>
      </c>
      <c r="I70" s="126">
        <f>H70/G70*100</f>
        <v>72.28260869565217</v>
      </c>
    </row>
    <row r="71" spans="1:9" ht="15">
      <c r="A71" s="10" t="s">
        <v>179</v>
      </c>
      <c r="B71" s="10" t="s">
        <v>109</v>
      </c>
      <c r="C71" s="10"/>
      <c r="D71" s="10"/>
      <c r="E71" s="10"/>
      <c r="F71" s="10"/>
      <c r="G71" s="10"/>
      <c r="H71" s="127"/>
      <c r="I71" s="121"/>
    </row>
    <row r="72" spans="1:9" ht="6" customHeight="1">
      <c r="A72" s="140"/>
      <c r="B72" s="140"/>
      <c r="C72" s="140"/>
      <c r="D72" s="140"/>
      <c r="E72" s="140"/>
      <c r="F72" s="140"/>
      <c r="G72" s="123"/>
      <c r="H72" s="123"/>
      <c r="I72" s="121"/>
    </row>
    <row r="73" spans="1:9" ht="15">
      <c r="A73" s="140"/>
      <c r="B73" s="140" t="s">
        <v>32</v>
      </c>
      <c r="C73" s="402" t="s">
        <v>180</v>
      </c>
      <c r="D73" s="402"/>
      <c r="E73" s="402"/>
      <c r="F73" s="402"/>
      <c r="G73" s="123"/>
      <c r="H73" s="123"/>
      <c r="I73" s="121"/>
    </row>
    <row r="74" spans="1:9" ht="15">
      <c r="A74" s="140"/>
      <c r="B74" s="140"/>
      <c r="C74" s="145" t="s">
        <v>32</v>
      </c>
      <c r="D74" s="145" t="s">
        <v>181</v>
      </c>
      <c r="E74" s="145"/>
      <c r="F74" s="145"/>
      <c r="G74" s="123">
        <v>578</v>
      </c>
      <c r="H74" s="123">
        <v>578</v>
      </c>
      <c r="I74" s="121">
        <f>H74/G74*100</f>
        <v>100</v>
      </c>
    </row>
    <row r="75" spans="1:9" ht="15">
      <c r="A75" s="140"/>
      <c r="B75" s="140"/>
      <c r="C75" s="145" t="s">
        <v>33</v>
      </c>
      <c r="D75" s="145" t="s">
        <v>182</v>
      </c>
      <c r="E75" s="145"/>
      <c r="F75" s="145"/>
      <c r="G75" s="123">
        <v>360</v>
      </c>
      <c r="H75" s="123">
        <f>360+53</f>
        <v>413</v>
      </c>
      <c r="I75" s="121">
        <f>H75/G75*100</f>
        <v>114.72222222222221</v>
      </c>
    </row>
    <row r="76" spans="1:9" ht="15">
      <c r="A76" s="140"/>
      <c r="B76" s="140"/>
      <c r="C76" s="145" t="s">
        <v>34</v>
      </c>
      <c r="D76" s="145" t="s">
        <v>183</v>
      </c>
      <c r="E76" s="140"/>
      <c r="F76" s="140"/>
      <c r="G76" s="123">
        <v>2</v>
      </c>
      <c r="H76" s="123">
        <v>2</v>
      </c>
      <c r="I76" s="121">
        <f>H76/G76*100</f>
        <v>100</v>
      </c>
    </row>
    <row r="77" spans="1:9" ht="15">
      <c r="A77" s="10" t="s">
        <v>184</v>
      </c>
      <c r="B77" s="140"/>
      <c r="C77" s="140"/>
      <c r="D77" s="140"/>
      <c r="E77" s="140"/>
      <c r="F77" s="140"/>
      <c r="G77" s="125">
        <f>G74+G75+G76</f>
        <v>940</v>
      </c>
      <c r="H77" s="125">
        <f>H74+H75+H76</f>
        <v>993</v>
      </c>
      <c r="I77" s="126">
        <f>H77/G77*100</f>
        <v>105.63829787234043</v>
      </c>
    </row>
    <row r="78" spans="1:9" ht="6" customHeight="1">
      <c r="A78" s="10"/>
      <c r="B78" s="140"/>
      <c r="C78" s="140"/>
      <c r="D78" s="140"/>
      <c r="E78" s="140"/>
      <c r="F78" s="140"/>
      <c r="G78" s="125"/>
      <c r="H78" s="125"/>
      <c r="I78" s="126"/>
    </row>
    <row r="79" spans="1:9" ht="15">
      <c r="A79" s="10" t="s">
        <v>185</v>
      </c>
      <c r="B79" s="10" t="s">
        <v>114</v>
      </c>
      <c r="C79" s="10"/>
      <c r="D79" s="10"/>
      <c r="E79" s="10"/>
      <c r="F79" s="10"/>
      <c r="G79" s="10"/>
      <c r="H79" s="127"/>
      <c r="I79" s="121"/>
    </row>
    <row r="80" spans="1:9" ht="29.25" customHeight="1">
      <c r="A80" s="8"/>
      <c r="B80" s="154" t="s">
        <v>32</v>
      </c>
      <c r="C80" s="372" t="s">
        <v>252</v>
      </c>
      <c r="D80" s="372"/>
      <c r="E80" s="372"/>
      <c r="F80" s="372"/>
      <c r="G80" s="129"/>
      <c r="H80" s="120"/>
      <c r="I80" s="121"/>
    </row>
    <row r="81" spans="1:9" ht="29.25" customHeight="1">
      <c r="A81" s="8"/>
      <c r="B81" s="8"/>
      <c r="C81" s="154" t="s">
        <v>32</v>
      </c>
      <c r="D81" s="372" t="s">
        <v>248</v>
      </c>
      <c r="E81" s="372"/>
      <c r="F81" s="372"/>
      <c r="G81" s="123"/>
      <c r="H81" s="136">
        <f>11000-360</f>
        <v>10640</v>
      </c>
      <c r="I81" s="121"/>
    </row>
    <row r="82" spans="1:9" ht="0.75" customHeight="1">
      <c r="A82" s="8"/>
      <c r="B82" s="8"/>
      <c r="C82" s="8"/>
      <c r="D82" s="8"/>
      <c r="E82" s="8"/>
      <c r="F82" s="8"/>
      <c r="G82" s="8"/>
      <c r="H82" s="122"/>
      <c r="I82" s="121"/>
    </row>
    <row r="83" spans="1:9" ht="26.25" customHeight="1">
      <c r="A83" s="375" t="s">
        <v>249</v>
      </c>
      <c r="B83" s="375"/>
      <c r="C83" s="375"/>
      <c r="D83" s="375"/>
      <c r="E83" s="375"/>
      <c r="F83" s="375"/>
      <c r="G83" s="130">
        <f>SUM(G81:G82)</f>
        <v>0</v>
      </c>
      <c r="H83" s="130">
        <f>SUM(H81:H82)</f>
        <v>10640</v>
      </c>
      <c r="I83" s="126"/>
    </row>
    <row r="84" spans="1:9" ht="18.75" customHeight="1">
      <c r="A84" s="10" t="s">
        <v>186</v>
      </c>
      <c r="B84" s="10"/>
      <c r="C84" s="10"/>
      <c r="D84" s="10"/>
      <c r="E84" s="10"/>
      <c r="F84" s="10"/>
      <c r="G84" s="130">
        <f>G51+G59+G70+G77</f>
        <v>14554</v>
      </c>
      <c r="H84" s="130">
        <f>H51+H59+H70+H77+H83</f>
        <v>33116</v>
      </c>
      <c r="I84" s="126">
        <f>H84/G84*100</f>
        <v>227.53882094269616</v>
      </c>
    </row>
    <row r="85" spans="1:9" ht="17.25" customHeight="1">
      <c r="A85" s="10"/>
      <c r="B85" s="10"/>
      <c r="C85" s="10"/>
      <c r="D85" s="10"/>
      <c r="E85" s="10"/>
      <c r="F85" s="10"/>
      <c r="G85" s="130"/>
      <c r="H85" s="130"/>
      <c r="I85" s="126"/>
    </row>
    <row r="86" spans="1:9" ht="17.25" customHeight="1">
      <c r="A86" s="10"/>
      <c r="B86" s="10"/>
      <c r="C86" s="10"/>
      <c r="D86" s="10"/>
      <c r="E86" s="10"/>
      <c r="F86" s="10"/>
      <c r="G86" s="130"/>
      <c r="H86" s="130"/>
      <c r="I86" s="126"/>
    </row>
    <row r="87" spans="1:9" ht="17.25" customHeight="1" thickBot="1">
      <c r="A87" s="398" t="s">
        <v>360</v>
      </c>
      <c r="B87" s="398"/>
      <c r="C87" s="398"/>
      <c r="D87" s="398"/>
      <c r="E87" s="398"/>
      <c r="F87" s="398"/>
      <c r="G87" s="398"/>
      <c r="H87" s="398"/>
      <c r="I87" s="398"/>
    </row>
    <row r="88" spans="1:9" ht="17.25" customHeight="1">
      <c r="A88" s="378" t="s">
        <v>138</v>
      </c>
      <c r="B88" s="379"/>
      <c r="C88" s="379"/>
      <c r="D88" s="379"/>
      <c r="E88" s="379"/>
      <c r="F88" s="380"/>
      <c r="G88" s="148" t="s">
        <v>2</v>
      </c>
      <c r="H88" s="148" t="s">
        <v>2</v>
      </c>
      <c r="I88" s="138" t="s">
        <v>236</v>
      </c>
    </row>
    <row r="89" spans="1:9" ht="17.25" customHeight="1">
      <c r="A89" s="381"/>
      <c r="B89" s="382"/>
      <c r="C89" s="382"/>
      <c r="D89" s="382"/>
      <c r="E89" s="382"/>
      <c r="F89" s="383"/>
      <c r="G89" s="149" t="s">
        <v>60</v>
      </c>
      <c r="H89" s="149" t="s">
        <v>60</v>
      </c>
      <c r="I89" s="150"/>
    </row>
    <row r="90" spans="1:9" ht="17.25" customHeight="1" thickBot="1">
      <c r="A90" s="384"/>
      <c r="B90" s="385"/>
      <c r="C90" s="385"/>
      <c r="D90" s="385"/>
      <c r="E90" s="385"/>
      <c r="F90" s="386"/>
      <c r="G90" s="151" t="s">
        <v>4</v>
      </c>
      <c r="H90" s="151" t="s">
        <v>235</v>
      </c>
      <c r="I90" s="152" t="s">
        <v>3</v>
      </c>
    </row>
    <row r="91" spans="1:9" ht="17.25" customHeight="1">
      <c r="A91" s="10"/>
      <c r="B91" s="10"/>
      <c r="C91" s="10"/>
      <c r="D91" s="10"/>
      <c r="E91" s="10"/>
      <c r="F91" s="10"/>
      <c r="G91" s="130"/>
      <c r="H91" s="130"/>
      <c r="I91" s="126"/>
    </row>
    <row r="92" spans="1:9" ht="15">
      <c r="A92" s="10" t="s">
        <v>187</v>
      </c>
      <c r="B92" s="375" t="s">
        <v>188</v>
      </c>
      <c r="C92" s="375"/>
      <c r="D92" s="375"/>
      <c r="E92" s="375"/>
      <c r="F92" s="375"/>
      <c r="G92" s="10"/>
      <c r="H92" s="120"/>
      <c r="I92" s="121"/>
    </row>
    <row r="93" spans="1:9" ht="15">
      <c r="A93" s="10"/>
      <c r="B93" s="137" t="s">
        <v>32</v>
      </c>
      <c r="C93" s="375" t="s">
        <v>250</v>
      </c>
      <c r="D93" s="375"/>
      <c r="E93" s="375"/>
      <c r="F93" s="375"/>
      <c r="G93" s="123"/>
      <c r="H93" s="120"/>
      <c r="I93" s="121"/>
    </row>
    <row r="94" spans="1:9" ht="15">
      <c r="A94" s="10"/>
      <c r="B94" s="137"/>
      <c r="C94" s="157" t="s">
        <v>32</v>
      </c>
      <c r="D94" s="372" t="s">
        <v>266</v>
      </c>
      <c r="E94" s="372"/>
      <c r="F94" s="372"/>
      <c r="G94" s="120">
        <v>1211</v>
      </c>
      <c r="H94" s="120">
        <f>13+29+363+2122+811+166</f>
        <v>3504</v>
      </c>
      <c r="I94" s="121"/>
    </row>
    <row r="95" spans="1:9" ht="17.25" customHeight="1">
      <c r="A95" s="10"/>
      <c r="B95" s="137"/>
      <c r="C95" s="157" t="s">
        <v>33</v>
      </c>
      <c r="D95" s="372" t="s">
        <v>251</v>
      </c>
      <c r="E95" s="372"/>
      <c r="F95" s="372"/>
      <c r="G95" s="120">
        <v>970</v>
      </c>
      <c r="H95" s="8"/>
      <c r="I95" s="121"/>
    </row>
    <row r="96" spans="1:9" ht="17.25" customHeight="1">
      <c r="A96" s="10"/>
      <c r="B96" s="137" t="s">
        <v>33</v>
      </c>
      <c r="C96" s="403" t="s">
        <v>408</v>
      </c>
      <c r="D96" s="395"/>
      <c r="E96" s="395"/>
      <c r="F96" s="395"/>
      <c r="G96" s="120"/>
      <c r="H96" s="136">
        <v>942</v>
      </c>
      <c r="I96" s="121"/>
    </row>
    <row r="97" spans="1:9" ht="14.25">
      <c r="A97" s="10" t="s">
        <v>188</v>
      </c>
      <c r="B97" s="10"/>
      <c r="C97" s="10"/>
      <c r="D97" s="10"/>
      <c r="E97" s="10"/>
      <c r="F97" s="10"/>
      <c r="G97" s="130">
        <f>G94+G95</f>
        <v>2181</v>
      </c>
      <c r="H97" s="130">
        <f>H94+H95+H96</f>
        <v>4446</v>
      </c>
      <c r="I97" s="126"/>
    </row>
    <row r="98" spans="1:9" ht="6" customHeight="1">
      <c r="A98" s="10"/>
      <c r="B98" s="10"/>
      <c r="C98" s="10"/>
      <c r="D98" s="10"/>
      <c r="E98" s="10"/>
      <c r="F98" s="10"/>
      <c r="G98" s="130"/>
      <c r="H98" s="130"/>
      <c r="I98" s="126"/>
    </row>
    <row r="99" spans="1:9" ht="15.75">
      <c r="A99" s="12" t="s">
        <v>189</v>
      </c>
      <c r="B99" s="12"/>
      <c r="C99" s="12"/>
      <c r="D99" s="12"/>
      <c r="E99" s="12"/>
      <c r="F99" s="12"/>
      <c r="G99" s="159">
        <f>G84+G97</f>
        <v>16735</v>
      </c>
      <c r="H99" s="159">
        <f>H84+H97</f>
        <v>37562</v>
      </c>
      <c r="I99" s="128">
        <f>H99/G99*100</f>
        <v>224.4517478338811</v>
      </c>
    </row>
    <row r="100" spans="1:9" ht="15">
      <c r="A100" s="8"/>
      <c r="B100" s="8"/>
      <c r="C100" s="8"/>
      <c r="D100" s="8"/>
      <c r="E100" s="8"/>
      <c r="F100" s="8"/>
      <c r="G100" s="8"/>
      <c r="H100" s="8"/>
      <c r="I100" s="46" t="s">
        <v>354</v>
      </c>
    </row>
    <row r="101" spans="1:9" ht="1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</sheetData>
  <sheetProtection/>
  <mergeCells count="47">
    <mergeCell ref="C96:F96"/>
    <mergeCell ref="D95:F95"/>
    <mergeCell ref="D81:F81"/>
    <mergeCell ref="A83:F83"/>
    <mergeCell ref="B92:F92"/>
    <mergeCell ref="C93:F93"/>
    <mergeCell ref="C73:F73"/>
    <mergeCell ref="C80:F80"/>
    <mergeCell ref="D94:F94"/>
    <mergeCell ref="B52:F52"/>
    <mergeCell ref="C53:F53"/>
    <mergeCell ref="C59:F59"/>
    <mergeCell ref="E44:F44"/>
    <mergeCell ref="A87:I87"/>
    <mergeCell ref="A88:F90"/>
    <mergeCell ref="A45:F45"/>
    <mergeCell ref="D49:F49"/>
    <mergeCell ref="E28:F28"/>
    <mergeCell ref="B35:F35"/>
    <mergeCell ref="A40:F42"/>
    <mergeCell ref="B34:F34"/>
    <mergeCell ref="A39:I39"/>
    <mergeCell ref="L60:S60"/>
    <mergeCell ref="D48:F48"/>
    <mergeCell ref="B50:F50"/>
    <mergeCell ref="A51:F51"/>
    <mergeCell ref="D57:F57"/>
    <mergeCell ref="D58:F58"/>
    <mergeCell ref="A2:I2"/>
    <mergeCell ref="E27:F27"/>
    <mergeCell ref="C29:F29"/>
    <mergeCell ref="B31:F31"/>
    <mergeCell ref="B25:F25"/>
    <mergeCell ref="A3:I3"/>
    <mergeCell ref="A4:I4"/>
    <mergeCell ref="A5:I5"/>
    <mergeCell ref="A23:F24"/>
    <mergeCell ref="E32:F32"/>
    <mergeCell ref="A1:I1"/>
    <mergeCell ref="B46:F46"/>
    <mergeCell ref="D13:F13"/>
    <mergeCell ref="A6:I6"/>
    <mergeCell ref="H7:I7"/>
    <mergeCell ref="A8:F10"/>
    <mergeCell ref="B11:F11"/>
    <mergeCell ref="E14:F14"/>
    <mergeCell ref="E15:F15"/>
  </mergeCells>
  <printOptions/>
  <pageMargins left="0.38" right="0.53" top="0.29" bottom="0.38" header="0.33" footer="0.38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3" sqref="A3:F3"/>
    </sheetView>
  </sheetViews>
  <sheetFormatPr defaultColWidth="9.00390625" defaultRowHeight="12.75"/>
  <cols>
    <col min="2" max="2" width="53.625" style="0" customWidth="1"/>
    <col min="3" max="3" width="14.375" style="0" customWidth="1"/>
    <col min="4" max="4" width="15.00390625" style="0" customWidth="1"/>
    <col min="5" max="5" width="19.00390625" style="0" customWidth="1"/>
    <col min="6" max="6" width="25.375" style="0" customWidth="1"/>
  </cols>
  <sheetData>
    <row r="1" spans="1:9" ht="12.75">
      <c r="A1" s="370" t="s">
        <v>414</v>
      </c>
      <c r="B1" s="370"/>
      <c r="C1" s="370"/>
      <c r="D1" s="370"/>
      <c r="E1" s="370"/>
      <c r="F1" s="370"/>
      <c r="G1" s="282"/>
      <c r="H1" s="282"/>
      <c r="I1" s="282"/>
    </row>
    <row r="2" spans="1:15" ht="15.75">
      <c r="A2" s="406" t="s">
        <v>355</v>
      </c>
      <c r="B2" s="407"/>
      <c r="C2" s="407"/>
      <c r="D2" s="407"/>
      <c r="E2" s="407"/>
      <c r="F2" s="407"/>
      <c r="G2" s="174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.75">
      <c r="A4" s="177"/>
      <c r="B4" s="404"/>
      <c r="C4" s="404"/>
      <c r="D4" s="404"/>
      <c r="E4" s="404"/>
      <c r="F4" s="414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5.75">
      <c r="A5" s="404" t="s">
        <v>329</v>
      </c>
      <c r="B5" s="404"/>
      <c r="C5" s="404"/>
      <c r="D5" s="404"/>
      <c r="E5" s="404"/>
      <c r="F5" s="404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5.75">
      <c r="A6" s="404" t="s">
        <v>330</v>
      </c>
      <c r="B6" s="404"/>
      <c r="C6" s="404"/>
      <c r="D6" s="404"/>
      <c r="E6" s="404"/>
      <c r="F6" s="404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5.75">
      <c r="A7" s="404" t="s">
        <v>235</v>
      </c>
      <c r="B7" s="404"/>
      <c r="C7" s="404"/>
      <c r="D7" s="404"/>
      <c r="E7" s="404"/>
      <c r="F7" s="404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16.5" thickBot="1">
      <c r="A8" s="177"/>
      <c r="B8" s="177"/>
      <c r="C8" s="177"/>
      <c r="D8" s="177"/>
      <c r="E8" s="177"/>
      <c r="F8" s="179" t="s">
        <v>16</v>
      </c>
      <c r="G8" s="177"/>
      <c r="H8" s="177"/>
      <c r="I8" s="180"/>
      <c r="J8" s="177"/>
      <c r="K8" s="177"/>
      <c r="L8" s="177"/>
      <c r="M8" s="180"/>
      <c r="N8" s="180"/>
      <c r="O8" s="177"/>
    </row>
    <row r="9" spans="1:15" ht="16.5" thickBot="1">
      <c r="A9" s="415" t="s">
        <v>331</v>
      </c>
      <c r="B9" s="418" t="s">
        <v>192</v>
      </c>
      <c r="C9" s="421" t="s">
        <v>332</v>
      </c>
      <c r="D9" s="424" t="s">
        <v>333</v>
      </c>
      <c r="E9" s="425"/>
      <c r="F9" s="426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5.75">
      <c r="A10" s="416"/>
      <c r="B10" s="419"/>
      <c r="C10" s="422"/>
      <c r="D10" s="427" t="s">
        <v>334</v>
      </c>
      <c r="E10" s="427" t="s">
        <v>335</v>
      </c>
      <c r="F10" s="405" t="s">
        <v>336</v>
      </c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6.5" thickBot="1">
      <c r="A11" s="416"/>
      <c r="B11" s="419"/>
      <c r="C11" s="422"/>
      <c r="D11" s="427"/>
      <c r="E11" s="427"/>
      <c r="F11" s="405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5.75">
      <c r="A12" s="416"/>
      <c r="B12" s="419"/>
      <c r="C12" s="422"/>
      <c r="D12" s="408" t="s">
        <v>337</v>
      </c>
      <c r="E12" s="409"/>
      <c r="F12" s="410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16.5" thickBot="1">
      <c r="A13" s="417"/>
      <c r="B13" s="420"/>
      <c r="C13" s="423"/>
      <c r="D13" s="411"/>
      <c r="E13" s="412"/>
      <c r="F13" s="413"/>
      <c r="G13" s="181"/>
      <c r="H13" s="181"/>
      <c r="I13" s="181"/>
      <c r="J13" s="181"/>
      <c r="K13" s="181"/>
      <c r="L13" s="181"/>
      <c r="M13" s="181"/>
      <c r="N13" s="181"/>
      <c r="O13" s="181"/>
    </row>
    <row r="14" spans="1:15" ht="31.5">
      <c r="A14" s="182" t="s">
        <v>206</v>
      </c>
      <c r="B14" s="281" t="s">
        <v>207</v>
      </c>
      <c r="C14" s="183">
        <f aca="true" t="shared" si="0" ref="C14:C21">D14+E14+F14</f>
        <v>3571</v>
      </c>
      <c r="D14" s="183">
        <f>2+13+29+363+166+2933+65</f>
        <v>3571</v>
      </c>
      <c r="E14" s="184"/>
      <c r="F14" s="184"/>
      <c r="G14" s="185"/>
      <c r="H14" s="185"/>
      <c r="I14" s="186"/>
      <c r="J14" s="187"/>
      <c r="K14" s="33"/>
      <c r="L14" s="33"/>
      <c r="M14" s="186"/>
      <c r="N14" s="186"/>
      <c r="O14" s="33"/>
    </row>
    <row r="15" spans="1:15" ht="15.75">
      <c r="A15" s="188" t="s">
        <v>338</v>
      </c>
      <c r="B15" s="277" t="s">
        <v>339</v>
      </c>
      <c r="C15" s="189">
        <f t="shared" si="0"/>
        <v>19442</v>
      </c>
      <c r="D15" s="189">
        <f>19709+55-1501+942</f>
        <v>19205</v>
      </c>
      <c r="E15" s="190"/>
      <c r="F15" s="190">
        <f>151+59+35+4-17+5</f>
        <v>237</v>
      </c>
      <c r="G15" s="185"/>
      <c r="H15" s="185"/>
      <c r="I15" s="186"/>
      <c r="J15" s="33"/>
      <c r="K15" s="33"/>
      <c r="L15" s="33"/>
      <c r="M15" s="186"/>
      <c r="N15" s="186"/>
      <c r="O15" s="33"/>
    </row>
    <row r="16" spans="1:15" ht="15.75">
      <c r="A16" s="188" t="s">
        <v>254</v>
      </c>
      <c r="B16" s="277" t="s">
        <v>255</v>
      </c>
      <c r="C16" s="189">
        <f t="shared" si="0"/>
        <v>10640</v>
      </c>
      <c r="D16" s="189"/>
      <c r="E16" s="190">
        <f>11000-360</f>
        <v>10640</v>
      </c>
      <c r="F16" s="190"/>
      <c r="G16" s="185"/>
      <c r="H16" s="185"/>
      <c r="I16" s="186"/>
      <c r="J16" s="33"/>
      <c r="K16" s="33"/>
      <c r="L16" s="33"/>
      <c r="M16" s="186"/>
      <c r="N16" s="186"/>
      <c r="O16" s="33"/>
    </row>
    <row r="17" spans="1:15" ht="15.75">
      <c r="A17" s="188" t="s">
        <v>370</v>
      </c>
      <c r="B17" s="277" t="s">
        <v>371</v>
      </c>
      <c r="C17" s="189">
        <f t="shared" si="0"/>
        <v>1530</v>
      </c>
      <c r="D17" s="189">
        <f>584+400+268+278</f>
        <v>1530</v>
      </c>
      <c r="E17" s="190"/>
      <c r="F17" s="190"/>
      <c r="G17" s="185"/>
      <c r="H17" s="185"/>
      <c r="I17" s="186"/>
      <c r="J17" s="33"/>
      <c r="K17" s="33"/>
      <c r="L17" s="33"/>
      <c r="M17" s="186"/>
      <c r="N17" s="186"/>
      <c r="O17" s="33"/>
    </row>
    <row r="18" spans="1:15" ht="15.75">
      <c r="A18" s="188" t="s">
        <v>220</v>
      </c>
      <c r="B18" s="277" t="s">
        <v>221</v>
      </c>
      <c r="C18" s="189">
        <f t="shared" si="0"/>
        <v>578</v>
      </c>
      <c r="D18" s="189"/>
      <c r="E18" s="190">
        <v>578</v>
      </c>
      <c r="F18" s="190"/>
      <c r="G18" s="185"/>
      <c r="H18" s="185"/>
      <c r="I18" s="186"/>
      <c r="J18" s="33"/>
      <c r="K18" s="33"/>
      <c r="L18" s="33"/>
      <c r="M18" s="186"/>
      <c r="N18" s="186"/>
      <c r="O18" s="33"/>
    </row>
    <row r="19" spans="1:15" ht="15.75">
      <c r="A19" s="188">
        <v>104051</v>
      </c>
      <c r="B19" s="277" t="s">
        <v>407</v>
      </c>
      <c r="C19" s="189">
        <f t="shared" si="0"/>
        <v>58</v>
      </c>
      <c r="D19" s="189">
        <f>17+41</f>
        <v>58</v>
      </c>
      <c r="E19" s="190"/>
      <c r="F19" s="190"/>
      <c r="G19" s="185"/>
      <c r="H19" s="185"/>
      <c r="I19" s="186"/>
      <c r="J19" s="33"/>
      <c r="K19" s="33"/>
      <c r="L19" s="33"/>
      <c r="M19" s="186"/>
      <c r="N19" s="186"/>
      <c r="O19" s="33"/>
    </row>
    <row r="20" spans="1:15" ht="15.75">
      <c r="A20" s="188">
        <v>107051</v>
      </c>
      <c r="B20" s="277" t="s">
        <v>229</v>
      </c>
      <c r="C20" s="189">
        <f t="shared" si="0"/>
        <v>413</v>
      </c>
      <c r="D20" s="189">
        <f>360+53</f>
        <v>413</v>
      </c>
      <c r="E20" s="190"/>
      <c r="F20" s="190"/>
      <c r="G20" s="185"/>
      <c r="H20" s="185"/>
      <c r="I20" s="186"/>
      <c r="J20" s="33"/>
      <c r="K20" s="33"/>
      <c r="L20" s="33"/>
      <c r="M20" s="186"/>
      <c r="N20" s="186"/>
      <c r="O20" s="33"/>
    </row>
    <row r="21" spans="1:15" ht="16.5" thickBot="1">
      <c r="A21" s="275" t="s">
        <v>348</v>
      </c>
      <c r="B21" s="278" t="s">
        <v>349</v>
      </c>
      <c r="C21" s="191">
        <f t="shared" si="0"/>
        <v>1330</v>
      </c>
      <c r="D21" s="191">
        <v>1230</v>
      </c>
      <c r="E21" s="276">
        <v>100</v>
      </c>
      <c r="F21" s="276"/>
      <c r="G21" s="185"/>
      <c r="H21" s="185"/>
      <c r="I21" s="186"/>
      <c r="J21" s="33"/>
      <c r="K21" s="33"/>
      <c r="L21" s="33"/>
      <c r="M21" s="186"/>
      <c r="N21" s="186"/>
      <c r="O21" s="33"/>
    </row>
    <row r="22" spans="1:15" ht="16.5" thickBot="1">
      <c r="A22" s="192"/>
      <c r="B22" s="193" t="s">
        <v>301</v>
      </c>
      <c r="C22" s="279">
        <f>SUM(C14:C21)</f>
        <v>37562</v>
      </c>
      <c r="D22" s="280">
        <f>SUM(D14:D21)</f>
        <v>26007</v>
      </c>
      <c r="E22" s="195">
        <f>SUM(E14:E21)</f>
        <v>11318</v>
      </c>
      <c r="F22" s="194">
        <f>SUM(F14:F20)</f>
        <v>237</v>
      </c>
      <c r="G22" s="185"/>
      <c r="H22" s="185"/>
      <c r="I22" s="196"/>
      <c r="J22" s="185"/>
      <c r="K22" s="185"/>
      <c r="L22" s="185"/>
      <c r="M22" s="196"/>
      <c r="N22" s="185"/>
      <c r="O22" s="185"/>
    </row>
    <row r="23" spans="1:15" ht="15.75">
      <c r="A23" s="176"/>
      <c r="B23" s="176"/>
      <c r="C23" s="176"/>
      <c r="D23" s="197"/>
      <c r="E23" s="197"/>
      <c r="F23" s="283" t="s">
        <v>354</v>
      </c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ht="15.75">
      <c r="A24" s="176"/>
      <c r="B24" s="176"/>
      <c r="C24" s="176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1:15" ht="15.75">
      <c r="A25" s="22"/>
      <c r="B25" s="198"/>
      <c r="C25" s="22"/>
      <c r="D25" s="33"/>
      <c r="E25" s="33"/>
      <c r="F25" s="33"/>
      <c r="G25" s="33"/>
      <c r="H25" s="33"/>
      <c r="I25" s="186"/>
      <c r="J25" s="33"/>
      <c r="K25" s="33"/>
      <c r="L25" s="33"/>
      <c r="M25" s="186"/>
      <c r="N25" s="186"/>
      <c r="O25" s="33"/>
    </row>
    <row r="26" spans="1:15" ht="15.75">
      <c r="A26" s="176"/>
      <c r="B26" s="176"/>
      <c r="C26" s="17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</row>
    <row r="27" spans="1:15" ht="15.75">
      <c r="A27" s="176"/>
      <c r="B27" s="176"/>
      <c r="C27" s="17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</row>
    <row r="28" spans="1:15" ht="12.75">
      <c r="A28" s="199"/>
      <c r="B28" s="199"/>
      <c r="C28" s="199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</row>
  </sheetData>
  <sheetProtection/>
  <mergeCells count="17">
    <mergeCell ref="D12:F13"/>
    <mergeCell ref="A6:F6"/>
    <mergeCell ref="A7:F7"/>
    <mergeCell ref="B4:F4"/>
    <mergeCell ref="A9:A13"/>
    <mergeCell ref="B9:B13"/>
    <mergeCell ref="C9:C13"/>
    <mergeCell ref="D9:F9"/>
    <mergeCell ref="D10:D11"/>
    <mergeCell ref="E10:E11"/>
    <mergeCell ref="M3:O3"/>
    <mergeCell ref="F10:F11"/>
    <mergeCell ref="A1:F1"/>
    <mergeCell ref="A2:F2"/>
    <mergeCell ref="A5:F5"/>
    <mergeCell ref="A3:F3"/>
    <mergeCell ref="G3:L3"/>
  </mergeCells>
  <printOptions/>
  <pageMargins left="0.54" right="0.16" top="1" bottom="1" header="0.5" footer="0.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90" zoomScaleNormal="90" zoomScalePageLayoutView="0" workbookViewId="0" topLeftCell="A1">
      <selection activeCell="A5" sqref="A5:R5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70" t="s">
        <v>415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</row>
    <row r="2" spans="1:18" ht="15.75">
      <c r="A2" s="406" t="s">
        <v>404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18" ht="16.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8" ht="18">
      <c r="A4" s="428" t="s">
        <v>190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</row>
    <row r="5" spans="1:18" ht="18">
      <c r="A5" s="428" t="s">
        <v>232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</row>
    <row r="6" spans="1:18" ht="18">
      <c r="A6" s="428" t="s">
        <v>235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</row>
    <row r="7" spans="1:18" ht="17.25" thickBot="1">
      <c r="A7" s="25"/>
      <c r="B7" s="25"/>
      <c r="C7" s="25"/>
      <c r="D7" s="25"/>
      <c r="E7" s="25"/>
      <c r="F7" s="25"/>
      <c r="G7" s="25"/>
      <c r="H7" s="25"/>
      <c r="I7" s="95"/>
      <c r="J7" s="25"/>
      <c r="K7" s="25"/>
      <c r="L7" s="25"/>
      <c r="M7" s="95"/>
      <c r="N7" s="95"/>
      <c r="O7" s="25"/>
      <c r="P7" s="21"/>
      <c r="Q7" s="21" t="s">
        <v>16</v>
      </c>
      <c r="R7" s="34"/>
    </row>
    <row r="8" spans="1:18" ht="17.25" thickBot="1">
      <c r="A8" s="453" t="s">
        <v>191</v>
      </c>
      <c r="B8" s="455" t="s">
        <v>192</v>
      </c>
      <c r="C8" s="429" t="s">
        <v>193</v>
      </c>
      <c r="D8" s="440" t="s">
        <v>194</v>
      </c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35" t="s">
        <v>195</v>
      </c>
    </row>
    <row r="9" spans="1:18" ht="17.25" thickBot="1">
      <c r="A9" s="454"/>
      <c r="B9" s="456"/>
      <c r="C9" s="430"/>
      <c r="D9" s="437" t="s">
        <v>196</v>
      </c>
      <c r="E9" s="438"/>
      <c r="F9" s="438"/>
      <c r="G9" s="438"/>
      <c r="H9" s="438"/>
      <c r="I9" s="439"/>
      <c r="J9" s="440" t="s">
        <v>197</v>
      </c>
      <c r="K9" s="441"/>
      <c r="L9" s="441"/>
      <c r="M9" s="442"/>
      <c r="N9" s="443" t="s">
        <v>57</v>
      </c>
      <c r="O9" s="443"/>
      <c r="P9" s="443"/>
      <c r="Q9" s="443"/>
      <c r="R9" s="436"/>
    </row>
    <row r="10" spans="1:18" ht="12.75">
      <c r="A10" s="454"/>
      <c r="B10" s="456"/>
      <c r="C10" s="457"/>
      <c r="D10" s="429" t="s">
        <v>43</v>
      </c>
      <c r="E10" s="429" t="s">
        <v>198</v>
      </c>
      <c r="F10" s="429" t="s">
        <v>46</v>
      </c>
      <c r="G10" s="429" t="s">
        <v>48</v>
      </c>
      <c r="H10" s="429" t="s">
        <v>199</v>
      </c>
      <c r="I10" s="450" t="s">
        <v>200</v>
      </c>
      <c r="J10" s="459" t="s">
        <v>51</v>
      </c>
      <c r="K10" s="459" t="s">
        <v>53</v>
      </c>
      <c r="L10" s="429" t="s">
        <v>201</v>
      </c>
      <c r="M10" s="444" t="s">
        <v>202</v>
      </c>
      <c r="N10" s="447" t="s">
        <v>203</v>
      </c>
      <c r="O10" s="429" t="s">
        <v>204</v>
      </c>
      <c r="P10" s="429" t="s">
        <v>365</v>
      </c>
      <c r="Q10" s="432" t="s">
        <v>205</v>
      </c>
      <c r="R10" s="436"/>
    </row>
    <row r="11" spans="1:18" ht="12.75">
      <c r="A11" s="454"/>
      <c r="B11" s="456"/>
      <c r="C11" s="457"/>
      <c r="D11" s="430"/>
      <c r="E11" s="430"/>
      <c r="F11" s="430"/>
      <c r="G11" s="430"/>
      <c r="H11" s="430"/>
      <c r="I11" s="451"/>
      <c r="J11" s="460"/>
      <c r="K11" s="462"/>
      <c r="L11" s="430"/>
      <c r="M11" s="445"/>
      <c r="N11" s="448"/>
      <c r="O11" s="430"/>
      <c r="P11" s="430"/>
      <c r="Q11" s="433"/>
      <c r="R11" s="436"/>
    </row>
    <row r="12" spans="1:18" ht="39.75" customHeight="1" thickBot="1">
      <c r="A12" s="454"/>
      <c r="B12" s="456"/>
      <c r="C12" s="458"/>
      <c r="D12" s="431"/>
      <c r="E12" s="431"/>
      <c r="F12" s="431"/>
      <c r="G12" s="431"/>
      <c r="H12" s="431"/>
      <c r="I12" s="452"/>
      <c r="J12" s="461"/>
      <c r="K12" s="463"/>
      <c r="L12" s="431"/>
      <c r="M12" s="446"/>
      <c r="N12" s="449"/>
      <c r="O12" s="431"/>
      <c r="P12" s="431"/>
      <c r="Q12" s="434"/>
      <c r="R12" s="436"/>
    </row>
    <row r="13" spans="1:18" ht="34.5" customHeight="1">
      <c r="A13" s="96" t="s">
        <v>206</v>
      </c>
      <c r="B13" s="97" t="s">
        <v>207</v>
      </c>
      <c r="C13" s="330">
        <f>I13+M13</f>
        <v>15976</v>
      </c>
      <c r="D13" s="331">
        <f>3225+105+51</f>
        <v>3381</v>
      </c>
      <c r="E13" s="332">
        <f>882+28+14</f>
        <v>924</v>
      </c>
      <c r="F13" s="332">
        <f>1421+13+41-6+1+6+19-99</f>
        <v>1396</v>
      </c>
      <c r="G13" s="332"/>
      <c r="H13" s="332">
        <f>85+2000-2000+30</f>
        <v>115</v>
      </c>
      <c r="I13" s="333">
        <f>D13+E13+F13+G13+H13</f>
        <v>5816</v>
      </c>
      <c r="J13" s="334">
        <f>1689+471+8000</f>
        <v>10160</v>
      </c>
      <c r="K13" s="335"/>
      <c r="L13" s="335">
        <f>6033-360-471-5202</f>
        <v>0</v>
      </c>
      <c r="M13" s="333">
        <f>J13+K13+L13</f>
        <v>10160</v>
      </c>
      <c r="N13" s="339"/>
      <c r="O13" s="340"/>
      <c r="P13" s="341"/>
      <c r="Q13" s="336"/>
      <c r="R13" s="345">
        <v>0.5</v>
      </c>
    </row>
    <row r="14" spans="1:18" ht="19.5" customHeight="1">
      <c r="A14" s="102" t="s">
        <v>208</v>
      </c>
      <c r="B14" s="103" t="s">
        <v>209</v>
      </c>
      <c r="C14" s="113">
        <f aca="true" t="shared" si="0" ref="C14:C34">I14+M14</f>
        <v>91</v>
      </c>
      <c r="D14" s="115"/>
      <c r="E14" s="98"/>
      <c r="F14" s="98">
        <f>69+7+15</f>
        <v>91</v>
      </c>
      <c r="G14" s="98"/>
      <c r="H14" s="98"/>
      <c r="I14" s="116">
        <f aca="true" t="shared" si="1" ref="I14:I35">D14+E14+F14+G14+H14</f>
        <v>91</v>
      </c>
      <c r="J14" s="117"/>
      <c r="K14" s="99"/>
      <c r="L14" s="99"/>
      <c r="M14" s="116"/>
      <c r="N14" s="342"/>
      <c r="O14" s="100"/>
      <c r="P14" s="343"/>
      <c r="Q14" s="337"/>
      <c r="R14" s="101"/>
    </row>
    <row r="15" spans="1:18" ht="19.5" customHeight="1">
      <c r="A15" s="104" t="s">
        <v>338</v>
      </c>
      <c r="B15" s="105" t="s">
        <v>366</v>
      </c>
      <c r="C15" s="113">
        <f>I15+M15+Q15</f>
        <v>1336</v>
      </c>
      <c r="D15" s="115"/>
      <c r="E15" s="98"/>
      <c r="F15" s="98"/>
      <c r="G15" s="98"/>
      <c r="H15" s="98">
        <f>29+1+1</f>
        <v>31</v>
      </c>
      <c r="I15" s="116">
        <f t="shared" si="1"/>
        <v>31</v>
      </c>
      <c r="J15" s="117"/>
      <c r="K15" s="99"/>
      <c r="L15" s="99"/>
      <c r="M15" s="116"/>
      <c r="N15" s="342"/>
      <c r="O15" s="100"/>
      <c r="P15" s="343">
        <f>363+942</f>
        <v>1305</v>
      </c>
      <c r="Q15" s="337">
        <f>P15</f>
        <v>1305</v>
      </c>
      <c r="R15" s="101"/>
    </row>
    <row r="16" spans="1:18" ht="19.5" customHeight="1">
      <c r="A16" s="104" t="s">
        <v>254</v>
      </c>
      <c r="B16" s="105" t="s">
        <v>255</v>
      </c>
      <c r="C16" s="113">
        <f t="shared" si="0"/>
        <v>2500</v>
      </c>
      <c r="D16" s="115"/>
      <c r="E16" s="98"/>
      <c r="F16" s="98"/>
      <c r="G16" s="98"/>
      <c r="H16" s="98"/>
      <c r="I16" s="116">
        <f t="shared" si="1"/>
        <v>0</v>
      </c>
      <c r="J16" s="117"/>
      <c r="K16" s="99"/>
      <c r="L16" s="99">
        <v>2500</v>
      </c>
      <c r="M16" s="116">
        <f>L16</f>
        <v>2500</v>
      </c>
      <c r="N16" s="342"/>
      <c r="O16" s="100"/>
      <c r="P16" s="343"/>
      <c r="Q16" s="337"/>
      <c r="R16" s="101"/>
    </row>
    <row r="17" spans="1:18" ht="19.5" customHeight="1" thickBot="1">
      <c r="A17" s="188" t="s">
        <v>370</v>
      </c>
      <c r="B17" s="297" t="s">
        <v>371</v>
      </c>
      <c r="C17" s="113">
        <f t="shared" si="0"/>
        <v>1598</v>
      </c>
      <c r="D17" s="115">
        <f>514+351+233+205+18</f>
        <v>1321</v>
      </c>
      <c r="E17" s="98">
        <f>70+49+35+24+29</f>
        <v>207</v>
      </c>
      <c r="F17" s="98">
        <f>21+49</f>
        <v>70</v>
      </c>
      <c r="G17" s="98"/>
      <c r="H17" s="98"/>
      <c r="I17" s="116">
        <f t="shared" si="1"/>
        <v>1598</v>
      </c>
      <c r="J17" s="117"/>
      <c r="K17" s="99"/>
      <c r="L17" s="99"/>
      <c r="M17" s="116"/>
      <c r="N17" s="342"/>
      <c r="O17" s="100"/>
      <c r="P17" s="343"/>
      <c r="Q17" s="337"/>
      <c r="R17" s="101"/>
    </row>
    <row r="18" spans="1:18" ht="24" customHeight="1">
      <c r="A18" s="104" t="s">
        <v>210</v>
      </c>
      <c r="B18" s="105" t="s">
        <v>211</v>
      </c>
      <c r="C18" s="113">
        <f t="shared" si="0"/>
        <v>1231</v>
      </c>
      <c r="D18" s="115"/>
      <c r="E18" s="98"/>
      <c r="F18" s="98">
        <v>127</v>
      </c>
      <c r="G18" s="98"/>
      <c r="H18" s="98"/>
      <c r="I18" s="116">
        <f t="shared" si="1"/>
        <v>127</v>
      </c>
      <c r="J18" s="117"/>
      <c r="K18" s="99">
        <v>1104</v>
      </c>
      <c r="L18" s="99"/>
      <c r="M18" s="333">
        <f>J18+K18+L18</f>
        <v>1104</v>
      </c>
      <c r="N18" s="342"/>
      <c r="O18" s="100"/>
      <c r="P18" s="343"/>
      <c r="Q18" s="337"/>
      <c r="R18" s="101"/>
    </row>
    <row r="19" spans="1:18" ht="33.75" customHeight="1">
      <c r="A19" s="102" t="s">
        <v>212</v>
      </c>
      <c r="B19" s="103" t="s">
        <v>213</v>
      </c>
      <c r="C19" s="113">
        <f t="shared" si="0"/>
        <v>15</v>
      </c>
      <c r="D19" s="115"/>
      <c r="E19" s="98"/>
      <c r="F19" s="98">
        <v>15</v>
      </c>
      <c r="G19" s="98"/>
      <c r="H19" s="98"/>
      <c r="I19" s="116">
        <f t="shared" si="1"/>
        <v>15</v>
      </c>
      <c r="J19" s="117"/>
      <c r="K19" s="99"/>
      <c r="L19" s="99"/>
      <c r="M19" s="116"/>
      <c r="N19" s="342"/>
      <c r="O19" s="100"/>
      <c r="P19" s="343"/>
      <c r="Q19" s="338"/>
      <c r="R19" s="101"/>
    </row>
    <row r="20" spans="1:18" ht="30.75" customHeight="1">
      <c r="A20" s="102" t="s">
        <v>282</v>
      </c>
      <c r="B20" s="103" t="s">
        <v>283</v>
      </c>
      <c r="C20" s="113">
        <f t="shared" si="0"/>
        <v>54</v>
      </c>
      <c r="D20" s="115"/>
      <c r="E20" s="98"/>
      <c r="F20" s="98">
        <v>54</v>
      </c>
      <c r="G20" s="98"/>
      <c r="H20" s="98"/>
      <c r="I20" s="116">
        <f t="shared" si="1"/>
        <v>54</v>
      </c>
      <c r="J20" s="117"/>
      <c r="K20" s="99"/>
      <c r="L20" s="99"/>
      <c r="M20" s="116"/>
      <c r="N20" s="342"/>
      <c r="O20" s="100"/>
      <c r="P20" s="343"/>
      <c r="Q20" s="338"/>
      <c r="R20" s="101"/>
    </row>
    <row r="21" spans="1:18" ht="18" customHeight="1">
      <c r="A21" s="102" t="s">
        <v>214</v>
      </c>
      <c r="B21" s="106" t="s">
        <v>215</v>
      </c>
      <c r="C21" s="113">
        <f t="shared" si="0"/>
        <v>100</v>
      </c>
      <c r="D21" s="115"/>
      <c r="E21" s="98"/>
      <c r="F21" s="98"/>
      <c r="G21" s="99"/>
      <c r="H21" s="98"/>
      <c r="I21" s="116">
        <f t="shared" si="1"/>
        <v>0</v>
      </c>
      <c r="J21" s="117"/>
      <c r="K21" s="99"/>
      <c r="L21" s="99">
        <v>100</v>
      </c>
      <c r="M21" s="116">
        <f>J21+K21+L21</f>
        <v>100</v>
      </c>
      <c r="N21" s="342"/>
      <c r="O21" s="100"/>
      <c r="P21" s="343"/>
      <c r="Q21" s="338"/>
      <c r="R21" s="101"/>
    </row>
    <row r="22" spans="1:18" ht="18.75" customHeight="1">
      <c r="A22" s="102" t="s">
        <v>216</v>
      </c>
      <c r="B22" s="106" t="s">
        <v>217</v>
      </c>
      <c r="C22" s="113">
        <f t="shared" si="0"/>
        <v>0</v>
      </c>
      <c r="D22" s="115"/>
      <c r="E22" s="98"/>
      <c r="F22" s="98"/>
      <c r="G22" s="99"/>
      <c r="H22" s="98"/>
      <c r="I22" s="116"/>
      <c r="J22" s="117"/>
      <c r="K22" s="99"/>
      <c r="L22" s="99"/>
      <c r="M22" s="116">
        <f>J22+K22+L22</f>
        <v>0</v>
      </c>
      <c r="N22" s="342"/>
      <c r="O22" s="100"/>
      <c r="P22" s="343"/>
      <c r="Q22" s="338"/>
      <c r="R22" s="101"/>
    </row>
    <row r="23" spans="1:18" ht="18" customHeight="1">
      <c r="A23" s="102" t="s">
        <v>218</v>
      </c>
      <c r="B23" s="103" t="s">
        <v>219</v>
      </c>
      <c r="C23" s="113">
        <f t="shared" si="0"/>
        <v>712</v>
      </c>
      <c r="D23" s="115"/>
      <c r="E23" s="98"/>
      <c r="F23" s="98">
        <f>572+116+24</f>
        <v>712</v>
      </c>
      <c r="G23" s="99"/>
      <c r="H23" s="98"/>
      <c r="I23" s="116">
        <f t="shared" si="1"/>
        <v>712</v>
      </c>
      <c r="J23" s="117"/>
      <c r="K23" s="99"/>
      <c r="L23" s="99"/>
      <c r="M23" s="116"/>
      <c r="N23" s="342"/>
      <c r="O23" s="100"/>
      <c r="P23" s="343"/>
      <c r="Q23" s="338"/>
      <c r="R23" s="101"/>
    </row>
    <row r="24" spans="1:18" ht="33">
      <c r="A24" s="102" t="s">
        <v>220</v>
      </c>
      <c r="B24" s="103" t="s">
        <v>221</v>
      </c>
      <c r="C24" s="113">
        <f t="shared" si="0"/>
        <v>2116</v>
      </c>
      <c r="D24" s="115">
        <v>1356</v>
      </c>
      <c r="E24" s="98">
        <v>366</v>
      </c>
      <c r="F24" s="98">
        <f>358+33</f>
        <v>391</v>
      </c>
      <c r="G24" s="99"/>
      <c r="H24" s="98"/>
      <c r="I24" s="116">
        <f t="shared" si="1"/>
        <v>2113</v>
      </c>
      <c r="J24" s="117">
        <v>3</v>
      </c>
      <c r="K24" s="99"/>
      <c r="L24" s="99"/>
      <c r="M24" s="116">
        <f>J24+K24+L24</f>
        <v>3</v>
      </c>
      <c r="N24" s="342"/>
      <c r="O24" s="100"/>
      <c r="P24" s="343"/>
      <c r="Q24" s="338"/>
      <c r="R24" s="101">
        <v>1</v>
      </c>
    </row>
    <row r="25" spans="1:18" ht="21" customHeight="1">
      <c r="A25" s="102" t="s">
        <v>222</v>
      </c>
      <c r="B25" s="103" t="s">
        <v>223</v>
      </c>
      <c r="C25" s="113">
        <f t="shared" si="0"/>
        <v>60</v>
      </c>
      <c r="D25" s="115"/>
      <c r="E25" s="98"/>
      <c r="F25" s="98">
        <f>58+1+1</f>
        <v>60</v>
      </c>
      <c r="G25" s="99"/>
      <c r="H25" s="98"/>
      <c r="I25" s="116">
        <f t="shared" si="1"/>
        <v>60</v>
      </c>
      <c r="J25" s="117"/>
      <c r="K25" s="99"/>
      <c r="L25" s="99"/>
      <c r="M25" s="116"/>
      <c r="N25" s="342"/>
      <c r="O25" s="100"/>
      <c r="P25" s="343"/>
      <c r="Q25" s="338"/>
      <c r="R25" s="101"/>
    </row>
    <row r="26" spans="1:18" ht="19.5" customHeight="1">
      <c r="A26" s="102" t="s">
        <v>224</v>
      </c>
      <c r="B26" s="103" t="s">
        <v>225</v>
      </c>
      <c r="C26" s="113">
        <f t="shared" si="0"/>
        <v>591</v>
      </c>
      <c r="D26" s="115">
        <f>120</f>
        <v>120</v>
      </c>
      <c r="E26" s="98">
        <v>29</v>
      </c>
      <c r="F26" s="98">
        <f>133+6+3-15</f>
        <v>127</v>
      </c>
      <c r="G26" s="98"/>
      <c r="H26" s="98"/>
      <c r="I26" s="116">
        <f t="shared" si="1"/>
        <v>276</v>
      </c>
      <c r="J26" s="117">
        <f>318-3</f>
        <v>315</v>
      </c>
      <c r="K26" s="99"/>
      <c r="L26" s="99"/>
      <c r="M26" s="116">
        <f>J26+K26+L26</f>
        <v>315</v>
      </c>
      <c r="N26" s="342"/>
      <c r="O26" s="100"/>
      <c r="P26" s="343"/>
      <c r="Q26" s="338"/>
      <c r="R26" s="101"/>
    </row>
    <row r="27" spans="1:18" ht="31.5" customHeight="1">
      <c r="A27" s="102" t="s">
        <v>284</v>
      </c>
      <c r="B27" s="103" t="s">
        <v>285</v>
      </c>
      <c r="C27" s="113">
        <f t="shared" si="0"/>
        <v>667</v>
      </c>
      <c r="D27" s="115">
        <f>200-41</f>
        <v>159</v>
      </c>
      <c r="E27" s="98">
        <f>102</f>
        <v>102</v>
      </c>
      <c r="F27" s="98">
        <f>298+108</f>
        <v>406</v>
      </c>
      <c r="G27" s="98"/>
      <c r="H27" s="98"/>
      <c r="I27" s="116">
        <f t="shared" si="1"/>
        <v>667</v>
      </c>
      <c r="J27" s="117"/>
      <c r="K27" s="99"/>
      <c r="L27" s="99"/>
      <c r="M27" s="116"/>
      <c r="N27" s="342"/>
      <c r="O27" s="100"/>
      <c r="P27" s="343"/>
      <c r="Q27" s="338"/>
      <c r="R27" s="101"/>
    </row>
    <row r="28" spans="1:18" ht="31.5" customHeight="1">
      <c r="A28" s="102" t="s">
        <v>286</v>
      </c>
      <c r="B28" s="103" t="s">
        <v>287</v>
      </c>
      <c r="C28" s="113">
        <f t="shared" si="0"/>
        <v>25</v>
      </c>
      <c r="D28" s="115"/>
      <c r="E28" s="98"/>
      <c r="F28" s="98"/>
      <c r="G28" s="98"/>
      <c r="H28" s="98">
        <v>25</v>
      </c>
      <c r="I28" s="116">
        <f t="shared" si="1"/>
        <v>25</v>
      </c>
      <c r="J28" s="117"/>
      <c r="K28" s="99"/>
      <c r="L28" s="99"/>
      <c r="M28" s="116"/>
      <c r="N28" s="342"/>
      <c r="O28" s="100"/>
      <c r="P28" s="343"/>
      <c r="Q28" s="338"/>
      <c r="R28" s="101"/>
    </row>
    <row r="29" spans="1:18" ht="33.75" customHeight="1">
      <c r="A29" s="102">
        <v>104051</v>
      </c>
      <c r="B29" s="103" t="s">
        <v>226</v>
      </c>
      <c r="C29" s="113">
        <f t="shared" si="0"/>
        <v>78</v>
      </c>
      <c r="D29" s="115"/>
      <c r="E29" s="98"/>
      <c r="F29" s="98"/>
      <c r="G29" s="98">
        <f>17+20+41</f>
        <v>78</v>
      </c>
      <c r="H29" s="98"/>
      <c r="I29" s="116">
        <f t="shared" si="1"/>
        <v>78</v>
      </c>
      <c r="J29" s="117"/>
      <c r="K29" s="99"/>
      <c r="L29" s="99"/>
      <c r="M29" s="116"/>
      <c r="N29" s="342"/>
      <c r="O29" s="100"/>
      <c r="P29" s="343"/>
      <c r="Q29" s="338"/>
      <c r="R29" s="101"/>
    </row>
    <row r="30" spans="1:18" ht="19.5" customHeight="1">
      <c r="A30" s="102">
        <v>105010</v>
      </c>
      <c r="B30" s="103" t="s">
        <v>227</v>
      </c>
      <c r="C30" s="113">
        <f t="shared" si="0"/>
        <v>221</v>
      </c>
      <c r="D30" s="115"/>
      <c r="E30" s="98"/>
      <c r="F30" s="98"/>
      <c r="G30" s="98">
        <f>142+48+31</f>
        <v>221</v>
      </c>
      <c r="H30" s="98"/>
      <c r="I30" s="116">
        <f t="shared" si="1"/>
        <v>221</v>
      </c>
      <c r="J30" s="117"/>
      <c r="K30" s="99"/>
      <c r="L30" s="99"/>
      <c r="M30" s="116"/>
      <c r="N30" s="342"/>
      <c r="O30" s="100"/>
      <c r="P30" s="343"/>
      <c r="Q30" s="338"/>
      <c r="R30" s="101"/>
    </row>
    <row r="31" spans="1:18" ht="33">
      <c r="A31" s="102">
        <v>106020</v>
      </c>
      <c r="B31" s="107" t="s">
        <v>228</v>
      </c>
      <c r="C31" s="113">
        <f t="shared" si="0"/>
        <v>50</v>
      </c>
      <c r="D31" s="115"/>
      <c r="E31" s="98"/>
      <c r="F31" s="98"/>
      <c r="G31" s="98">
        <f>36-10+15+4+5</f>
        <v>50</v>
      </c>
      <c r="H31" s="98"/>
      <c r="I31" s="116">
        <f t="shared" si="1"/>
        <v>50</v>
      </c>
      <c r="J31" s="117"/>
      <c r="K31" s="99"/>
      <c r="L31" s="99"/>
      <c r="M31" s="116"/>
      <c r="N31" s="342"/>
      <c r="O31" s="100"/>
      <c r="P31" s="343"/>
      <c r="Q31" s="338"/>
      <c r="R31" s="101"/>
    </row>
    <row r="32" spans="1:18" ht="21" customHeight="1">
      <c r="A32" s="102">
        <v>107051</v>
      </c>
      <c r="B32" s="107" t="s">
        <v>229</v>
      </c>
      <c r="C32" s="113">
        <f t="shared" si="0"/>
        <v>782</v>
      </c>
      <c r="D32" s="115"/>
      <c r="E32" s="98"/>
      <c r="F32" s="98">
        <f>674+85+53+55-85</f>
        <v>782</v>
      </c>
      <c r="G32" s="98"/>
      <c r="H32" s="98"/>
      <c r="I32" s="116">
        <f t="shared" si="1"/>
        <v>782</v>
      </c>
      <c r="J32" s="117"/>
      <c r="K32" s="99"/>
      <c r="L32" s="99"/>
      <c r="M32" s="116"/>
      <c r="N32" s="344"/>
      <c r="O32" s="99"/>
      <c r="P32" s="343"/>
      <c r="Q32" s="338"/>
      <c r="R32" s="101"/>
    </row>
    <row r="33" spans="1:18" ht="21.75" customHeight="1">
      <c r="A33" s="329">
        <v>107060</v>
      </c>
      <c r="B33" s="107" t="s">
        <v>230</v>
      </c>
      <c r="C33" s="113">
        <f t="shared" si="0"/>
        <v>1178</v>
      </c>
      <c r="D33" s="115"/>
      <c r="E33" s="98"/>
      <c r="F33" s="98"/>
      <c r="G33" s="98">
        <f>1188-10</f>
        <v>1178</v>
      </c>
      <c r="H33" s="98"/>
      <c r="I33" s="116">
        <f t="shared" si="1"/>
        <v>1178</v>
      </c>
      <c r="J33" s="117"/>
      <c r="K33" s="99"/>
      <c r="L33" s="99"/>
      <c r="M33" s="116"/>
      <c r="N33" s="344"/>
      <c r="O33" s="99"/>
      <c r="P33" s="343"/>
      <c r="Q33" s="338"/>
      <c r="R33" s="101"/>
    </row>
    <row r="34" spans="1:18" ht="21.75" customHeight="1" thickBot="1">
      <c r="A34" s="329" t="s">
        <v>381</v>
      </c>
      <c r="B34" s="346" t="s">
        <v>382</v>
      </c>
      <c r="C34" s="114">
        <f t="shared" si="0"/>
        <v>8181</v>
      </c>
      <c r="D34" s="324"/>
      <c r="E34" s="325"/>
      <c r="F34" s="325"/>
      <c r="G34" s="325"/>
      <c r="H34" s="325">
        <f>2000-360-30-1+2933-460-47+85-1501+166</f>
        <v>2785</v>
      </c>
      <c r="I34" s="326">
        <f t="shared" si="1"/>
        <v>2785</v>
      </c>
      <c r="J34" s="327"/>
      <c r="K34" s="328"/>
      <c r="L34" s="328">
        <f>5202+360-166</f>
        <v>5396</v>
      </c>
      <c r="M34" s="326">
        <f>L34</f>
        <v>5396</v>
      </c>
      <c r="N34" s="347"/>
      <c r="O34" s="328"/>
      <c r="P34" s="348"/>
      <c r="Q34" s="349"/>
      <c r="R34" s="108"/>
    </row>
    <row r="35" spans="1:18" ht="21" customHeight="1" thickBot="1">
      <c r="A35" s="109"/>
      <c r="B35" s="193" t="s">
        <v>231</v>
      </c>
      <c r="C35" s="350">
        <f>I35+M35+Q35</f>
        <v>37562</v>
      </c>
      <c r="D35" s="110">
        <f>SUM(D13:D33)</f>
        <v>6337</v>
      </c>
      <c r="E35" s="110">
        <f>SUM(E13:E33)</f>
        <v>1628</v>
      </c>
      <c r="F35" s="110">
        <f>SUM(F13:F33)</f>
        <v>4231</v>
      </c>
      <c r="G35" s="110">
        <f>SUM(G13:G33)</f>
        <v>1527</v>
      </c>
      <c r="H35" s="110">
        <f>SUM(H13:H34)</f>
        <v>2956</v>
      </c>
      <c r="I35" s="111">
        <f t="shared" si="1"/>
        <v>16679</v>
      </c>
      <c r="J35" s="110">
        <f>SUM(J13:J33)</f>
        <v>10478</v>
      </c>
      <c r="K35" s="110">
        <f>SUM(K13:K33)</f>
        <v>1104</v>
      </c>
      <c r="L35" s="110">
        <f>SUM(L13:L34)</f>
        <v>7996</v>
      </c>
      <c r="M35" s="300">
        <f>SUM(M13:M34)</f>
        <v>19578</v>
      </c>
      <c r="N35" s="110"/>
      <c r="O35" s="110"/>
      <c r="P35" s="300">
        <f>SUM(P15:P33)</f>
        <v>1305</v>
      </c>
      <c r="Q35" s="350">
        <f>P35</f>
        <v>1305</v>
      </c>
      <c r="R35" s="112">
        <v>1.5</v>
      </c>
    </row>
    <row r="36" ht="12.75">
      <c r="R36" s="282" t="s">
        <v>354</v>
      </c>
    </row>
    <row r="37" ht="16.5">
      <c r="I37" s="274"/>
    </row>
    <row r="39" ht="12.75">
      <c r="C39">
        <f>SUM(C13:C34)</f>
        <v>37562</v>
      </c>
    </row>
    <row r="42" ht="12.75">
      <c r="C42" s="131"/>
    </row>
  </sheetData>
  <sheetProtection/>
  <mergeCells count="30">
    <mergeCell ref="A2:F2"/>
    <mergeCell ref="G2:L2"/>
    <mergeCell ref="M2:R2"/>
    <mergeCell ref="A4:R4"/>
    <mergeCell ref="A8:A12"/>
    <mergeCell ref="B8:B12"/>
    <mergeCell ref="C8:C12"/>
    <mergeCell ref="D8:Q8"/>
    <mergeCell ref="J10:J12"/>
    <mergeCell ref="K10:K12"/>
    <mergeCell ref="L10:L12"/>
    <mergeCell ref="E10:E12"/>
    <mergeCell ref="D10:D12"/>
    <mergeCell ref="M10:M12"/>
    <mergeCell ref="N10:N12"/>
    <mergeCell ref="O10:O12"/>
    <mergeCell ref="F10:F12"/>
    <mergeCell ref="G10:G12"/>
    <mergeCell ref="H10:H12"/>
    <mergeCell ref="I10:I12"/>
    <mergeCell ref="A1:R1"/>
    <mergeCell ref="A3:R3"/>
    <mergeCell ref="P10:P12"/>
    <mergeCell ref="Q10:Q12"/>
    <mergeCell ref="A5:R5"/>
    <mergeCell ref="A6:R6"/>
    <mergeCell ref="R8:R12"/>
    <mergeCell ref="D9:I9"/>
    <mergeCell ref="J9:M9"/>
    <mergeCell ref="N9:Q9"/>
  </mergeCells>
  <printOptions/>
  <pageMargins left="0.46" right="0.35" top="0.3" bottom="0.18" header="0.17" footer="0.23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G5" sqref="G5"/>
    </sheetView>
  </sheetViews>
  <sheetFormatPr defaultColWidth="9.00390625" defaultRowHeight="12.75"/>
  <cols>
    <col min="2" max="2" width="57.125" style="0" customWidth="1"/>
    <col min="3" max="3" width="11.375" style="0" customWidth="1"/>
    <col min="4" max="4" width="14.375" style="0" customWidth="1"/>
    <col min="5" max="5" width="15.375" style="0" customWidth="1"/>
    <col min="6" max="6" width="17.00390625" style="0" customWidth="1"/>
  </cols>
  <sheetData>
    <row r="1" spans="1:19" ht="12.75">
      <c r="A1" s="370" t="s">
        <v>416</v>
      </c>
      <c r="B1" s="370"/>
      <c r="C1" s="370"/>
      <c r="D1" s="370"/>
      <c r="E1" s="370"/>
      <c r="F1" s="370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15" ht="15.75">
      <c r="A2" s="406" t="s">
        <v>356</v>
      </c>
      <c r="B2" s="406"/>
      <c r="C2" s="406"/>
      <c r="D2" s="406"/>
      <c r="E2" s="406"/>
      <c r="F2" s="40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.75">
      <c r="A4" s="404" t="s">
        <v>17</v>
      </c>
      <c r="B4" s="404"/>
      <c r="C4" s="404"/>
      <c r="D4" s="404"/>
      <c r="E4" s="404"/>
      <c r="F4" s="404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5.75">
      <c r="A5" s="404" t="s">
        <v>340</v>
      </c>
      <c r="B5" s="404"/>
      <c r="C5" s="404"/>
      <c r="D5" s="404"/>
      <c r="E5" s="404"/>
      <c r="F5" s="404"/>
      <c r="G5" s="178"/>
      <c r="H5" s="178"/>
      <c r="I5" s="178"/>
      <c r="J5" s="178"/>
      <c r="K5" s="178"/>
      <c r="L5" s="178"/>
      <c r="M5" s="178"/>
      <c r="N5" s="178"/>
      <c r="O5" s="178"/>
    </row>
    <row r="6" spans="1:15" ht="15.75">
      <c r="A6" s="404" t="s">
        <v>235</v>
      </c>
      <c r="B6" s="404"/>
      <c r="C6" s="404"/>
      <c r="D6" s="404"/>
      <c r="E6" s="404"/>
      <c r="F6" s="404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6.5" thickBot="1">
      <c r="A7" s="215"/>
      <c r="B7" s="177"/>
      <c r="C7" s="177"/>
      <c r="D7" s="177"/>
      <c r="E7" s="177"/>
      <c r="F7" s="179" t="s">
        <v>16</v>
      </c>
      <c r="G7" s="177"/>
      <c r="H7" s="177"/>
      <c r="I7" s="180"/>
      <c r="J7" s="177"/>
      <c r="K7" s="177"/>
      <c r="L7" s="177"/>
      <c r="M7" s="180"/>
      <c r="N7" s="180"/>
      <c r="O7" s="177"/>
    </row>
    <row r="8" spans="1:15" ht="16.5" thickBot="1">
      <c r="A8" s="415" t="s">
        <v>331</v>
      </c>
      <c r="B8" s="418" t="s">
        <v>192</v>
      </c>
      <c r="C8" s="421" t="s">
        <v>193</v>
      </c>
      <c r="D8" s="424" t="s">
        <v>333</v>
      </c>
      <c r="E8" s="425"/>
      <c r="F8" s="426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15.75">
      <c r="A9" s="416"/>
      <c r="B9" s="419"/>
      <c r="C9" s="422"/>
      <c r="D9" s="427" t="s">
        <v>334</v>
      </c>
      <c r="E9" s="427" t="s">
        <v>335</v>
      </c>
      <c r="F9" s="464" t="s">
        <v>343</v>
      </c>
      <c r="G9" s="181"/>
      <c r="H9" s="181"/>
      <c r="I9" s="181"/>
      <c r="J9" s="181"/>
      <c r="K9" s="181"/>
      <c r="L9" s="181"/>
      <c r="M9" s="181"/>
      <c r="N9" s="181"/>
      <c r="O9" s="181"/>
    </row>
    <row r="10" spans="1:15" ht="16.5" thickBot="1">
      <c r="A10" s="416"/>
      <c r="B10" s="419"/>
      <c r="C10" s="422"/>
      <c r="D10" s="427"/>
      <c r="E10" s="427"/>
      <c r="F10" s="465"/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15" ht="15.75">
      <c r="A11" s="416"/>
      <c r="B11" s="419"/>
      <c r="C11" s="422"/>
      <c r="D11" s="408" t="s">
        <v>337</v>
      </c>
      <c r="E11" s="409"/>
      <c r="F11" s="410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6.5" thickBot="1">
      <c r="A12" s="417"/>
      <c r="B12" s="420"/>
      <c r="C12" s="423"/>
      <c r="D12" s="411"/>
      <c r="E12" s="412"/>
      <c r="F12" s="413"/>
      <c r="G12" s="181"/>
      <c r="H12" s="181"/>
      <c r="I12" s="181"/>
      <c r="J12" s="181"/>
      <c r="K12" s="181"/>
      <c r="L12" s="181"/>
      <c r="M12" s="181"/>
      <c r="N12" s="181"/>
      <c r="O12" s="181"/>
    </row>
    <row r="13" spans="1:15" ht="31.5">
      <c r="A13" s="182" t="s">
        <v>206</v>
      </c>
      <c r="B13" s="301" t="s">
        <v>207</v>
      </c>
      <c r="C13" s="183">
        <f>D13+E13+F13</f>
        <v>15976</v>
      </c>
      <c r="D13" s="202">
        <f>13616-360+1689+13-7202+30+8000+259-99</f>
        <v>15946</v>
      </c>
      <c r="E13" s="203">
        <v>30</v>
      </c>
      <c r="F13" s="204"/>
      <c r="G13" s="185"/>
      <c r="H13" s="185"/>
      <c r="I13" s="186"/>
      <c r="J13" s="33"/>
      <c r="K13" s="33"/>
      <c r="L13" s="33"/>
      <c r="M13" s="186"/>
      <c r="N13" s="186"/>
      <c r="O13" s="33"/>
    </row>
    <row r="14" spans="1:15" ht="15.75">
      <c r="A14" s="188" t="s">
        <v>208</v>
      </c>
      <c r="B14" s="277" t="s">
        <v>209</v>
      </c>
      <c r="C14" s="205">
        <f>D14+E14+F14</f>
        <v>91</v>
      </c>
      <c r="D14" s="206">
        <f>69+15+7</f>
        <v>91</v>
      </c>
      <c r="E14" s="207"/>
      <c r="F14" s="208"/>
      <c r="G14" s="185"/>
      <c r="H14" s="185"/>
      <c r="I14" s="186"/>
      <c r="J14" s="33"/>
      <c r="K14" s="33"/>
      <c r="L14" s="33"/>
      <c r="M14" s="186"/>
      <c r="N14" s="186"/>
      <c r="O14" s="33"/>
    </row>
    <row r="15" spans="1:15" ht="16.5">
      <c r="A15" s="104" t="s">
        <v>338</v>
      </c>
      <c r="B15" s="299" t="s">
        <v>366</v>
      </c>
      <c r="C15" s="205">
        <f>D15+E15+F15</f>
        <v>2336</v>
      </c>
      <c r="D15" s="206">
        <f>29+363+1+1942+1</f>
        <v>2336</v>
      </c>
      <c r="E15" s="207"/>
      <c r="F15" s="208"/>
      <c r="G15" s="185"/>
      <c r="H15" s="185"/>
      <c r="I15" s="186"/>
      <c r="J15" s="33"/>
      <c r="K15" s="33"/>
      <c r="L15" s="33"/>
      <c r="M15" s="186"/>
      <c r="N15" s="186"/>
      <c r="O15" s="33"/>
    </row>
    <row r="16" spans="1:15" ht="16.5">
      <c r="A16" s="104" t="s">
        <v>254</v>
      </c>
      <c r="B16" s="299" t="s">
        <v>255</v>
      </c>
      <c r="C16" s="205">
        <f aca="true" t="shared" si="0" ref="C16:C33">D16+E16+F16</f>
        <v>2500</v>
      </c>
      <c r="D16" s="206"/>
      <c r="E16" s="207">
        <v>2500</v>
      </c>
      <c r="F16" s="208"/>
      <c r="G16" s="185"/>
      <c r="H16" s="185"/>
      <c r="I16" s="186"/>
      <c r="J16" s="33"/>
      <c r="K16" s="33"/>
      <c r="L16" s="33"/>
      <c r="M16" s="186"/>
      <c r="N16" s="186"/>
      <c r="O16" s="33"/>
    </row>
    <row r="17" spans="1:15" ht="15.75">
      <c r="A17" s="188" t="s">
        <v>370</v>
      </c>
      <c r="B17" s="277" t="s">
        <v>371</v>
      </c>
      <c r="C17" s="205">
        <f t="shared" si="0"/>
        <v>1598</v>
      </c>
      <c r="D17" s="206">
        <f>584+400+268+21+278+47</f>
        <v>1598</v>
      </c>
      <c r="E17" s="207"/>
      <c r="F17" s="208"/>
      <c r="G17" s="185"/>
      <c r="H17" s="185"/>
      <c r="I17" s="186"/>
      <c r="J17" s="33"/>
      <c r="K17" s="33"/>
      <c r="L17" s="33"/>
      <c r="M17" s="186"/>
      <c r="N17" s="186"/>
      <c r="O17" s="33"/>
    </row>
    <row r="18" spans="1:15" ht="15.75">
      <c r="A18" s="188" t="s">
        <v>210</v>
      </c>
      <c r="B18" s="209" t="s">
        <v>211</v>
      </c>
      <c r="C18" s="205">
        <f t="shared" si="0"/>
        <v>1231</v>
      </c>
      <c r="D18" s="206">
        <v>1231</v>
      </c>
      <c r="E18" s="207"/>
      <c r="F18" s="208"/>
      <c r="G18" s="185"/>
      <c r="H18" s="185"/>
      <c r="I18" s="186"/>
      <c r="J18" s="33"/>
      <c r="K18" s="33"/>
      <c r="L18" s="33"/>
      <c r="M18" s="186"/>
      <c r="N18" s="186"/>
      <c r="O18" s="33"/>
    </row>
    <row r="19" spans="1:15" ht="31.5">
      <c r="A19" s="188" t="s">
        <v>212</v>
      </c>
      <c r="B19" s="201" t="s">
        <v>213</v>
      </c>
      <c r="C19" s="205">
        <f t="shared" si="0"/>
        <v>15</v>
      </c>
      <c r="D19" s="206">
        <v>15</v>
      </c>
      <c r="E19" s="207"/>
      <c r="F19" s="208"/>
      <c r="G19" s="185"/>
      <c r="H19" s="185"/>
      <c r="I19" s="186"/>
      <c r="J19" s="33"/>
      <c r="K19" s="33"/>
      <c r="L19" s="33"/>
      <c r="M19" s="186"/>
      <c r="N19" s="186"/>
      <c r="O19" s="33"/>
    </row>
    <row r="20" spans="1:15" ht="16.5">
      <c r="A20" s="102" t="s">
        <v>282</v>
      </c>
      <c r="B20" s="298" t="s">
        <v>283</v>
      </c>
      <c r="C20" s="205">
        <f t="shared" si="0"/>
        <v>54</v>
      </c>
      <c r="D20" s="206">
        <v>54</v>
      </c>
      <c r="E20" s="207"/>
      <c r="F20" s="208"/>
      <c r="G20" s="185"/>
      <c r="H20" s="185"/>
      <c r="I20" s="186"/>
      <c r="J20" s="33"/>
      <c r="K20" s="33"/>
      <c r="L20" s="33"/>
      <c r="M20" s="186"/>
      <c r="N20" s="186"/>
      <c r="O20" s="33"/>
    </row>
    <row r="21" spans="1:15" ht="15.75">
      <c r="A21" s="188" t="s">
        <v>214</v>
      </c>
      <c r="B21" s="210" t="s">
        <v>215</v>
      </c>
      <c r="C21" s="205">
        <f t="shared" si="0"/>
        <v>100</v>
      </c>
      <c r="D21" s="206"/>
      <c r="E21" s="207">
        <v>100</v>
      </c>
      <c r="F21" s="208"/>
      <c r="G21" s="185"/>
      <c r="H21" s="185"/>
      <c r="I21" s="186"/>
      <c r="J21" s="33"/>
      <c r="K21" s="33"/>
      <c r="L21" s="33"/>
      <c r="M21" s="186"/>
      <c r="N21" s="186"/>
      <c r="O21" s="33"/>
    </row>
    <row r="22" spans="1:15" ht="15.75">
      <c r="A22" s="188" t="s">
        <v>218</v>
      </c>
      <c r="B22" s="201" t="s">
        <v>219</v>
      </c>
      <c r="C22" s="205">
        <f t="shared" si="0"/>
        <v>712</v>
      </c>
      <c r="D22" s="206">
        <f>572+116+24</f>
        <v>712</v>
      </c>
      <c r="E22" s="207"/>
      <c r="F22" s="208"/>
      <c r="G22" s="185"/>
      <c r="H22" s="185"/>
      <c r="I22" s="186"/>
      <c r="J22" s="33"/>
      <c r="K22" s="33"/>
      <c r="L22" s="33"/>
      <c r="M22" s="186"/>
      <c r="N22" s="186"/>
      <c r="O22" s="33"/>
    </row>
    <row r="23" spans="1:15" ht="15.75">
      <c r="A23" s="188" t="s">
        <v>220</v>
      </c>
      <c r="B23" s="201" t="s">
        <v>221</v>
      </c>
      <c r="C23" s="205">
        <f t="shared" si="0"/>
        <v>2116</v>
      </c>
      <c r="D23" s="206">
        <f>2080+33+3</f>
        <v>2116</v>
      </c>
      <c r="E23" s="207"/>
      <c r="F23" s="208"/>
      <c r="G23" s="185"/>
      <c r="H23" s="185"/>
      <c r="I23" s="186"/>
      <c r="J23" s="33"/>
      <c r="K23" s="33"/>
      <c r="L23" s="33"/>
      <c r="M23" s="186"/>
      <c r="N23" s="186"/>
      <c r="O23" s="33"/>
    </row>
    <row r="24" spans="1:15" ht="15.75">
      <c r="A24" s="188" t="s">
        <v>222</v>
      </c>
      <c r="B24" s="201" t="s">
        <v>223</v>
      </c>
      <c r="C24" s="205">
        <f t="shared" si="0"/>
        <v>60</v>
      </c>
      <c r="D24" s="206">
        <f>58+1+1</f>
        <v>60</v>
      </c>
      <c r="E24" s="207"/>
      <c r="F24" s="208"/>
      <c r="G24" s="185"/>
      <c r="H24" s="185"/>
      <c r="I24" s="186"/>
      <c r="J24" s="33"/>
      <c r="K24" s="33"/>
      <c r="L24" s="33"/>
      <c r="M24" s="186"/>
      <c r="N24" s="186"/>
      <c r="O24" s="33"/>
    </row>
    <row r="25" spans="1:15" ht="15.75">
      <c r="A25" s="188" t="s">
        <v>224</v>
      </c>
      <c r="B25" s="201" t="s">
        <v>225</v>
      </c>
      <c r="C25" s="205">
        <f t="shared" si="0"/>
        <v>591</v>
      </c>
      <c r="D25" s="206">
        <f>600+9-18</f>
        <v>591</v>
      </c>
      <c r="E25" s="207"/>
      <c r="F25" s="208"/>
      <c r="G25" s="185"/>
      <c r="H25" s="185"/>
      <c r="I25" s="186"/>
      <c r="J25" s="33"/>
      <c r="K25" s="33"/>
      <c r="L25" s="33"/>
      <c r="M25" s="186"/>
      <c r="N25" s="186"/>
      <c r="O25" s="33"/>
    </row>
    <row r="26" spans="1:15" ht="22.5" customHeight="1">
      <c r="A26" s="102" t="s">
        <v>284</v>
      </c>
      <c r="B26" s="298" t="s">
        <v>285</v>
      </c>
      <c r="C26" s="205">
        <f t="shared" si="0"/>
        <v>667</v>
      </c>
      <c r="D26" s="206">
        <f>600+67</f>
        <v>667</v>
      </c>
      <c r="E26" s="207"/>
      <c r="F26" s="208"/>
      <c r="G26" s="185"/>
      <c r="H26" s="185"/>
      <c r="I26" s="186"/>
      <c r="J26" s="33"/>
      <c r="K26" s="33"/>
      <c r="L26" s="33"/>
      <c r="M26" s="186"/>
      <c r="N26" s="186"/>
      <c r="O26" s="33"/>
    </row>
    <row r="27" spans="1:15" ht="18" customHeight="1">
      <c r="A27" s="102" t="s">
        <v>286</v>
      </c>
      <c r="B27" s="298" t="s">
        <v>287</v>
      </c>
      <c r="C27" s="205">
        <f t="shared" si="0"/>
        <v>25</v>
      </c>
      <c r="D27" s="206"/>
      <c r="E27" s="207">
        <v>25</v>
      </c>
      <c r="F27" s="208"/>
      <c r="G27" s="185"/>
      <c r="H27" s="185"/>
      <c r="I27" s="186"/>
      <c r="J27" s="33"/>
      <c r="K27" s="33"/>
      <c r="L27" s="33"/>
      <c r="M27" s="186"/>
      <c r="N27" s="186"/>
      <c r="O27" s="33"/>
    </row>
    <row r="28" spans="1:15" ht="15.75">
      <c r="A28" s="188">
        <v>104051</v>
      </c>
      <c r="B28" s="201" t="s">
        <v>226</v>
      </c>
      <c r="C28" s="205">
        <f t="shared" si="0"/>
        <v>78</v>
      </c>
      <c r="D28" s="206">
        <f>17+20+41</f>
        <v>78</v>
      </c>
      <c r="E28" s="207"/>
      <c r="F28" s="208"/>
      <c r="G28" s="185"/>
      <c r="H28" s="185"/>
      <c r="I28" s="186"/>
      <c r="J28" s="33"/>
      <c r="K28" s="33"/>
      <c r="L28" s="33"/>
      <c r="M28" s="186"/>
      <c r="N28" s="186"/>
      <c r="O28" s="33"/>
    </row>
    <row r="29" spans="1:15" ht="15.75">
      <c r="A29" s="188">
        <v>105010</v>
      </c>
      <c r="B29" s="201" t="s">
        <v>341</v>
      </c>
      <c r="C29" s="205">
        <f t="shared" si="0"/>
        <v>221</v>
      </c>
      <c r="D29" s="206">
        <f>142+48+31</f>
        <v>221</v>
      </c>
      <c r="E29" s="207"/>
      <c r="F29" s="208"/>
      <c r="G29" s="185"/>
      <c r="H29" s="185"/>
      <c r="I29" s="186"/>
      <c r="J29" s="33"/>
      <c r="K29" s="33"/>
      <c r="L29" s="33"/>
      <c r="M29" s="186"/>
      <c r="N29" s="186"/>
      <c r="O29" s="33"/>
    </row>
    <row r="30" spans="1:15" ht="15.75">
      <c r="A30" s="188">
        <v>106020</v>
      </c>
      <c r="B30" s="201" t="s">
        <v>228</v>
      </c>
      <c r="C30" s="205">
        <f t="shared" si="0"/>
        <v>50</v>
      </c>
      <c r="D30" s="206">
        <f>36-10+15+4+5</f>
        <v>50</v>
      </c>
      <c r="E30" s="207"/>
      <c r="F30" s="208"/>
      <c r="G30" s="185"/>
      <c r="H30" s="185"/>
      <c r="I30" s="186"/>
      <c r="J30" s="33"/>
      <c r="K30" s="33"/>
      <c r="L30" s="33"/>
      <c r="M30" s="186"/>
      <c r="N30" s="186"/>
      <c r="O30" s="33"/>
    </row>
    <row r="31" spans="1:15" ht="15.75">
      <c r="A31" s="188">
        <v>107051</v>
      </c>
      <c r="B31" s="201" t="s">
        <v>229</v>
      </c>
      <c r="C31" s="205">
        <f t="shared" si="0"/>
        <v>782</v>
      </c>
      <c r="D31" s="206">
        <f>674+53+55</f>
        <v>782</v>
      </c>
      <c r="E31" s="207"/>
      <c r="F31" s="208"/>
      <c r="G31" s="185"/>
      <c r="H31" s="185"/>
      <c r="I31" s="186"/>
      <c r="J31" s="33"/>
      <c r="K31" s="33"/>
      <c r="L31" s="33"/>
      <c r="M31" s="186"/>
      <c r="N31" s="186"/>
      <c r="O31" s="33"/>
    </row>
    <row r="32" spans="1:15" ht="16.5" thickBot="1">
      <c r="A32" s="188">
        <v>107060</v>
      </c>
      <c r="B32" s="302" t="s">
        <v>342</v>
      </c>
      <c r="C32" s="205">
        <f t="shared" si="0"/>
        <v>1178</v>
      </c>
      <c r="D32" s="206">
        <f>1188-10</f>
        <v>1178</v>
      </c>
      <c r="E32" s="207"/>
      <c r="F32" s="207"/>
      <c r="G32" s="185"/>
      <c r="H32" s="185"/>
      <c r="I32" s="186"/>
      <c r="J32" s="33"/>
      <c r="K32" s="33"/>
      <c r="L32" s="33"/>
      <c r="M32" s="186"/>
      <c r="N32" s="186"/>
      <c r="O32" s="33"/>
    </row>
    <row r="33" spans="1:15" ht="17.25" thickBot="1">
      <c r="A33" s="329" t="s">
        <v>381</v>
      </c>
      <c r="B33" s="346" t="s">
        <v>382</v>
      </c>
      <c r="C33" s="351">
        <f t="shared" si="0"/>
        <v>8181</v>
      </c>
      <c r="D33" s="211">
        <f>7202-30-1+2933-460-1501+85-47</f>
        <v>8181</v>
      </c>
      <c r="E33" s="212"/>
      <c r="F33" s="212"/>
      <c r="G33" s="185"/>
      <c r="H33" s="185"/>
      <c r="I33" s="186"/>
      <c r="J33" s="33"/>
      <c r="K33" s="33"/>
      <c r="L33" s="33"/>
      <c r="M33" s="186"/>
      <c r="N33" s="186"/>
      <c r="O33" s="33"/>
    </row>
    <row r="34" spans="1:15" ht="16.5" thickBot="1">
      <c r="A34" s="192"/>
      <c r="B34" s="213" t="s">
        <v>301</v>
      </c>
      <c r="C34" s="195">
        <f>SUM(C13:C33)</f>
        <v>38562</v>
      </c>
      <c r="D34" s="214">
        <f>SUM(D13:D33)</f>
        <v>35907</v>
      </c>
      <c r="E34" s="214">
        <f>SUM(E13:E32)</f>
        <v>2655</v>
      </c>
      <c r="F34" s="195">
        <f>SUM(F13:F32)</f>
        <v>0</v>
      </c>
      <c r="G34" s="185"/>
      <c r="H34" s="185"/>
      <c r="I34" s="196"/>
      <c r="J34" s="185"/>
      <c r="K34" s="185"/>
      <c r="L34" s="185"/>
      <c r="M34" s="196"/>
      <c r="N34" s="185"/>
      <c r="O34" s="185"/>
    </row>
    <row r="35" spans="1:15" ht="15.75">
      <c r="A35" s="176"/>
      <c r="B35" s="176"/>
      <c r="C35" s="176"/>
      <c r="D35" s="197"/>
      <c r="E35" s="197"/>
      <c r="F35" s="283" t="s">
        <v>354</v>
      </c>
      <c r="G35" s="197"/>
      <c r="H35" s="197"/>
      <c r="I35" s="197"/>
      <c r="J35" s="197"/>
      <c r="K35" s="197"/>
      <c r="L35" s="197"/>
      <c r="M35" s="197"/>
      <c r="N35" s="197"/>
      <c r="O35" s="197"/>
    </row>
    <row r="36" spans="1:15" ht="15.75">
      <c r="A36" s="176"/>
      <c r="B36" s="176"/>
      <c r="C36" s="17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 ht="15.75">
      <c r="A37" s="22"/>
      <c r="B37" s="198"/>
      <c r="C37" s="22"/>
      <c r="D37" s="33"/>
      <c r="E37" s="33"/>
      <c r="F37" s="33"/>
      <c r="G37" s="33"/>
      <c r="H37" s="33"/>
      <c r="I37" s="186"/>
      <c r="J37" s="33"/>
      <c r="K37" s="33"/>
      <c r="L37" s="33"/>
      <c r="M37" s="186"/>
      <c r="N37" s="186"/>
      <c r="O37" s="33"/>
    </row>
    <row r="38" spans="1:15" ht="15.75">
      <c r="A38" s="176"/>
      <c r="B38" s="176"/>
      <c r="C38" s="17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</sheetData>
  <sheetProtection/>
  <mergeCells count="16">
    <mergeCell ref="D11:F12"/>
    <mergeCell ref="G3:L3"/>
    <mergeCell ref="M3:O3"/>
    <mergeCell ref="A6:F6"/>
    <mergeCell ref="A8:A12"/>
    <mergeCell ref="B8:B12"/>
    <mergeCell ref="C8:C12"/>
    <mergeCell ref="D8:F8"/>
    <mergeCell ref="D9:D10"/>
    <mergeCell ref="E9:E10"/>
    <mergeCell ref="F9:F10"/>
    <mergeCell ref="A1:F1"/>
    <mergeCell ref="A2:F2"/>
    <mergeCell ref="A4:F4"/>
    <mergeCell ref="A5:F5"/>
    <mergeCell ref="A3:F3"/>
  </mergeCells>
  <printOptions/>
  <pageMargins left="0.7086614173228347" right="0.7874015748031497" top="0.5118110236220472" bottom="0.1968503937007874" header="0.5118110236220472" footer="0.2362204724409449"/>
  <pageSetup horizontalDpi="200" verticalDpi="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F1"/>
    </sheetView>
  </sheetViews>
  <sheetFormatPr defaultColWidth="9.00390625" defaultRowHeight="12.75"/>
  <cols>
    <col min="4" max="4" width="25.125" style="0" customWidth="1"/>
    <col min="5" max="5" width="24.875" style="0" customWidth="1"/>
    <col min="6" max="6" width="16.375" style="0" customWidth="1"/>
  </cols>
  <sheetData>
    <row r="1" spans="1:6" ht="15.75">
      <c r="A1" s="466" t="s">
        <v>417</v>
      </c>
      <c r="B1" s="466"/>
      <c r="C1" s="466"/>
      <c r="D1" s="466"/>
      <c r="E1" s="466"/>
      <c r="F1" s="466"/>
    </row>
    <row r="2" spans="1:6" ht="15.75">
      <c r="A2" s="467" t="s">
        <v>367</v>
      </c>
      <c r="B2" s="467"/>
      <c r="C2" s="467"/>
      <c r="D2" s="467"/>
      <c r="E2" s="467"/>
      <c r="F2" s="467"/>
    </row>
    <row r="3" spans="1:6" ht="14.25">
      <c r="A3" s="470"/>
      <c r="B3" s="470"/>
      <c r="C3" s="470"/>
      <c r="D3" s="470"/>
      <c r="E3" s="470"/>
      <c r="F3" s="470"/>
    </row>
    <row r="4" spans="1:6" ht="15.75">
      <c r="A4" s="468"/>
      <c r="B4" s="468"/>
      <c r="C4" s="468"/>
      <c r="D4" s="468"/>
      <c r="E4" s="468"/>
      <c r="F4" s="468"/>
    </row>
    <row r="5" spans="1:6" ht="14.25">
      <c r="A5" s="470"/>
      <c r="B5" s="397"/>
      <c r="C5" s="397"/>
      <c r="D5" s="397"/>
      <c r="E5" s="397"/>
      <c r="F5" s="397"/>
    </row>
    <row r="6" spans="1:6" ht="15.75">
      <c r="A6" s="468" t="s">
        <v>17</v>
      </c>
      <c r="B6" s="468"/>
      <c r="C6" s="468"/>
      <c r="D6" s="468"/>
      <c r="E6" s="468"/>
      <c r="F6" s="468"/>
    </row>
    <row r="7" spans="1:6" ht="15.75">
      <c r="A7" s="468" t="s">
        <v>22</v>
      </c>
      <c r="B7" s="468"/>
      <c r="C7" s="468"/>
      <c r="D7" s="468"/>
      <c r="E7" s="468"/>
      <c r="F7" s="468"/>
    </row>
    <row r="8" spans="1:6" ht="15.75">
      <c r="A8" s="469" t="s">
        <v>235</v>
      </c>
      <c r="B8" s="469"/>
      <c r="C8" s="469"/>
      <c r="D8" s="469"/>
      <c r="E8" s="469"/>
      <c r="F8" s="469"/>
    </row>
    <row r="9" spans="1:6" ht="15">
      <c r="A9" s="8"/>
      <c r="B9" s="8"/>
      <c r="C9" s="8"/>
      <c r="D9" s="8"/>
      <c r="E9" s="8"/>
      <c r="F9" s="46" t="s">
        <v>16</v>
      </c>
    </row>
    <row r="10" spans="1:6" ht="12.75">
      <c r="A10" s="471" t="s">
        <v>6</v>
      </c>
      <c r="B10" s="472"/>
      <c r="C10" s="472"/>
      <c r="D10" s="472"/>
      <c r="E10" s="473"/>
      <c r="F10" s="480" t="s">
        <v>7</v>
      </c>
    </row>
    <row r="11" spans="1:6" ht="12.75">
      <c r="A11" s="474"/>
      <c r="B11" s="475"/>
      <c r="C11" s="475"/>
      <c r="D11" s="475"/>
      <c r="E11" s="476"/>
      <c r="F11" s="481"/>
    </row>
    <row r="12" spans="1:6" ht="12.75">
      <c r="A12" s="477"/>
      <c r="B12" s="478"/>
      <c r="C12" s="478"/>
      <c r="D12" s="478"/>
      <c r="E12" s="479"/>
      <c r="F12" s="482"/>
    </row>
    <row r="13" spans="1:6" ht="15.75">
      <c r="A13" s="39"/>
      <c r="B13" s="39"/>
      <c r="C13" s="39"/>
      <c r="D13" s="39"/>
      <c r="E13" s="39"/>
      <c r="F13" s="40"/>
    </row>
    <row r="14" spans="1:6" ht="15.75">
      <c r="A14" s="41" t="s">
        <v>23</v>
      </c>
      <c r="B14" s="39"/>
      <c r="C14" s="39"/>
      <c r="D14" s="39"/>
      <c r="E14" s="39"/>
      <c r="F14" s="40"/>
    </row>
    <row r="15" spans="1:6" ht="15.75">
      <c r="A15" s="41"/>
      <c r="B15" s="39"/>
      <c r="C15" s="39"/>
      <c r="D15" s="39"/>
      <c r="E15" s="39"/>
      <c r="F15" s="40"/>
    </row>
    <row r="16" spans="1:6" ht="15.75">
      <c r="A16" s="485" t="s">
        <v>24</v>
      </c>
      <c r="B16" s="485"/>
      <c r="C16" s="485"/>
      <c r="D16" s="485"/>
      <c r="E16" s="485"/>
      <c r="F16" s="26"/>
    </row>
    <row r="17" spans="1:6" ht="15.75">
      <c r="A17" s="17"/>
      <c r="B17" s="17"/>
      <c r="C17" s="17"/>
      <c r="D17" s="17"/>
      <c r="E17" s="17"/>
      <c r="F17" s="26"/>
    </row>
    <row r="18" spans="1:6" ht="15.75">
      <c r="A18" s="33" t="s">
        <v>21</v>
      </c>
      <c r="B18" s="33"/>
      <c r="C18" s="33"/>
      <c r="D18" s="33"/>
      <c r="E18" s="33"/>
      <c r="F18" s="26">
        <v>85</v>
      </c>
    </row>
    <row r="19" spans="1:6" ht="15.75">
      <c r="A19" s="33" t="s">
        <v>345</v>
      </c>
      <c r="B19" s="33"/>
      <c r="C19" s="33"/>
      <c r="D19" s="33"/>
      <c r="E19" s="33"/>
      <c r="F19" s="26">
        <v>25</v>
      </c>
    </row>
    <row r="20" spans="1:6" ht="15.75">
      <c r="A20" s="486" t="s">
        <v>389</v>
      </c>
      <c r="B20" s="486"/>
      <c r="C20" s="486"/>
      <c r="D20" s="486"/>
      <c r="E20" s="33"/>
      <c r="F20" s="26">
        <v>30</v>
      </c>
    </row>
    <row r="21" spans="1:6" ht="15.75">
      <c r="A21" s="485" t="s">
        <v>25</v>
      </c>
      <c r="B21" s="397"/>
      <c r="C21" s="397"/>
      <c r="D21" s="397"/>
      <c r="E21" s="397"/>
      <c r="F21" s="42">
        <f>F18+F19+F20</f>
        <v>140</v>
      </c>
    </row>
    <row r="22" spans="1:6" ht="16.5">
      <c r="A22" s="483" t="s">
        <v>379</v>
      </c>
      <c r="B22" s="484"/>
      <c r="C22" s="484"/>
      <c r="D22" s="484"/>
      <c r="E22" s="484"/>
      <c r="F22" s="26"/>
    </row>
    <row r="23" spans="1:6" ht="16.5">
      <c r="A23" s="21" t="s">
        <v>380</v>
      </c>
      <c r="B23" s="21"/>
      <c r="C23" s="321"/>
      <c r="D23" s="322"/>
      <c r="E23" s="295"/>
      <c r="F23" s="26">
        <v>29</v>
      </c>
    </row>
    <row r="24" spans="1:6" ht="16.5">
      <c r="A24" s="21" t="s">
        <v>398</v>
      </c>
      <c r="B24" s="21"/>
      <c r="C24" s="321"/>
      <c r="D24" s="322"/>
      <c r="E24" s="295"/>
      <c r="F24" s="26">
        <f>1+1</f>
        <v>2</v>
      </c>
    </row>
    <row r="25" spans="1:6" ht="16.5">
      <c r="A25" s="323" t="s">
        <v>379</v>
      </c>
      <c r="B25" s="21"/>
      <c r="C25" s="321"/>
      <c r="D25" s="322"/>
      <c r="E25" s="295"/>
      <c r="F25" s="42">
        <f>SUM(F23:F24)</f>
        <v>31</v>
      </c>
    </row>
    <row r="26" spans="1:6" ht="15.75">
      <c r="A26" s="38" t="s">
        <v>26</v>
      </c>
      <c r="B26" s="17"/>
      <c r="C26" s="17"/>
      <c r="D26" s="17"/>
      <c r="E26" s="17"/>
      <c r="F26" s="42">
        <f>F21+F25</f>
        <v>171</v>
      </c>
    </row>
    <row r="27" spans="1:6" ht="15.75">
      <c r="A27" s="38"/>
      <c r="B27" s="17"/>
      <c r="C27" s="17"/>
      <c r="D27" s="17"/>
      <c r="E27" s="17"/>
      <c r="F27" s="26"/>
    </row>
    <row r="28" spans="1:6" ht="15.75">
      <c r="A28" s="38" t="s">
        <v>18</v>
      </c>
      <c r="B28" s="38"/>
      <c r="C28" s="38"/>
      <c r="D28" s="38"/>
      <c r="E28" s="38"/>
      <c r="F28" s="42"/>
    </row>
    <row r="29" spans="1:6" ht="15.75">
      <c r="A29" s="38" t="s">
        <v>29</v>
      </c>
      <c r="B29" s="38"/>
      <c r="C29" s="38"/>
      <c r="D29" s="38"/>
      <c r="E29" s="38"/>
      <c r="F29" s="43"/>
    </row>
    <row r="30" spans="1:6" ht="15.75">
      <c r="A30" s="17" t="s">
        <v>27</v>
      </c>
      <c r="B30" s="17"/>
      <c r="C30" s="17"/>
      <c r="D30" s="17"/>
      <c r="E30" s="17"/>
      <c r="F30" s="44">
        <v>100</v>
      </c>
    </row>
    <row r="31" spans="1:6" ht="15.75">
      <c r="A31" s="17" t="s">
        <v>253</v>
      </c>
      <c r="B31" s="17"/>
      <c r="C31" s="17"/>
      <c r="D31" s="17"/>
      <c r="E31" s="17"/>
      <c r="F31" s="44">
        <v>2500</v>
      </c>
    </row>
    <row r="32" spans="1:6" ht="15.75">
      <c r="A32" s="485" t="s">
        <v>28</v>
      </c>
      <c r="B32" s="397"/>
      <c r="C32" s="397"/>
      <c r="D32" s="397"/>
      <c r="E32" s="397"/>
      <c r="F32" s="45">
        <f>F30+F31</f>
        <v>2600</v>
      </c>
    </row>
    <row r="33" spans="1:6" ht="15.75">
      <c r="A33" s="17"/>
      <c r="B33" s="17"/>
      <c r="C33" s="17"/>
      <c r="D33" s="17"/>
      <c r="E33" s="17"/>
      <c r="F33" s="44"/>
    </row>
    <row r="34" spans="1:6" ht="15.75">
      <c r="A34" s="38" t="s">
        <v>19</v>
      </c>
      <c r="B34" s="38"/>
      <c r="C34" s="38"/>
      <c r="D34" s="17"/>
      <c r="E34" s="17"/>
      <c r="F34" s="45">
        <f>F32</f>
        <v>2600</v>
      </c>
    </row>
    <row r="35" spans="1:6" ht="15.75">
      <c r="A35" s="17"/>
      <c r="B35" s="17"/>
      <c r="C35" s="17"/>
      <c r="D35" s="17"/>
      <c r="E35" s="17"/>
      <c r="F35" s="17"/>
    </row>
    <row r="36" spans="1:6" ht="15.75">
      <c r="A36" s="272" t="s">
        <v>346</v>
      </c>
      <c r="B36" s="272"/>
      <c r="C36" s="272"/>
      <c r="D36" s="272"/>
      <c r="E36" s="272"/>
      <c r="F36" s="273">
        <f>F26+F34</f>
        <v>2771</v>
      </c>
    </row>
    <row r="37" ht="12.75">
      <c r="F37" s="282" t="s">
        <v>354</v>
      </c>
    </row>
    <row r="39" ht="24.75" customHeight="1"/>
  </sheetData>
  <sheetProtection/>
  <mergeCells count="15">
    <mergeCell ref="A22:E22"/>
    <mergeCell ref="A16:E16"/>
    <mergeCell ref="A21:E21"/>
    <mergeCell ref="A32:E32"/>
    <mergeCell ref="A20:D20"/>
    <mergeCell ref="A1:F1"/>
    <mergeCell ref="A2:F2"/>
    <mergeCell ref="A7:F7"/>
    <mergeCell ref="A8:F8"/>
    <mergeCell ref="A5:F5"/>
    <mergeCell ref="A10:E12"/>
    <mergeCell ref="F10:F12"/>
    <mergeCell ref="A3:F3"/>
    <mergeCell ref="A4:F4"/>
    <mergeCell ref="A6:F6"/>
  </mergeCells>
  <printOptions/>
  <pageMargins left="0.32" right="0.5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7.875" style="160" customWidth="1"/>
    <col min="2" max="2" width="16.625" style="160" customWidth="1"/>
    <col min="3" max="3" width="15.25390625" style="15" customWidth="1"/>
    <col min="4" max="16384" width="9.125" style="160" customWidth="1"/>
  </cols>
  <sheetData>
    <row r="1" spans="1:3" ht="15.75">
      <c r="A1" s="466" t="s">
        <v>418</v>
      </c>
      <c r="B1" s="466"/>
      <c r="C1" s="466"/>
    </row>
    <row r="3" spans="1:4" ht="15.75">
      <c r="A3" s="467" t="s">
        <v>363</v>
      </c>
      <c r="B3" s="467"/>
      <c r="C3" s="467"/>
      <c r="D3" s="16"/>
    </row>
    <row r="4" spans="1:4" ht="6" customHeight="1">
      <c r="A4" s="19"/>
      <c r="B4" s="19"/>
      <c r="C4" s="19"/>
      <c r="D4" s="20"/>
    </row>
    <row r="5" spans="1:4" ht="15.75" customHeight="1">
      <c r="A5" s="494"/>
      <c r="B5" s="494"/>
      <c r="C5" s="494"/>
      <c r="D5" s="161"/>
    </row>
    <row r="6" spans="1:4" ht="16.5">
      <c r="A6" s="495"/>
      <c r="B6" s="397"/>
      <c r="C6" s="397"/>
      <c r="D6" s="161"/>
    </row>
    <row r="7" spans="1:4" s="163" customFormat="1" ht="15.75" customHeight="1">
      <c r="A7" s="494" t="s">
        <v>17</v>
      </c>
      <c r="B7" s="494"/>
      <c r="C7" s="494"/>
      <c r="D7" s="162"/>
    </row>
    <row r="8" spans="1:6" s="9" customFormat="1" ht="15.75">
      <c r="A8" s="468" t="s">
        <v>8</v>
      </c>
      <c r="B8" s="468"/>
      <c r="C8" s="468"/>
      <c r="D8" s="23"/>
      <c r="E8" s="13"/>
      <c r="F8" s="13"/>
    </row>
    <row r="9" spans="1:6" s="8" customFormat="1" ht="16.5">
      <c r="A9" s="493" t="s">
        <v>239</v>
      </c>
      <c r="B9" s="493"/>
      <c r="C9" s="493"/>
      <c r="D9" s="24"/>
      <c r="E9" s="14"/>
      <c r="F9" s="14"/>
    </row>
    <row r="10" spans="1:4" ht="15.75" customHeight="1" thickBot="1">
      <c r="A10" s="161"/>
      <c r="B10" s="164"/>
      <c r="C10" s="26" t="s">
        <v>0</v>
      </c>
      <c r="D10" s="161"/>
    </row>
    <row r="11" spans="1:4" ht="15" customHeight="1">
      <c r="A11" s="487" t="s">
        <v>6</v>
      </c>
      <c r="B11" s="490" t="s">
        <v>20</v>
      </c>
      <c r="C11" s="27" t="s">
        <v>9</v>
      </c>
      <c r="D11" s="162"/>
    </row>
    <row r="12" spans="1:4" ht="15.75" customHeight="1">
      <c r="A12" s="488"/>
      <c r="B12" s="491"/>
      <c r="C12" s="28" t="s">
        <v>10</v>
      </c>
      <c r="D12" s="162"/>
    </row>
    <row r="13" spans="1:4" ht="32.25" thickBot="1">
      <c r="A13" s="489"/>
      <c r="B13" s="492"/>
      <c r="C13" s="29" t="s">
        <v>11</v>
      </c>
      <c r="D13" s="162"/>
    </row>
    <row r="14" spans="1:4" ht="11.25" customHeight="1">
      <c r="A14" s="162"/>
      <c r="B14" s="162"/>
      <c r="C14" s="162"/>
      <c r="D14" s="162"/>
    </row>
    <row r="15" spans="1:4" ht="15.75">
      <c r="A15" s="167" t="s">
        <v>12</v>
      </c>
      <c r="B15" s="15"/>
      <c r="D15" s="11"/>
    </row>
    <row r="16" spans="1:4" ht="15.75">
      <c r="A16" s="167" t="s">
        <v>1</v>
      </c>
      <c r="B16" s="15"/>
      <c r="D16" s="11"/>
    </row>
    <row r="17" spans="1:4" ht="11.25" customHeight="1">
      <c r="A17" s="11"/>
      <c r="B17" s="15"/>
      <c r="D17" s="11"/>
    </row>
    <row r="18" spans="1:4" ht="15.75">
      <c r="A18" s="11" t="s">
        <v>267</v>
      </c>
      <c r="B18" s="168"/>
      <c r="D18" s="11"/>
    </row>
    <row r="19" spans="1:4" ht="15.75">
      <c r="A19" s="11" t="s">
        <v>268</v>
      </c>
      <c r="B19" s="168">
        <f>91+48</f>
        <v>139</v>
      </c>
      <c r="C19" s="15">
        <f>73+38</f>
        <v>111</v>
      </c>
      <c r="D19" s="11"/>
    </row>
    <row r="20" spans="1:4" ht="18" customHeight="1">
      <c r="A20" s="11" t="s">
        <v>269</v>
      </c>
      <c r="B20" s="168">
        <f>51+31</f>
        <v>82</v>
      </c>
      <c r="C20" s="15">
        <f>46+29</f>
        <v>75</v>
      </c>
      <c r="D20" s="169"/>
    </row>
    <row r="21" spans="1:4" ht="20.25" customHeight="1">
      <c r="A21" s="11" t="s">
        <v>270</v>
      </c>
      <c r="B21" s="168">
        <v>13</v>
      </c>
      <c r="C21" s="15">
        <v>12</v>
      </c>
      <c r="D21" s="169"/>
    </row>
    <row r="22" spans="1:4" ht="13.5" customHeight="1">
      <c r="A22" s="11" t="s">
        <v>271</v>
      </c>
      <c r="B22" s="168">
        <f>23-10+15+4+5</f>
        <v>37</v>
      </c>
      <c r="C22" s="15">
        <f>12+20</f>
        <v>32</v>
      </c>
      <c r="D22" s="169"/>
    </row>
    <row r="23" spans="1:4" ht="11.25" customHeight="1">
      <c r="A23" s="11"/>
      <c r="B23" s="15"/>
      <c r="D23" s="11"/>
    </row>
    <row r="24" spans="1:4" ht="15.75">
      <c r="A24" s="167" t="s">
        <v>12</v>
      </c>
      <c r="B24" s="15"/>
      <c r="D24" s="11"/>
    </row>
    <row r="25" spans="1:4" ht="15.75">
      <c r="A25" s="167" t="s">
        <v>13</v>
      </c>
      <c r="B25" s="170">
        <f>SUM(B18:B24)</f>
        <v>271</v>
      </c>
      <c r="C25" s="170">
        <f>SUM(C19:C24)</f>
        <v>230</v>
      </c>
      <c r="D25" s="11"/>
    </row>
    <row r="26" spans="1:4" ht="11.25" customHeight="1">
      <c r="A26" s="11"/>
      <c r="B26" s="15"/>
      <c r="D26" s="11"/>
    </row>
    <row r="27" spans="1:4" ht="15.75">
      <c r="A27" s="167" t="s">
        <v>14</v>
      </c>
      <c r="B27" s="15"/>
      <c r="D27" s="11"/>
    </row>
    <row r="28" spans="1:4" s="165" customFormat="1" ht="15.75">
      <c r="A28" s="167" t="s">
        <v>281</v>
      </c>
      <c r="B28" s="15"/>
      <c r="C28" s="15"/>
      <c r="D28" s="11"/>
    </row>
    <row r="29" spans="1:4" s="165" customFormat="1" ht="15.75">
      <c r="A29" s="11"/>
      <c r="B29" s="15"/>
      <c r="C29" s="15"/>
      <c r="D29" s="11"/>
    </row>
    <row r="30" spans="1:4" ht="15.75">
      <c r="A30" s="11" t="s">
        <v>272</v>
      </c>
      <c r="B30" s="170">
        <f>17+41</f>
        <v>58</v>
      </c>
      <c r="C30" s="170">
        <v>17</v>
      </c>
      <c r="D30" s="11"/>
    </row>
    <row r="31" spans="1:4" ht="15.75">
      <c r="A31" s="11" t="s">
        <v>385</v>
      </c>
      <c r="B31" s="170">
        <v>20</v>
      </c>
      <c r="C31" s="170">
        <v>20</v>
      </c>
      <c r="D31" s="11"/>
    </row>
    <row r="32" spans="1:4" ht="15.75">
      <c r="A32" s="167" t="s">
        <v>14</v>
      </c>
      <c r="B32" s="170"/>
      <c r="C32" s="170"/>
      <c r="D32" s="11"/>
    </row>
    <row r="33" spans="1:4" ht="15.75">
      <c r="A33" s="167" t="s">
        <v>386</v>
      </c>
      <c r="B33" s="170">
        <f>SUM(B30:B32)</f>
        <v>78</v>
      </c>
      <c r="C33" s="170">
        <f>SUM(C30:C32)</f>
        <v>37</v>
      </c>
      <c r="D33" s="11"/>
    </row>
    <row r="34" spans="1:4" ht="31.5">
      <c r="A34" s="171" t="s">
        <v>273</v>
      </c>
      <c r="B34" s="15"/>
      <c r="D34" s="11"/>
    </row>
    <row r="35" spans="1:4" ht="33" customHeight="1">
      <c r="A35" s="172" t="s">
        <v>274</v>
      </c>
      <c r="B35" s="15">
        <v>188</v>
      </c>
      <c r="D35" s="11"/>
    </row>
    <row r="36" spans="1:4" ht="15.75" customHeight="1">
      <c r="A36" s="172" t="s">
        <v>275</v>
      </c>
      <c r="B36" s="15">
        <f>150-10</f>
        <v>140</v>
      </c>
      <c r="D36" s="11"/>
    </row>
    <row r="37" spans="1:4" ht="21" customHeight="1">
      <c r="A37" s="167" t="s">
        <v>277</v>
      </c>
      <c r="B37" s="15"/>
      <c r="D37" s="11"/>
    </row>
    <row r="38" spans="1:4" s="166" customFormat="1" ht="16.5">
      <c r="A38" s="11" t="s">
        <v>278</v>
      </c>
      <c r="B38" s="15">
        <f>500-120</f>
        <v>380</v>
      </c>
      <c r="C38" s="15"/>
      <c r="D38" s="11"/>
    </row>
    <row r="39" spans="1:4" ht="15.75">
      <c r="A39" s="11" t="s">
        <v>276</v>
      </c>
      <c r="B39" s="15">
        <v>140</v>
      </c>
      <c r="D39" s="11"/>
    </row>
    <row r="40" spans="1:4" ht="15.75">
      <c r="A40" s="11" t="s">
        <v>279</v>
      </c>
      <c r="B40" s="15">
        <v>250</v>
      </c>
      <c r="D40" s="11"/>
    </row>
    <row r="41" spans="1:4" ht="15.75">
      <c r="A41" s="11" t="s">
        <v>280</v>
      </c>
      <c r="B41" s="15">
        <v>80</v>
      </c>
      <c r="D41" s="11"/>
    </row>
    <row r="42" spans="1:4" ht="15.75">
      <c r="A42" s="167"/>
      <c r="B42" s="170">
        <f>SUM(B35:B41)</f>
        <v>1178</v>
      </c>
      <c r="C42" s="170"/>
      <c r="D42" s="11"/>
    </row>
    <row r="43" spans="1:4" ht="15.75">
      <c r="A43" s="11"/>
      <c r="B43" s="15"/>
      <c r="D43" s="11"/>
    </row>
    <row r="44" spans="1:4" ht="15.75">
      <c r="A44" s="167" t="s">
        <v>15</v>
      </c>
      <c r="B44" s="170">
        <f>B25+B33+B42</f>
        <v>1527</v>
      </c>
      <c r="C44" s="170">
        <f>C42+C25</f>
        <v>230</v>
      </c>
      <c r="D44" s="169"/>
    </row>
    <row r="45" spans="1:4" ht="15.75">
      <c r="A45" s="167"/>
      <c r="B45" s="170"/>
      <c r="C45" s="296" t="s">
        <v>354</v>
      </c>
      <c r="D45" s="169"/>
    </row>
    <row r="46" spans="1:4" ht="15.75">
      <c r="A46" s="167"/>
      <c r="B46" s="15"/>
      <c r="C46" s="11"/>
      <c r="D46" s="11"/>
    </row>
    <row r="47" spans="1:4" ht="15.75">
      <c r="A47" s="11"/>
      <c r="B47" s="15"/>
      <c r="D47" s="11"/>
    </row>
    <row r="48" spans="1:4" ht="15.75">
      <c r="A48" s="11"/>
      <c r="B48" s="15"/>
      <c r="C48" s="11"/>
      <c r="D48" s="11"/>
    </row>
    <row r="49" spans="1:4" ht="15.75">
      <c r="A49" s="11"/>
      <c r="B49" s="15"/>
      <c r="C49" s="11"/>
      <c r="D49" s="11"/>
    </row>
    <row r="50" spans="1:4" ht="15.75">
      <c r="A50" s="11"/>
      <c r="B50" s="15"/>
      <c r="D50" s="11"/>
    </row>
    <row r="51" spans="1:4" ht="15.75">
      <c r="A51" s="167"/>
      <c r="B51" s="170"/>
      <c r="C51" s="11"/>
      <c r="D51" s="11"/>
    </row>
    <row r="52" spans="1:4" ht="15.75">
      <c r="A52" s="167"/>
      <c r="B52" s="170"/>
      <c r="C52" s="170"/>
      <c r="D52" s="169"/>
    </row>
    <row r="53" spans="1:4" ht="15.75">
      <c r="A53" s="167"/>
      <c r="B53" s="170"/>
      <c r="C53" s="170"/>
      <c r="D53" s="169"/>
    </row>
    <row r="54" spans="1:4" ht="15.75">
      <c r="A54" s="162"/>
      <c r="B54" s="162"/>
      <c r="C54" s="30"/>
      <c r="D54" s="162"/>
    </row>
    <row r="55" spans="1:4" ht="15.75">
      <c r="A55" s="162"/>
      <c r="B55" s="162"/>
      <c r="C55" s="30"/>
      <c r="D55" s="162"/>
    </row>
    <row r="56" spans="1:4" ht="15.75">
      <c r="A56" s="162"/>
      <c r="B56" s="162"/>
      <c r="C56" s="30"/>
      <c r="D56" s="162"/>
    </row>
    <row r="57" spans="1:4" ht="15.75">
      <c r="A57" s="162"/>
      <c r="B57" s="162"/>
      <c r="C57" s="30"/>
      <c r="D57" s="162"/>
    </row>
    <row r="58" spans="1:4" ht="15.75">
      <c r="A58" s="162"/>
      <c r="B58" s="162"/>
      <c r="C58" s="30"/>
      <c r="D58" s="162"/>
    </row>
    <row r="59" spans="1:4" ht="15.75">
      <c r="A59" s="162"/>
      <c r="B59" s="162"/>
      <c r="C59" s="30"/>
      <c r="D59" s="162"/>
    </row>
    <row r="60" spans="1:4" ht="15.75">
      <c r="A60" s="162"/>
      <c r="B60" s="162"/>
      <c r="C60" s="30"/>
      <c r="D60" s="162"/>
    </row>
    <row r="61" spans="1:4" ht="15.75">
      <c r="A61" s="162"/>
      <c r="B61" s="162"/>
      <c r="C61" s="30"/>
      <c r="D61" s="162"/>
    </row>
    <row r="62" spans="1:4" ht="16.5">
      <c r="A62" s="161"/>
      <c r="B62" s="161"/>
      <c r="C62" s="30"/>
      <c r="D62" s="161"/>
    </row>
    <row r="63" spans="1:4" ht="16.5">
      <c r="A63" s="161"/>
      <c r="B63" s="161"/>
      <c r="C63" s="30"/>
      <c r="D63" s="161"/>
    </row>
    <row r="64" spans="1:4" ht="16.5">
      <c r="A64" s="161"/>
      <c r="B64" s="161"/>
      <c r="C64" s="30"/>
      <c r="D64" s="161"/>
    </row>
    <row r="65" spans="1:4" ht="16.5">
      <c r="A65" s="161"/>
      <c r="B65" s="161"/>
      <c r="C65" s="30"/>
      <c r="D65" s="161"/>
    </row>
    <row r="66" spans="1:4" ht="16.5">
      <c r="A66" s="161"/>
      <c r="B66" s="161"/>
      <c r="C66" s="30"/>
      <c r="D66" s="161"/>
    </row>
    <row r="67" spans="1:4" ht="16.5">
      <c r="A67" s="161"/>
      <c r="B67" s="161"/>
      <c r="C67" s="30"/>
      <c r="D67" s="161"/>
    </row>
    <row r="68" spans="1:4" ht="16.5">
      <c r="A68" s="161"/>
      <c r="B68" s="161"/>
      <c r="C68" s="30"/>
      <c r="D68" s="161"/>
    </row>
    <row r="69" spans="1:4" ht="16.5">
      <c r="A69" s="161"/>
      <c r="B69" s="161"/>
      <c r="C69" s="30"/>
      <c r="D69" s="161"/>
    </row>
    <row r="70" spans="1:4" ht="16.5">
      <c r="A70" s="161"/>
      <c r="B70" s="161"/>
      <c r="C70" s="30"/>
      <c r="D70" s="161"/>
    </row>
    <row r="71" spans="1:4" ht="16.5">
      <c r="A71" s="161"/>
      <c r="B71" s="161"/>
      <c r="C71" s="30"/>
      <c r="D71" s="161"/>
    </row>
    <row r="72" spans="1:4" ht="16.5">
      <c r="A72" s="161"/>
      <c r="B72" s="161"/>
      <c r="C72" s="30"/>
      <c r="D72" s="161"/>
    </row>
    <row r="73" spans="1:4" ht="16.5">
      <c r="A73" s="161"/>
      <c r="B73" s="161"/>
      <c r="C73" s="30"/>
      <c r="D73" s="161"/>
    </row>
    <row r="74" spans="1:4" ht="16.5">
      <c r="A74" s="161"/>
      <c r="B74" s="161"/>
      <c r="C74" s="30"/>
      <c r="D74" s="161"/>
    </row>
    <row r="75" spans="1:4" ht="16.5">
      <c r="A75" s="161"/>
      <c r="B75" s="161"/>
      <c r="C75" s="30"/>
      <c r="D75" s="161"/>
    </row>
    <row r="76" spans="1:4" ht="16.5">
      <c r="A76" s="161"/>
      <c r="B76" s="161"/>
      <c r="C76" s="30"/>
      <c r="D76" s="161"/>
    </row>
    <row r="77" spans="1:4" ht="16.5">
      <c r="A77" s="161"/>
      <c r="B77" s="161"/>
      <c r="C77" s="30"/>
      <c r="D77" s="161"/>
    </row>
    <row r="78" spans="1:4" ht="16.5">
      <c r="A78" s="161"/>
      <c r="B78" s="161"/>
      <c r="C78" s="30"/>
      <c r="D78" s="161"/>
    </row>
    <row r="79" spans="1:4" ht="16.5">
      <c r="A79" s="161"/>
      <c r="B79" s="161"/>
      <c r="C79" s="30"/>
      <c r="D79" s="161"/>
    </row>
    <row r="80" spans="1:4" ht="16.5">
      <c r="A80" s="161"/>
      <c r="B80" s="161"/>
      <c r="C80" s="30"/>
      <c r="D80" s="161"/>
    </row>
    <row r="81" spans="1:4" ht="16.5">
      <c r="A81" s="161"/>
      <c r="B81" s="161"/>
      <c r="C81" s="30"/>
      <c r="D81" s="161"/>
    </row>
    <row r="82" spans="1:4" ht="16.5">
      <c r="A82" s="161"/>
      <c r="B82" s="161"/>
      <c r="C82" s="30"/>
      <c r="D82" s="161"/>
    </row>
    <row r="83" spans="1:4" ht="16.5">
      <c r="A83" s="161"/>
      <c r="B83" s="161"/>
      <c r="C83" s="30"/>
      <c r="D83" s="161"/>
    </row>
    <row r="84" spans="1:4" ht="16.5">
      <c r="A84" s="161"/>
      <c r="B84" s="161"/>
      <c r="C84" s="30"/>
      <c r="D84" s="161"/>
    </row>
    <row r="85" spans="1:4" ht="16.5">
      <c r="A85" s="161"/>
      <c r="B85" s="161"/>
      <c r="C85" s="30"/>
      <c r="D85" s="161"/>
    </row>
    <row r="86" spans="1:4" ht="16.5">
      <c r="A86" s="161"/>
      <c r="B86" s="161"/>
      <c r="C86" s="30"/>
      <c r="D86" s="161"/>
    </row>
    <row r="87" spans="1:4" ht="16.5">
      <c r="A87" s="161"/>
      <c r="B87" s="161"/>
      <c r="C87" s="30"/>
      <c r="D87" s="161"/>
    </row>
    <row r="88" spans="1:4" ht="16.5">
      <c r="A88" s="161"/>
      <c r="B88" s="161"/>
      <c r="C88" s="30"/>
      <c r="D88" s="161"/>
    </row>
    <row r="89" spans="1:4" ht="16.5">
      <c r="A89" s="161"/>
      <c r="B89" s="161"/>
      <c r="C89" s="30"/>
      <c r="D89" s="161"/>
    </row>
    <row r="90" spans="1:4" ht="16.5">
      <c r="A90" s="161"/>
      <c r="B90" s="161"/>
      <c r="C90" s="30"/>
      <c r="D90" s="161"/>
    </row>
    <row r="91" spans="1:4" ht="16.5">
      <c r="A91" s="161"/>
      <c r="B91" s="161"/>
      <c r="C91" s="30"/>
      <c r="D91" s="161"/>
    </row>
    <row r="92" spans="1:4" ht="16.5">
      <c r="A92" s="161"/>
      <c r="B92" s="161"/>
      <c r="C92" s="30"/>
      <c r="D92" s="161"/>
    </row>
    <row r="93" spans="1:4" ht="16.5">
      <c r="A93" s="161"/>
      <c r="B93" s="161"/>
      <c r="C93" s="30"/>
      <c r="D93" s="161"/>
    </row>
    <row r="94" spans="1:4" ht="16.5">
      <c r="A94" s="161"/>
      <c r="B94" s="161"/>
      <c r="C94" s="30"/>
      <c r="D94" s="161"/>
    </row>
    <row r="95" spans="1:4" ht="16.5">
      <c r="A95" s="161"/>
      <c r="B95" s="161"/>
      <c r="C95" s="30"/>
      <c r="D95" s="161"/>
    </row>
    <row r="96" spans="1:4" ht="16.5">
      <c r="A96" s="161"/>
      <c r="B96" s="161"/>
      <c r="C96" s="30"/>
      <c r="D96" s="161"/>
    </row>
    <row r="97" spans="1:4" ht="16.5">
      <c r="A97" s="161"/>
      <c r="B97" s="161"/>
      <c r="C97" s="30"/>
      <c r="D97" s="161"/>
    </row>
    <row r="98" spans="1:4" ht="16.5">
      <c r="A98" s="161"/>
      <c r="B98" s="161"/>
      <c r="C98" s="30"/>
      <c r="D98" s="161"/>
    </row>
    <row r="99" spans="1:4" ht="16.5">
      <c r="A99" s="161"/>
      <c r="B99" s="161"/>
      <c r="C99" s="30"/>
      <c r="D99" s="161"/>
    </row>
    <row r="100" spans="1:4" ht="16.5">
      <c r="A100" s="161"/>
      <c r="B100" s="161"/>
      <c r="C100" s="30"/>
      <c r="D100" s="161"/>
    </row>
    <row r="101" spans="1:4" ht="16.5">
      <c r="A101" s="161"/>
      <c r="B101" s="161"/>
      <c r="C101" s="30"/>
      <c r="D101" s="161"/>
    </row>
    <row r="102" spans="1:4" ht="16.5">
      <c r="A102" s="161"/>
      <c r="B102" s="161"/>
      <c r="C102" s="30"/>
      <c r="D102" s="161"/>
    </row>
    <row r="103" spans="1:4" ht="16.5">
      <c r="A103" s="161"/>
      <c r="B103" s="161"/>
      <c r="C103" s="30"/>
      <c r="D103" s="161"/>
    </row>
    <row r="104" spans="1:4" ht="16.5">
      <c r="A104" s="161"/>
      <c r="B104" s="161"/>
      <c r="C104" s="30"/>
      <c r="D104" s="161"/>
    </row>
    <row r="105" spans="1:4" ht="16.5">
      <c r="A105" s="161"/>
      <c r="B105" s="161"/>
      <c r="C105" s="30"/>
      <c r="D105" s="161"/>
    </row>
    <row r="106" spans="1:4" ht="16.5">
      <c r="A106" s="161"/>
      <c r="B106" s="161"/>
      <c r="C106" s="30"/>
      <c r="D106" s="161"/>
    </row>
    <row r="107" spans="1:4" ht="16.5">
      <c r="A107" s="161"/>
      <c r="B107" s="161"/>
      <c r="C107" s="30"/>
      <c r="D107" s="161"/>
    </row>
    <row r="108" spans="1:4" ht="16.5">
      <c r="A108" s="161"/>
      <c r="B108" s="161"/>
      <c r="C108" s="30"/>
      <c r="D108" s="161"/>
    </row>
    <row r="109" spans="1:4" ht="16.5">
      <c r="A109" s="161"/>
      <c r="B109" s="161"/>
      <c r="C109" s="30"/>
      <c r="D109" s="161"/>
    </row>
    <row r="110" spans="1:4" ht="16.5">
      <c r="A110" s="161"/>
      <c r="B110" s="161"/>
      <c r="C110" s="30"/>
      <c r="D110" s="161"/>
    </row>
    <row r="111" spans="1:4" ht="16.5">
      <c r="A111" s="161"/>
      <c r="B111" s="161"/>
      <c r="C111" s="30"/>
      <c r="D111" s="161"/>
    </row>
    <row r="112" spans="1:4" ht="16.5">
      <c r="A112" s="161"/>
      <c r="B112" s="161"/>
      <c r="C112" s="30"/>
      <c r="D112" s="161"/>
    </row>
    <row r="113" spans="1:4" ht="16.5">
      <c r="A113" s="161"/>
      <c r="B113" s="161"/>
      <c r="C113" s="30"/>
      <c r="D113" s="161"/>
    </row>
    <row r="114" spans="1:4" ht="16.5">
      <c r="A114" s="161"/>
      <c r="B114" s="161"/>
      <c r="C114" s="30"/>
      <c r="D114" s="161"/>
    </row>
    <row r="115" spans="1:4" ht="16.5">
      <c r="A115" s="161"/>
      <c r="B115" s="161"/>
      <c r="C115" s="30"/>
      <c r="D115" s="161"/>
    </row>
    <row r="116" spans="1:4" ht="16.5">
      <c r="A116" s="161"/>
      <c r="B116" s="161"/>
      <c r="C116" s="30"/>
      <c r="D116" s="161"/>
    </row>
    <row r="117" spans="1:4" ht="16.5">
      <c r="A117" s="161"/>
      <c r="B117" s="161"/>
      <c r="C117" s="30"/>
      <c r="D117" s="161"/>
    </row>
    <row r="118" spans="1:4" ht="16.5">
      <c r="A118" s="161"/>
      <c r="B118" s="161"/>
      <c r="C118" s="30"/>
      <c r="D118" s="161"/>
    </row>
    <row r="119" spans="1:4" ht="16.5">
      <c r="A119" s="161"/>
      <c r="B119" s="161"/>
      <c r="C119" s="30"/>
      <c r="D119" s="161"/>
    </row>
    <row r="120" spans="1:4" ht="16.5">
      <c r="A120" s="161"/>
      <c r="B120" s="161"/>
      <c r="C120" s="30"/>
      <c r="D120" s="161"/>
    </row>
  </sheetData>
  <sheetProtection/>
  <mergeCells count="9">
    <mergeCell ref="A1:C1"/>
    <mergeCell ref="A11:A13"/>
    <mergeCell ref="B11:B13"/>
    <mergeCell ref="A9:C9"/>
    <mergeCell ref="A3:C3"/>
    <mergeCell ref="A5:C5"/>
    <mergeCell ref="A7:C7"/>
    <mergeCell ref="A8:C8"/>
    <mergeCell ref="A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3.00390625" style="0" customWidth="1"/>
    <col min="2" max="2" width="19.625" style="0" customWidth="1"/>
  </cols>
  <sheetData>
    <row r="1" spans="1:2" ht="15.75">
      <c r="A1" s="496" t="s">
        <v>419</v>
      </c>
      <c r="B1" s="496"/>
    </row>
    <row r="2" spans="1:2" ht="15.75">
      <c r="A2" s="19"/>
      <c r="B2" s="19"/>
    </row>
    <row r="3" spans="1:2" ht="15.75">
      <c r="A3" s="19"/>
      <c r="B3" s="19"/>
    </row>
    <row r="4" spans="1:2" ht="15.75">
      <c r="A4" s="497"/>
      <c r="B4" s="497"/>
    </row>
    <row r="5" spans="1:2" ht="16.5">
      <c r="A5" s="498"/>
      <c r="B5" s="498"/>
    </row>
    <row r="6" spans="1:2" ht="15.75">
      <c r="A6" s="497" t="s">
        <v>17</v>
      </c>
      <c r="B6" s="497"/>
    </row>
    <row r="7" spans="1:2" ht="15.75">
      <c r="A7" s="468" t="s">
        <v>361</v>
      </c>
      <c r="B7" s="468"/>
    </row>
    <row r="8" spans="1:2" ht="17.25" thickBot="1">
      <c r="A8" s="493" t="s">
        <v>235</v>
      </c>
      <c r="B8" s="493"/>
    </row>
    <row r="9" spans="1:2" ht="12.75">
      <c r="A9" s="503" t="s">
        <v>6</v>
      </c>
      <c r="B9" s="504" t="s">
        <v>357</v>
      </c>
    </row>
    <row r="10" spans="1:2" ht="12.75">
      <c r="A10" s="488"/>
      <c r="B10" s="491"/>
    </row>
    <row r="11" spans="1:2" ht="13.5" thickBot="1">
      <c r="A11" s="489"/>
      <c r="B11" s="492"/>
    </row>
    <row r="12" spans="1:2" ht="36.75" customHeight="1">
      <c r="A12" s="502" t="s">
        <v>362</v>
      </c>
      <c r="B12" s="502"/>
    </row>
    <row r="13" spans="1:2" ht="16.5">
      <c r="A13" s="294"/>
      <c r="B13" s="294"/>
    </row>
    <row r="14" spans="1:2" ht="16.5">
      <c r="A14" s="303" t="s">
        <v>372</v>
      </c>
      <c r="B14" s="284"/>
    </row>
    <row r="15" spans="1:2" ht="16.5">
      <c r="A15" s="284" t="s">
        <v>399</v>
      </c>
      <c r="B15" s="355">
        <v>8000</v>
      </c>
    </row>
    <row r="16" spans="1:2" ht="16.5">
      <c r="A16" s="284" t="s">
        <v>373</v>
      </c>
      <c r="B16" s="364">
        <f>1689+471</f>
        <v>2160</v>
      </c>
    </row>
    <row r="17" spans="1:2" ht="16.5">
      <c r="A17" s="323" t="s">
        <v>377</v>
      </c>
      <c r="B17" s="356">
        <f>SUM(B15:B16)</f>
        <v>10160</v>
      </c>
    </row>
    <row r="18" spans="1:2" ht="16.5">
      <c r="A18" s="284"/>
      <c r="B18" s="284"/>
    </row>
    <row r="19" spans="1:2" ht="16.5">
      <c r="A19" s="295"/>
      <c r="B19" s="295"/>
    </row>
    <row r="20" spans="1:2" ht="16.5">
      <c r="A20" s="304" t="s">
        <v>374</v>
      </c>
      <c r="B20" s="295"/>
    </row>
    <row r="21" spans="1:2" ht="16.5">
      <c r="A21" s="295" t="s">
        <v>375</v>
      </c>
      <c r="B21" s="357">
        <v>250</v>
      </c>
    </row>
    <row r="22" spans="1:7" ht="16.5">
      <c r="A22" s="21" t="s">
        <v>376</v>
      </c>
      <c r="B22" s="365">
        <v>68</v>
      </c>
      <c r="C22" s="307"/>
      <c r="D22" s="307"/>
      <c r="E22" s="307"/>
      <c r="F22" s="308"/>
      <c r="G22" s="309"/>
    </row>
    <row r="23" spans="1:7" ht="16.5">
      <c r="A23" s="323" t="s">
        <v>377</v>
      </c>
      <c r="B23" s="358">
        <v>318</v>
      </c>
      <c r="C23" s="306"/>
      <c r="D23" s="306"/>
      <c r="E23" s="306"/>
      <c r="F23" s="306"/>
      <c r="G23" s="309"/>
    </row>
    <row r="24" spans="1:7" ht="16.5">
      <c r="A24" s="319"/>
      <c r="B24" s="359"/>
      <c r="C24" s="310"/>
      <c r="D24" s="310"/>
      <c r="E24" s="310"/>
      <c r="F24" s="311"/>
      <c r="G24" s="312"/>
    </row>
    <row r="25" spans="1:7" ht="16.5">
      <c r="A25" s="320" t="s">
        <v>378</v>
      </c>
      <c r="B25" s="360">
        <f>SUM(B23,B17)</f>
        <v>10478</v>
      </c>
      <c r="C25" s="313"/>
      <c r="D25" s="313"/>
      <c r="E25" s="313"/>
      <c r="F25" s="314"/>
      <c r="G25" s="315"/>
    </row>
    <row r="26" spans="1:7" ht="12.75">
      <c r="A26" s="499"/>
      <c r="B26" s="499"/>
      <c r="C26" s="499"/>
      <c r="D26" s="499"/>
      <c r="E26" s="499"/>
      <c r="F26" s="316"/>
      <c r="G26" s="315"/>
    </row>
    <row r="27" spans="1:7" ht="12.75">
      <c r="A27" s="317"/>
      <c r="B27" s="500"/>
      <c r="C27" s="500"/>
      <c r="D27" s="500"/>
      <c r="E27" s="500"/>
      <c r="F27" s="306"/>
      <c r="G27" s="306"/>
    </row>
    <row r="28" spans="1:7" ht="12.75">
      <c r="A28" s="306"/>
      <c r="B28" s="501"/>
      <c r="C28" s="501"/>
      <c r="D28" s="501"/>
      <c r="E28" s="501"/>
      <c r="F28" s="318"/>
      <c r="G28" s="305"/>
    </row>
  </sheetData>
  <sheetProtection/>
  <mergeCells count="12">
    <mergeCell ref="A26:E26"/>
    <mergeCell ref="B27:E27"/>
    <mergeCell ref="B28:E28"/>
    <mergeCell ref="A12:B12"/>
    <mergeCell ref="A9:A11"/>
    <mergeCell ref="B9:B11"/>
    <mergeCell ref="A1:B1"/>
    <mergeCell ref="A4:B4"/>
    <mergeCell ref="A6:B6"/>
    <mergeCell ref="A7:B7"/>
    <mergeCell ref="A5:B5"/>
    <mergeCell ref="A8:B8"/>
  </mergeCells>
  <printOptions/>
  <pageMargins left="0.47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Marsits Judit</cp:lastModifiedBy>
  <cp:lastPrinted>2016-02-04T07:09:13Z</cp:lastPrinted>
  <dcterms:created xsi:type="dcterms:W3CDTF">2002-11-26T17:22:50Z</dcterms:created>
  <dcterms:modified xsi:type="dcterms:W3CDTF">2016-02-10T10:02:09Z</dcterms:modified>
  <cp:category/>
  <cp:version/>
  <cp:contentType/>
  <cp:contentStatus/>
</cp:coreProperties>
</file>